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filterPrivacy="1" updateLinks="always" defaultThemeVersion="124226"/>
  <xr:revisionPtr revIDLastSave="0" documentId="13_ncr:1_{AF28E749-45E5-6C49-829D-5CC2D85620A4}" xr6:coauthVersionLast="47" xr6:coauthVersionMax="47" xr10:uidLastSave="{00000000-0000-0000-0000-000000000000}"/>
  <bookViews>
    <workbookView xWindow="0" yWindow="500" windowWidth="28800" windowHeight="17500" activeTab="5" xr2:uid="{00000000-000D-0000-FFFF-FFFF00000000}"/>
  </bookViews>
  <sheets>
    <sheet name="Toptan-Horeka" sheetId="18" r:id="rId1"/>
    <sheet name="PLS" sheetId="4" r:id="rId2"/>
    <sheet name="KILIT" sheetId="5" r:id="rId3"/>
    <sheet name="RUSTAVI" sheetId="17" r:id="rId4"/>
    <sheet name="GENEL HEDEF" sheetId="19" r:id="rId5"/>
    <sheet name="MARNEULI" sheetId="14" r:id="rId6"/>
    <sheet name="TELAVI" sheetId="12" r:id="rId7"/>
    <sheet name="QUTAISI" sheetId="6" r:id="rId8"/>
    <sheet name="BATUMI" sheetId="9" r:id="rId9"/>
    <sheet name="Sheet1" sheetId="15" state="hidden" r:id="rId10"/>
  </sheets>
  <externalReferences>
    <externalReference r:id="rId11"/>
  </externalReferences>
  <definedNames>
    <definedName name="_xlnm._FilterDatabase" localSheetId="8" hidden="1">BATUMI!$A$4:$BY$57</definedName>
    <definedName name="_xlnm._FilterDatabase" localSheetId="4" hidden="1">'GENEL HEDEF'!$A$4:$DI$57</definedName>
    <definedName name="_xlnm._FilterDatabase" localSheetId="2" hidden="1">KILIT!$A$4:$AW$57</definedName>
    <definedName name="_xlnm._FilterDatabase" localSheetId="5" hidden="1">MARNEULI!$A$4:$CF$57</definedName>
    <definedName name="_xlnm._FilterDatabase" localSheetId="1" hidden="1">PLS!$A$4:$BA$57</definedName>
    <definedName name="_xlnm._FilterDatabase" localSheetId="7" hidden="1">QUTAISI!$A$4:$BE$57</definedName>
    <definedName name="_xlnm._FilterDatabase" localSheetId="3" hidden="1">RUSTAVI!$A$4:$AG$57</definedName>
    <definedName name="_xlnm._FilterDatabase" localSheetId="9" hidden="1">Sheet1!$C$1:$C$42</definedName>
    <definedName name="_xlnm._FilterDatabase" localSheetId="6" hidden="1">TELAVI!$A$4:$AO$57</definedName>
    <definedName name="_xlnm._FilterDatabase" localSheetId="0" hidden="1">'Toptan-Horeka'!$A$4:$BC$57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47" i="14" l="1"/>
  <c r="AD48" i="14"/>
  <c r="AD49" i="14"/>
  <c r="AD50" i="14"/>
  <c r="AD51" i="14"/>
  <c r="AD52" i="14"/>
  <c r="AD53" i="14"/>
  <c r="AD54" i="14"/>
  <c r="AD55" i="14"/>
  <c r="AD56" i="14"/>
  <c r="AD46" i="14"/>
  <c r="AD41" i="14"/>
  <c r="AD42" i="14"/>
  <c r="AD43" i="14"/>
  <c r="AD44" i="14"/>
  <c r="AD40" i="14"/>
  <c r="AD32" i="14"/>
  <c r="AD33" i="14"/>
  <c r="AD34" i="14"/>
  <c r="AD35" i="14"/>
  <c r="AD36" i="14"/>
  <c r="AD37" i="14"/>
  <c r="AD38" i="14"/>
  <c r="AD31" i="14"/>
  <c r="AD23" i="14"/>
  <c r="AD24" i="14"/>
  <c r="AD25" i="14"/>
  <c r="AD26" i="14"/>
  <c r="AD27" i="14"/>
  <c r="AD28" i="14"/>
  <c r="AD29" i="14"/>
  <c r="AD22" i="14"/>
  <c r="AD19" i="14"/>
  <c r="AD18" i="14"/>
  <c r="AD15" i="14"/>
  <c r="AD16" i="14"/>
  <c r="AD14" i="14"/>
  <c r="AD6" i="14"/>
  <c r="AD7" i="14"/>
  <c r="AD8" i="14"/>
  <c r="AD9" i="14"/>
  <c r="AD10" i="14"/>
  <c r="AD11" i="14"/>
  <c r="AD12" i="14"/>
  <c r="AD5" i="14"/>
  <c r="W47" i="14"/>
  <c r="W48" i="14"/>
  <c r="W49" i="14"/>
  <c r="W50" i="14"/>
  <c r="W51" i="14"/>
  <c r="W52" i="14"/>
  <c r="W53" i="14"/>
  <c r="W54" i="14"/>
  <c r="W55" i="14"/>
  <c r="W56" i="14"/>
  <c r="W46" i="14"/>
  <c r="W41" i="14"/>
  <c r="W42" i="14"/>
  <c r="W43" i="14"/>
  <c r="W44" i="14"/>
  <c r="W40" i="14"/>
  <c r="W32" i="14"/>
  <c r="W33" i="14"/>
  <c r="W34" i="14"/>
  <c r="W35" i="14"/>
  <c r="W36" i="14"/>
  <c r="W37" i="14"/>
  <c r="W38" i="14"/>
  <c r="W31" i="14"/>
  <c r="W23" i="14"/>
  <c r="W24" i="14"/>
  <c r="W25" i="14"/>
  <c r="W26" i="14"/>
  <c r="W27" i="14"/>
  <c r="W28" i="14"/>
  <c r="W29" i="14"/>
  <c r="W22" i="14"/>
  <c r="W19" i="14"/>
  <c r="W18" i="14"/>
  <c r="W15" i="14"/>
  <c r="W16" i="14"/>
  <c r="W14" i="14"/>
  <c r="W6" i="14"/>
  <c r="W7" i="14"/>
  <c r="W8" i="14"/>
  <c r="W9" i="14"/>
  <c r="W10" i="14"/>
  <c r="W11" i="14"/>
  <c r="W12" i="14"/>
  <c r="W5" i="14"/>
  <c r="O47" i="14"/>
  <c r="O48" i="14"/>
  <c r="O49" i="14"/>
  <c r="O50" i="14"/>
  <c r="O51" i="14"/>
  <c r="O52" i="14"/>
  <c r="O53" i="14"/>
  <c r="O54" i="14"/>
  <c r="O55" i="14"/>
  <c r="O56" i="14"/>
  <c r="O46" i="14"/>
  <c r="O41" i="14"/>
  <c r="O42" i="14"/>
  <c r="O43" i="14"/>
  <c r="O44" i="14"/>
  <c r="O40" i="14"/>
  <c r="O32" i="14"/>
  <c r="O33" i="14"/>
  <c r="O34" i="14"/>
  <c r="O35" i="14"/>
  <c r="O36" i="14"/>
  <c r="O37" i="14"/>
  <c r="O38" i="14"/>
  <c r="O31" i="14"/>
  <c r="O23" i="14"/>
  <c r="O24" i="14"/>
  <c r="O25" i="14"/>
  <c r="O26" i="14"/>
  <c r="O27" i="14"/>
  <c r="O28" i="14"/>
  <c r="O29" i="14"/>
  <c r="O22" i="14"/>
  <c r="O19" i="14"/>
  <c r="O18" i="14"/>
  <c r="O15" i="14"/>
  <c r="O16" i="14"/>
  <c r="O14" i="14"/>
  <c r="O6" i="14"/>
  <c r="O7" i="14"/>
  <c r="O8" i="14"/>
  <c r="O9" i="14"/>
  <c r="O10" i="14"/>
  <c r="O11" i="14"/>
  <c r="O12" i="14"/>
  <c r="O5" i="14"/>
  <c r="G47" i="14"/>
  <c r="G48" i="14"/>
  <c r="G49" i="14"/>
  <c r="G50" i="14"/>
  <c r="G51" i="14"/>
  <c r="G52" i="14"/>
  <c r="G53" i="14"/>
  <c r="G54" i="14"/>
  <c r="G55" i="14"/>
  <c r="G56" i="14"/>
  <c r="G46" i="14"/>
  <c r="G41" i="14"/>
  <c r="G42" i="14"/>
  <c r="G43" i="14"/>
  <c r="G44" i="14"/>
  <c r="G40" i="14"/>
  <c r="G32" i="14"/>
  <c r="G33" i="14"/>
  <c r="G34" i="14"/>
  <c r="G35" i="14"/>
  <c r="G36" i="14"/>
  <c r="G37" i="14"/>
  <c r="G38" i="14"/>
  <c r="G31" i="14"/>
  <c r="G23" i="14"/>
  <c r="G24" i="14"/>
  <c r="G25" i="14"/>
  <c r="G26" i="14"/>
  <c r="G27" i="14"/>
  <c r="G28" i="14"/>
  <c r="G29" i="14"/>
  <c r="G22" i="14"/>
  <c r="G19" i="14"/>
  <c r="G18" i="14"/>
  <c r="G15" i="14"/>
  <c r="G16" i="14"/>
  <c r="G14" i="14"/>
  <c r="G6" i="14"/>
  <c r="G7" i="14"/>
  <c r="G8" i="14"/>
  <c r="G9" i="14"/>
  <c r="G10" i="14"/>
  <c r="G11" i="14"/>
  <c r="G12" i="14"/>
  <c r="G5" i="14"/>
  <c r="AC47" i="14"/>
  <c r="AC48" i="14"/>
  <c r="AC49" i="14"/>
  <c r="AC50" i="14"/>
  <c r="AC51" i="14"/>
  <c r="AC52" i="14"/>
  <c r="AC53" i="14"/>
  <c r="AC54" i="14"/>
  <c r="AC55" i="14"/>
  <c r="AC56" i="14"/>
  <c r="AC46" i="14"/>
  <c r="AC41" i="14"/>
  <c r="AC42" i="14"/>
  <c r="AC43" i="14"/>
  <c r="AC44" i="14"/>
  <c r="AC40" i="14"/>
  <c r="AC32" i="14"/>
  <c r="AC33" i="14"/>
  <c r="AC34" i="14"/>
  <c r="AC35" i="14"/>
  <c r="AC36" i="14"/>
  <c r="AC37" i="14"/>
  <c r="AC38" i="14"/>
  <c r="AC31" i="14"/>
  <c r="AC23" i="14"/>
  <c r="AC24" i="14"/>
  <c r="AC25" i="14"/>
  <c r="AC26" i="14"/>
  <c r="AC27" i="14"/>
  <c r="AC28" i="14"/>
  <c r="AC29" i="14"/>
  <c r="AC22" i="14"/>
  <c r="AC19" i="14"/>
  <c r="AC18" i="14"/>
  <c r="AC15" i="14"/>
  <c r="AC16" i="14"/>
  <c r="AC14" i="14"/>
  <c r="AC6" i="14"/>
  <c r="AC7" i="14"/>
  <c r="AC8" i="14"/>
  <c r="AC9" i="14"/>
  <c r="AC10" i="14"/>
  <c r="AC11" i="14"/>
  <c r="AC12" i="14"/>
  <c r="AC5" i="14"/>
  <c r="P49" i="14"/>
  <c r="H49" i="14"/>
  <c r="N13" i="14" l="1"/>
  <c r="AC13" i="14"/>
  <c r="BB64" i="9"/>
  <c r="AL62" i="19"/>
  <c r="AM62" i="19" s="1"/>
  <c r="BB62" i="19"/>
  <c r="BB64" i="19"/>
  <c r="CF57" i="19"/>
  <c r="CF45" i="19"/>
  <c r="CF39" i="19"/>
  <c r="CF30" i="19"/>
  <c r="CF20" i="19"/>
  <c r="CF21" i="19" s="1"/>
  <c r="CF17" i="19"/>
  <c r="CF13" i="19"/>
  <c r="BY57" i="19"/>
  <c r="BY45" i="19"/>
  <c r="BY39" i="19"/>
  <c r="BY30" i="19"/>
  <c r="BY20" i="19"/>
  <c r="BY21" i="19" s="1"/>
  <c r="BY17" i="19"/>
  <c r="BY13" i="19"/>
  <c r="U57" i="19"/>
  <c r="U45" i="19"/>
  <c r="U39" i="19"/>
  <c r="U30" i="19"/>
  <c r="U20" i="19"/>
  <c r="U21" i="19" s="1"/>
  <c r="U17" i="19"/>
  <c r="U13" i="19"/>
  <c r="M57" i="19"/>
  <c r="M45" i="19"/>
  <c r="M39" i="19"/>
  <c r="M30" i="19"/>
  <c r="M20" i="19"/>
  <c r="M21" i="19" s="1"/>
  <c r="M17" i="19"/>
  <c r="M13" i="19"/>
  <c r="E57" i="19"/>
  <c r="E45" i="19"/>
  <c r="E39" i="19"/>
  <c r="E30" i="19"/>
  <c r="E20" i="19"/>
  <c r="E21" i="19" s="1"/>
  <c r="E17" i="19"/>
  <c r="E13" i="19"/>
  <c r="U57" i="14"/>
  <c r="U45" i="14"/>
  <c r="U39" i="14"/>
  <c r="U30" i="14"/>
  <c r="U20" i="14"/>
  <c r="U17" i="14"/>
  <c r="U13" i="14"/>
  <c r="M57" i="14"/>
  <c r="M45" i="14"/>
  <c r="M39" i="14"/>
  <c r="M30" i="14"/>
  <c r="M20" i="14"/>
  <c r="M17" i="14"/>
  <c r="M13" i="14"/>
  <c r="E57" i="14"/>
  <c r="E45" i="14"/>
  <c r="E39" i="14"/>
  <c r="E30" i="14"/>
  <c r="E20" i="14"/>
  <c r="E17" i="14"/>
  <c r="E13" i="14"/>
  <c r="BI57" i="19"/>
  <c r="BI45" i="19"/>
  <c r="BI39" i="19"/>
  <c r="BI30" i="19"/>
  <c r="BI20" i="19"/>
  <c r="BI21" i="19" s="1"/>
  <c r="BI17" i="19"/>
  <c r="BI13" i="19"/>
  <c r="BA57" i="19"/>
  <c r="BA45" i="19"/>
  <c r="BA39" i="19"/>
  <c r="BA30" i="19"/>
  <c r="BA20" i="19"/>
  <c r="BA21" i="19" s="1"/>
  <c r="BA17" i="19"/>
  <c r="BA13" i="19"/>
  <c r="AS57" i="19"/>
  <c r="AS45" i="19"/>
  <c r="AS39" i="19"/>
  <c r="AS30" i="19"/>
  <c r="AS20" i="19"/>
  <c r="AS21" i="19" s="1"/>
  <c r="AS17" i="19"/>
  <c r="AS13" i="19"/>
  <c r="AK57" i="19"/>
  <c r="AK45" i="19"/>
  <c r="AK39" i="19"/>
  <c r="AK30" i="19"/>
  <c r="AK20" i="19"/>
  <c r="AK21" i="19" s="1"/>
  <c r="AK17" i="19"/>
  <c r="AK13" i="19"/>
  <c r="DE13" i="19"/>
  <c r="BN50" i="9"/>
  <c r="BN49" i="9"/>
  <c r="BN41" i="9"/>
  <c r="BN40" i="9"/>
  <c r="BN31" i="9"/>
  <c r="BN23" i="9"/>
  <c r="BN11" i="9"/>
  <c r="BN10" i="9"/>
  <c r="CR31" i="19"/>
  <c r="CR5" i="19"/>
  <c r="CW64" i="19"/>
  <c r="BA57" i="9"/>
  <c r="BA45" i="9"/>
  <c r="BA39" i="9"/>
  <c r="BA30" i="9"/>
  <c r="BA20" i="9"/>
  <c r="BA21" i="9" s="1"/>
  <c r="BA17" i="9"/>
  <c r="BA13" i="9"/>
  <c r="AS57" i="9"/>
  <c r="AS45" i="9"/>
  <c r="AS39" i="9"/>
  <c r="AS30" i="9"/>
  <c r="AS20" i="9"/>
  <c r="AS21" i="9" s="1"/>
  <c r="AS17" i="9"/>
  <c r="AS13" i="9"/>
  <c r="AK57" i="9"/>
  <c r="AK45" i="9"/>
  <c r="AK39" i="9"/>
  <c r="AK30" i="9"/>
  <c r="AK20" i="9"/>
  <c r="AK17" i="9"/>
  <c r="AK13" i="9"/>
  <c r="AC57" i="9"/>
  <c r="AC45" i="9"/>
  <c r="AC39" i="9"/>
  <c r="AC30" i="9"/>
  <c r="AC20" i="9"/>
  <c r="AC21" i="9" s="1"/>
  <c r="AC17" i="9"/>
  <c r="AC13" i="9"/>
  <c r="U57" i="9"/>
  <c r="U45" i="9"/>
  <c r="U39" i="9"/>
  <c r="U30" i="9"/>
  <c r="U20" i="9"/>
  <c r="U17" i="9"/>
  <c r="U13" i="9"/>
  <c r="M57" i="9"/>
  <c r="M45" i="9"/>
  <c r="M39" i="9"/>
  <c r="M30" i="9"/>
  <c r="M20" i="9"/>
  <c r="M17" i="9"/>
  <c r="M13" i="9"/>
  <c r="E57" i="9"/>
  <c r="E45" i="9"/>
  <c r="E39" i="9"/>
  <c r="E30" i="9"/>
  <c r="E20" i="9"/>
  <c r="E21" i="9" s="1"/>
  <c r="E17" i="9"/>
  <c r="E13" i="9"/>
  <c r="M57" i="5"/>
  <c r="M45" i="5"/>
  <c r="M39" i="5"/>
  <c r="M30" i="5"/>
  <c r="M20" i="5"/>
  <c r="M21" i="5" s="1"/>
  <c r="M17" i="5"/>
  <c r="M13" i="5"/>
  <c r="U57" i="5"/>
  <c r="U45" i="5"/>
  <c r="U39" i="5"/>
  <c r="U30" i="5"/>
  <c r="U20" i="5"/>
  <c r="U17" i="5"/>
  <c r="U13" i="5"/>
  <c r="E57" i="5"/>
  <c r="E45" i="5"/>
  <c r="E39" i="5"/>
  <c r="E30" i="5"/>
  <c r="E20" i="5"/>
  <c r="E17" i="5"/>
  <c r="E13" i="5"/>
  <c r="AC57" i="4"/>
  <c r="AC45" i="4"/>
  <c r="AC39" i="4"/>
  <c r="AC30" i="4"/>
  <c r="AC20" i="4"/>
  <c r="AC17" i="4"/>
  <c r="AC13" i="4"/>
  <c r="U57" i="4"/>
  <c r="U45" i="4"/>
  <c r="U39" i="4"/>
  <c r="U30" i="4"/>
  <c r="U20" i="4"/>
  <c r="U17" i="4"/>
  <c r="U13" i="4"/>
  <c r="M57" i="4"/>
  <c r="M45" i="4"/>
  <c r="M39" i="4"/>
  <c r="M30" i="4"/>
  <c r="M20" i="4"/>
  <c r="M17" i="4"/>
  <c r="M13" i="4"/>
  <c r="E57" i="4"/>
  <c r="E45" i="4"/>
  <c r="E39" i="4"/>
  <c r="E30" i="4"/>
  <c r="E20" i="4"/>
  <c r="E17" i="4"/>
  <c r="E13" i="4"/>
  <c r="AK57" i="18"/>
  <c r="AK45" i="18"/>
  <c r="AK39" i="18"/>
  <c r="AK30" i="18"/>
  <c r="AK20" i="18"/>
  <c r="AK21" i="18" s="1"/>
  <c r="AK17" i="18"/>
  <c r="AK13" i="18"/>
  <c r="AC57" i="18"/>
  <c r="AC45" i="18"/>
  <c r="AC39" i="18"/>
  <c r="AC30" i="18"/>
  <c r="AC20" i="18"/>
  <c r="AC17" i="18"/>
  <c r="AC13" i="18"/>
  <c r="U57" i="18"/>
  <c r="U45" i="18"/>
  <c r="U39" i="18"/>
  <c r="U30" i="18"/>
  <c r="U20" i="18"/>
  <c r="U17" i="18"/>
  <c r="U13" i="18"/>
  <c r="M57" i="18"/>
  <c r="M45" i="18"/>
  <c r="M39" i="18"/>
  <c r="M30" i="18"/>
  <c r="M20" i="18"/>
  <c r="M17" i="18"/>
  <c r="M13" i="18"/>
  <c r="E57" i="18"/>
  <c r="E45" i="18"/>
  <c r="E39" i="18"/>
  <c r="E30" i="18"/>
  <c r="E20" i="18"/>
  <c r="E17" i="18"/>
  <c r="E13" i="18"/>
  <c r="U57" i="12"/>
  <c r="U45" i="12"/>
  <c r="U39" i="12"/>
  <c r="U30" i="12"/>
  <c r="U20" i="12"/>
  <c r="U21" i="12" s="1"/>
  <c r="U17" i="12"/>
  <c r="U13" i="12"/>
  <c r="M57" i="12"/>
  <c r="M45" i="12"/>
  <c r="M39" i="12"/>
  <c r="M30" i="12"/>
  <c r="M20" i="12"/>
  <c r="M17" i="12"/>
  <c r="M13" i="12"/>
  <c r="E57" i="12"/>
  <c r="E45" i="12"/>
  <c r="E39" i="12"/>
  <c r="E30" i="12"/>
  <c r="E20" i="12"/>
  <c r="E17" i="12"/>
  <c r="E13" i="12"/>
  <c r="M57" i="17"/>
  <c r="M45" i="17"/>
  <c r="M39" i="17"/>
  <c r="M30" i="17"/>
  <c r="M20" i="17"/>
  <c r="M17" i="17"/>
  <c r="M13" i="17"/>
  <c r="E45" i="17"/>
  <c r="E39" i="17"/>
  <c r="E30" i="17"/>
  <c r="E20" i="17"/>
  <c r="E21" i="17" s="1"/>
  <c r="E17" i="17"/>
  <c r="E13" i="17"/>
  <c r="CM57" i="19"/>
  <c r="CM45" i="19"/>
  <c r="CM39" i="19"/>
  <c r="CM30" i="19"/>
  <c r="CM20" i="19"/>
  <c r="CM17" i="19"/>
  <c r="CM13" i="19"/>
  <c r="BQ57" i="19"/>
  <c r="BQ45" i="19"/>
  <c r="BQ39" i="19"/>
  <c r="BQ30" i="19"/>
  <c r="BQ20" i="19"/>
  <c r="BQ17" i="19"/>
  <c r="BQ13" i="19"/>
  <c r="AC57" i="19"/>
  <c r="AC45" i="19"/>
  <c r="AC39" i="19"/>
  <c r="AC30" i="19"/>
  <c r="AC20" i="19"/>
  <c r="AC17" i="19"/>
  <c r="AC13" i="19"/>
  <c r="BZ64" i="19"/>
  <c r="AL46" i="5"/>
  <c r="AT46" i="5" s="1"/>
  <c r="BB62" i="9"/>
  <c r="BD62" i="9" s="1"/>
  <c r="AL64" i="19"/>
  <c r="F48" i="15"/>
  <c r="F47" i="15"/>
  <c r="F46" i="15"/>
  <c r="F45" i="15"/>
  <c r="F44" i="15"/>
  <c r="F43" i="15"/>
  <c r="C1" i="9"/>
  <c r="C1" i="6"/>
  <c r="C1" i="12"/>
  <c r="C1" i="17"/>
  <c r="C1" i="5"/>
  <c r="C1" i="4"/>
  <c r="C1" i="18"/>
  <c r="AT49" i="5"/>
  <c r="AT48" i="5"/>
  <c r="AU46" i="4"/>
  <c r="AG5" i="19"/>
  <c r="AH5" i="19"/>
  <c r="BU5" i="19"/>
  <c r="BV5" i="19"/>
  <c r="CQ5" i="19"/>
  <c r="CU5" i="19"/>
  <c r="AG6" i="19"/>
  <c r="AH6" i="19"/>
  <c r="BU6" i="19"/>
  <c r="BV6" i="19"/>
  <c r="CQ6" i="19"/>
  <c r="CR6" i="19"/>
  <c r="CU6" i="19"/>
  <c r="DF6" i="19" s="1"/>
  <c r="AG7" i="19"/>
  <c r="AH7" i="19"/>
  <c r="BU7" i="19"/>
  <c r="BV7" i="19"/>
  <c r="CQ7" i="19"/>
  <c r="CR7" i="19"/>
  <c r="CU7" i="19"/>
  <c r="AG8" i="19"/>
  <c r="AH8" i="19"/>
  <c r="BU8" i="19"/>
  <c r="BV8" i="19"/>
  <c r="CQ8" i="19"/>
  <c r="CR8" i="19"/>
  <c r="CU8" i="19"/>
  <c r="DF8" i="19" s="1"/>
  <c r="AG9" i="19"/>
  <c r="AH9" i="19"/>
  <c r="BU9" i="19"/>
  <c r="BV9" i="19"/>
  <c r="CQ9" i="19"/>
  <c r="CR9" i="19"/>
  <c r="CU9" i="19"/>
  <c r="AG10" i="19"/>
  <c r="BU10" i="19"/>
  <c r="CQ10" i="19"/>
  <c r="CU10" i="19"/>
  <c r="DF10" i="19" s="1"/>
  <c r="AG11" i="19"/>
  <c r="AH11" i="19"/>
  <c r="BU11" i="19"/>
  <c r="BV11" i="19"/>
  <c r="CQ11" i="19"/>
  <c r="CR11" i="19"/>
  <c r="CU11" i="19"/>
  <c r="AG12" i="19"/>
  <c r="AH12" i="19"/>
  <c r="BU12" i="19"/>
  <c r="CQ12" i="19"/>
  <c r="CR12" i="19"/>
  <c r="CU12" i="19"/>
  <c r="AG14" i="19"/>
  <c r="AH14" i="19"/>
  <c r="BU14" i="19"/>
  <c r="BV14" i="19"/>
  <c r="CQ14" i="19"/>
  <c r="CR14" i="19"/>
  <c r="CU14" i="19"/>
  <c r="DF14" i="19" s="1"/>
  <c r="AG15" i="19"/>
  <c r="AH15" i="19"/>
  <c r="BU15" i="19"/>
  <c r="BV15" i="19"/>
  <c r="CQ15" i="19"/>
  <c r="CR15" i="19"/>
  <c r="CU15" i="19"/>
  <c r="DF15" i="19" s="1"/>
  <c r="AG16" i="19"/>
  <c r="AH16" i="19"/>
  <c r="BU16" i="19"/>
  <c r="BV16" i="19"/>
  <c r="CQ16" i="19"/>
  <c r="CR16" i="19"/>
  <c r="CU16" i="19"/>
  <c r="DE17" i="19"/>
  <c r="AG18" i="19"/>
  <c r="AH18" i="19"/>
  <c r="BU18" i="19"/>
  <c r="BV18" i="19"/>
  <c r="CQ18" i="19"/>
  <c r="CR18" i="19"/>
  <c r="CU18" i="19"/>
  <c r="AG19" i="19"/>
  <c r="AH19" i="19"/>
  <c r="BU19" i="19"/>
  <c r="BV19" i="19"/>
  <c r="CQ19" i="19"/>
  <c r="CR19" i="19"/>
  <c r="CU19" i="19"/>
  <c r="DE20" i="19"/>
  <c r="AG22" i="19"/>
  <c r="BU22" i="19"/>
  <c r="CQ22" i="19"/>
  <c r="CU22" i="19"/>
  <c r="DF22" i="19" s="1"/>
  <c r="AG23" i="19"/>
  <c r="AH23" i="19"/>
  <c r="BU23" i="19"/>
  <c r="BV23" i="19"/>
  <c r="CQ23" i="19"/>
  <c r="CR23" i="19"/>
  <c r="CU23" i="19"/>
  <c r="DF23" i="19" s="1"/>
  <c r="AG24" i="19"/>
  <c r="AH24" i="19"/>
  <c r="BU24" i="19"/>
  <c r="CQ24" i="19"/>
  <c r="CR24" i="19"/>
  <c r="CU24" i="19"/>
  <c r="DF24" i="19" s="1"/>
  <c r="AG25" i="19"/>
  <c r="AH25" i="19"/>
  <c r="BU25" i="19"/>
  <c r="BV25" i="19"/>
  <c r="CQ25" i="19"/>
  <c r="CR25" i="19"/>
  <c r="CU25" i="19"/>
  <c r="AG26" i="19"/>
  <c r="AH26" i="19"/>
  <c r="BU26" i="19"/>
  <c r="BV26" i="19"/>
  <c r="CQ26" i="19"/>
  <c r="CR26" i="19"/>
  <c r="CU26" i="19"/>
  <c r="AG27" i="19"/>
  <c r="AH27" i="19"/>
  <c r="BU27" i="19"/>
  <c r="BV27" i="19"/>
  <c r="CQ27" i="19"/>
  <c r="CR27" i="19"/>
  <c r="CU27" i="19"/>
  <c r="DF27" i="19" s="1"/>
  <c r="AG28" i="19"/>
  <c r="AH28" i="19"/>
  <c r="BU28" i="19"/>
  <c r="BV28" i="19"/>
  <c r="CQ28" i="19"/>
  <c r="CR28" i="19"/>
  <c r="CU28" i="19"/>
  <c r="AG29" i="19"/>
  <c r="AH29" i="19"/>
  <c r="BU29" i="19"/>
  <c r="BV29" i="19"/>
  <c r="CQ29" i="19"/>
  <c r="CR29" i="19"/>
  <c r="CU29" i="19"/>
  <c r="DF29" i="19" s="1"/>
  <c r="DE30" i="19"/>
  <c r="AG31" i="19"/>
  <c r="BU31" i="19"/>
  <c r="CQ31" i="19"/>
  <c r="CU31" i="19"/>
  <c r="DF31" i="19" s="1"/>
  <c r="AG32" i="19"/>
  <c r="AH32" i="19"/>
  <c r="BU32" i="19"/>
  <c r="BV32" i="19"/>
  <c r="CQ32" i="19"/>
  <c r="CR32" i="19"/>
  <c r="CU32" i="19"/>
  <c r="DF32" i="19" s="1"/>
  <c r="AG33" i="19"/>
  <c r="AH33" i="19"/>
  <c r="BU33" i="19"/>
  <c r="CQ33" i="19"/>
  <c r="CR33" i="19"/>
  <c r="CU33" i="19"/>
  <c r="DF33" i="19" s="1"/>
  <c r="AG34" i="19"/>
  <c r="AH34" i="19"/>
  <c r="BU34" i="19"/>
  <c r="BV34" i="19"/>
  <c r="CQ34" i="19"/>
  <c r="CR34" i="19"/>
  <c r="CU34" i="19"/>
  <c r="AG35" i="19"/>
  <c r="AH35" i="19"/>
  <c r="BU35" i="19"/>
  <c r="BV35" i="19"/>
  <c r="CQ35" i="19"/>
  <c r="CR35" i="19"/>
  <c r="CU35" i="19"/>
  <c r="DF35" i="19" s="1"/>
  <c r="AG36" i="19"/>
  <c r="AH36" i="19"/>
  <c r="BU36" i="19"/>
  <c r="BV36" i="19"/>
  <c r="CQ36" i="19"/>
  <c r="CR36" i="19"/>
  <c r="CU36" i="19"/>
  <c r="DF36" i="19" s="1"/>
  <c r="AG37" i="19"/>
  <c r="AH37" i="19"/>
  <c r="BU37" i="19"/>
  <c r="BV37" i="19"/>
  <c r="CQ37" i="19"/>
  <c r="CR37" i="19"/>
  <c r="CU37" i="19"/>
  <c r="AG38" i="19"/>
  <c r="AH38" i="19"/>
  <c r="BU38" i="19"/>
  <c r="BV38" i="19"/>
  <c r="CQ38" i="19"/>
  <c r="CR38" i="19"/>
  <c r="CU38" i="19"/>
  <c r="DE39" i="19"/>
  <c r="AG40" i="19"/>
  <c r="BU40" i="19"/>
  <c r="CQ40" i="19"/>
  <c r="CU40" i="19"/>
  <c r="DF40" i="19" s="1"/>
  <c r="AG41" i="19"/>
  <c r="AH41" i="19"/>
  <c r="BU41" i="19"/>
  <c r="BV41" i="19"/>
  <c r="CQ41" i="19"/>
  <c r="CR41" i="19"/>
  <c r="CU41" i="19"/>
  <c r="DF41" i="19" s="1"/>
  <c r="AG42" i="19"/>
  <c r="AH42" i="19"/>
  <c r="BU42" i="19"/>
  <c r="CQ42" i="19"/>
  <c r="CR42" i="19"/>
  <c r="CU42" i="19"/>
  <c r="DF42" i="19" s="1"/>
  <c r="AG43" i="19"/>
  <c r="AH43" i="19"/>
  <c r="BU43" i="19"/>
  <c r="BV43" i="19"/>
  <c r="CQ43" i="19"/>
  <c r="CR43" i="19"/>
  <c r="CU43" i="19"/>
  <c r="DF43" i="19" s="1"/>
  <c r="AG44" i="19"/>
  <c r="AH44" i="19"/>
  <c r="BU44" i="19"/>
  <c r="BV44" i="19"/>
  <c r="CQ44" i="19"/>
  <c r="CR44" i="19"/>
  <c r="CU44" i="19"/>
  <c r="DF44" i="19" s="1"/>
  <c r="DE45" i="19"/>
  <c r="AG46" i="19"/>
  <c r="AH46" i="19"/>
  <c r="BU46" i="19"/>
  <c r="BV46" i="19"/>
  <c r="CQ46" i="19"/>
  <c r="CR46" i="19"/>
  <c r="CU46" i="19"/>
  <c r="DF46" i="19" s="1"/>
  <c r="AG47" i="19"/>
  <c r="AH47" i="19"/>
  <c r="BU47" i="19"/>
  <c r="BV47" i="19"/>
  <c r="CQ47" i="19"/>
  <c r="CR47" i="19"/>
  <c r="CU47" i="19"/>
  <c r="DF47" i="19" s="1"/>
  <c r="AG48" i="19"/>
  <c r="AH48" i="19"/>
  <c r="BU48" i="19"/>
  <c r="BV48" i="19"/>
  <c r="CQ48" i="19"/>
  <c r="CR48" i="19"/>
  <c r="CU48" i="19"/>
  <c r="DF48" i="19" s="1"/>
  <c r="AU49" i="4"/>
  <c r="BU49" i="19"/>
  <c r="CQ49" i="19"/>
  <c r="CU49" i="19"/>
  <c r="DF49" i="19" s="1"/>
  <c r="AG50" i="19"/>
  <c r="AH50" i="19"/>
  <c r="BU50" i="19"/>
  <c r="BV50" i="19"/>
  <c r="CQ50" i="19"/>
  <c r="CR50" i="19"/>
  <c r="CU50" i="19"/>
  <c r="DF50" i="19" s="1"/>
  <c r="AG51" i="19"/>
  <c r="AH51" i="19"/>
  <c r="BU51" i="19"/>
  <c r="CQ51" i="19"/>
  <c r="CR51" i="19"/>
  <c r="CU51" i="19"/>
  <c r="DF51" i="19" s="1"/>
  <c r="AG52" i="19"/>
  <c r="AH52" i="19"/>
  <c r="BU52" i="19"/>
  <c r="BV52" i="19"/>
  <c r="CQ52" i="19"/>
  <c r="CR52" i="19"/>
  <c r="CU52" i="19"/>
  <c r="AG53" i="19"/>
  <c r="AH53" i="19"/>
  <c r="BU53" i="19"/>
  <c r="BV53" i="19"/>
  <c r="CQ53" i="19"/>
  <c r="CR53" i="19"/>
  <c r="CU53" i="19"/>
  <c r="DF53" i="19" s="1"/>
  <c r="AG54" i="19"/>
  <c r="AH54" i="19"/>
  <c r="BU54" i="19"/>
  <c r="BV54" i="19"/>
  <c r="CQ54" i="19"/>
  <c r="CR54" i="19"/>
  <c r="CU54" i="19"/>
  <c r="DF54" i="19" s="1"/>
  <c r="AG55" i="19"/>
  <c r="AH55" i="19"/>
  <c r="BU55" i="19"/>
  <c r="BV55" i="19"/>
  <c r="CQ55" i="19"/>
  <c r="CR55" i="19"/>
  <c r="CU55" i="19"/>
  <c r="DF55" i="19" s="1"/>
  <c r="AG56" i="19"/>
  <c r="AH56" i="19"/>
  <c r="BU56" i="19"/>
  <c r="BV56" i="19"/>
  <c r="CQ56" i="19"/>
  <c r="CR56" i="19"/>
  <c r="CU56" i="19"/>
  <c r="DF56" i="19" s="1"/>
  <c r="DE57" i="19"/>
  <c r="AM48" i="4"/>
  <c r="AU48" i="4" s="1"/>
  <c r="BN22" i="9"/>
  <c r="BN51" i="9"/>
  <c r="BN48" i="9"/>
  <c r="BN38" i="9"/>
  <c r="BN33" i="9"/>
  <c r="BN32" i="9"/>
  <c r="BN29" i="9"/>
  <c r="BN9" i="9"/>
  <c r="BN19" i="9"/>
  <c r="BN56" i="9"/>
  <c r="BN47" i="9"/>
  <c r="BN37" i="9"/>
  <c r="BN18" i="9"/>
  <c r="BN8" i="9"/>
  <c r="AX53" i="6"/>
  <c r="BI53" i="9"/>
  <c r="AM55" i="4"/>
  <c r="AU55" i="4" s="1"/>
  <c r="AM56" i="4"/>
  <c r="AU56" i="4" s="1"/>
  <c r="BN43" i="9"/>
  <c r="BN24" i="9"/>
  <c r="BN12" i="9"/>
  <c r="F42" i="15"/>
  <c r="F41" i="15"/>
  <c r="G41" i="15"/>
  <c r="F40" i="15"/>
  <c r="G40" i="15"/>
  <c r="BN55" i="9"/>
  <c r="BN54" i="9"/>
  <c r="BN53" i="9"/>
  <c r="BN52" i="9"/>
  <c r="BN46" i="9"/>
  <c r="BN44" i="9"/>
  <c r="BN42" i="9"/>
  <c r="BN36" i="9"/>
  <c r="BN35" i="9"/>
  <c r="BN34" i="9"/>
  <c r="BN28" i="9"/>
  <c r="BN27" i="9"/>
  <c r="BN26" i="9"/>
  <c r="BN25" i="9"/>
  <c r="BN16" i="9"/>
  <c r="BN15" i="9"/>
  <c r="BN14" i="9"/>
  <c r="BN6" i="9"/>
  <c r="BN7" i="9"/>
  <c r="BI56" i="9"/>
  <c r="BI55" i="9"/>
  <c r="BI54" i="9"/>
  <c r="BI52" i="9"/>
  <c r="BI51" i="9"/>
  <c r="BI50" i="9"/>
  <c r="BI48" i="9"/>
  <c r="BI47" i="9"/>
  <c r="BI46" i="9"/>
  <c r="BI44" i="9"/>
  <c r="BI43" i="9"/>
  <c r="BI42" i="9"/>
  <c r="BI41" i="9"/>
  <c r="BI40" i="9"/>
  <c r="BI38" i="9"/>
  <c r="BI37" i="9"/>
  <c r="BI36" i="9"/>
  <c r="BI35" i="9"/>
  <c r="BI34" i="9"/>
  <c r="BI33" i="9"/>
  <c r="BI32" i="9"/>
  <c r="BI31" i="9"/>
  <c r="BI29" i="9"/>
  <c r="BI28" i="9"/>
  <c r="BI27" i="9"/>
  <c r="BI26" i="9"/>
  <c r="BI25" i="9"/>
  <c r="BI24" i="9"/>
  <c r="BI23" i="9"/>
  <c r="BI22" i="9"/>
  <c r="BI19" i="9"/>
  <c r="BI18" i="9"/>
  <c r="BI16" i="9"/>
  <c r="BI15" i="9"/>
  <c r="BI14" i="9"/>
  <c r="BI6" i="9"/>
  <c r="BI7" i="9"/>
  <c r="BI8" i="9"/>
  <c r="BI9" i="9"/>
  <c r="BI10" i="9"/>
  <c r="BI11" i="9"/>
  <c r="BI12" i="9"/>
  <c r="BI5" i="9"/>
  <c r="BQ56" i="9"/>
  <c r="BX56" i="9" s="1"/>
  <c r="BQ55" i="9"/>
  <c r="BX55" i="9" s="1"/>
  <c r="BQ54" i="9"/>
  <c r="BX54" i="9" s="1"/>
  <c r="BQ53" i="9"/>
  <c r="BX53" i="9" s="1"/>
  <c r="BQ52" i="9"/>
  <c r="BX52" i="9" s="1"/>
  <c r="BQ51" i="9"/>
  <c r="BX51" i="9" s="1"/>
  <c r="BQ50" i="9"/>
  <c r="BX50" i="9" s="1"/>
  <c r="BQ49" i="9"/>
  <c r="BX49" i="9" s="1"/>
  <c r="BQ48" i="9"/>
  <c r="BX48" i="9" s="1"/>
  <c r="BQ47" i="9"/>
  <c r="BX47" i="9" s="1"/>
  <c r="BQ46" i="9"/>
  <c r="BX46" i="9" s="1"/>
  <c r="BQ44" i="9"/>
  <c r="BX44" i="9" s="1"/>
  <c r="BQ43" i="9"/>
  <c r="BX43" i="9" s="1"/>
  <c r="BQ42" i="9"/>
  <c r="BX42" i="9" s="1"/>
  <c r="BQ41" i="9"/>
  <c r="BX41" i="9" s="1"/>
  <c r="BQ40" i="9"/>
  <c r="BX40" i="9" s="1"/>
  <c r="BQ38" i="9"/>
  <c r="BX38" i="9" s="1"/>
  <c r="BQ37" i="9"/>
  <c r="BX37" i="9" s="1"/>
  <c r="BQ36" i="9"/>
  <c r="BX36" i="9" s="1"/>
  <c r="BQ35" i="9"/>
  <c r="BX35" i="9" s="1"/>
  <c r="BQ34" i="9"/>
  <c r="BX34" i="9" s="1"/>
  <c r="BQ33" i="9"/>
  <c r="BX33" i="9" s="1"/>
  <c r="BQ32" i="9"/>
  <c r="BX32" i="9" s="1"/>
  <c r="BQ31" i="9"/>
  <c r="BX31" i="9" s="1"/>
  <c r="BQ29" i="9"/>
  <c r="BX29" i="9" s="1"/>
  <c r="BQ28" i="9"/>
  <c r="BX28" i="9" s="1"/>
  <c r="BQ27" i="9"/>
  <c r="BX27" i="9" s="1"/>
  <c r="BQ26" i="9"/>
  <c r="BX26" i="9" s="1"/>
  <c r="BQ25" i="9"/>
  <c r="BX25" i="9" s="1"/>
  <c r="BQ24" i="9"/>
  <c r="BX24" i="9" s="1"/>
  <c r="BQ23" i="9"/>
  <c r="BX23" i="9" s="1"/>
  <c r="BQ22" i="9"/>
  <c r="BX22" i="9" s="1"/>
  <c r="BQ19" i="9"/>
  <c r="BX19" i="9" s="1"/>
  <c r="BQ18" i="9"/>
  <c r="BX18" i="9" s="1"/>
  <c r="BQ16" i="9"/>
  <c r="BX16" i="9" s="1"/>
  <c r="BQ15" i="9"/>
  <c r="BX15" i="9" s="1"/>
  <c r="BQ14" i="9"/>
  <c r="BX14" i="9" s="1"/>
  <c r="BQ6" i="9"/>
  <c r="BX6" i="9" s="1"/>
  <c r="BQ7" i="9"/>
  <c r="BX7" i="9" s="1"/>
  <c r="BQ8" i="9"/>
  <c r="BX8" i="9" s="1"/>
  <c r="BQ9" i="9"/>
  <c r="BX9" i="9" s="1"/>
  <c r="BQ10" i="9"/>
  <c r="BX10" i="9" s="1"/>
  <c r="BQ11" i="9"/>
  <c r="BX11" i="9" s="1"/>
  <c r="BQ12" i="9"/>
  <c r="BX12" i="9" s="1"/>
  <c r="BQ5" i="9"/>
  <c r="BX5" i="9" s="1"/>
  <c r="BJ64" i="9"/>
  <c r="AX53" i="18"/>
  <c r="AS53" i="18"/>
  <c r="BA53" i="18" s="1"/>
  <c r="AR53" i="4"/>
  <c r="AM53" i="4"/>
  <c r="AU53" i="4" s="1"/>
  <c r="AQ53" i="5"/>
  <c r="AL53" i="5"/>
  <c r="AT53" i="5" s="1"/>
  <c r="Z53" i="17"/>
  <c r="U53" i="17"/>
  <c r="AC53" i="17" s="1"/>
  <c r="AH53" i="12"/>
  <c r="AC53" i="12"/>
  <c r="AK53" i="12" s="1"/>
  <c r="AS53" i="6"/>
  <c r="AZ53" i="6" s="1"/>
  <c r="BV53" i="9"/>
  <c r="AC49" i="12"/>
  <c r="AK49" i="12" s="1"/>
  <c r="AC50" i="12"/>
  <c r="AK50" i="12" s="1"/>
  <c r="U49" i="17"/>
  <c r="AC49" i="17" s="1"/>
  <c r="U50" i="17"/>
  <c r="AC50" i="17" s="1"/>
  <c r="U51" i="17"/>
  <c r="AC51" i="17" s="1"/>
  <c r="F12" i="15"/>
  <c r="F11" i="15"/>
  <c r="F10" i="15"/>
  <c r="F9" i="15"/>
  <c r="U21" i="14" l="1"/>
  <c r="M21" i="14"/>
  <c r="E21" i="14"/>
  <c r="CW53" i="19"/>
  <c r="CW49" i="19"/>
  <c r="CW44" i="19"/>
  <c r="CW6" i="19"/>
  <c r="AL11" i="19"/>
  <c r="AN11" i="19" s="1"/>
  <c r="AL15" i="19"/>
  <c r="AN15" i="19" s="1"/>
  <c r="BZ52" i="19"/>
  <c r="CA52" i="19" s="1"/>
  <c r="N46" i="19"/>
  <c r="O46" i="19" s="1"/>
  <c r="N54" i="19"/>
  <c r="AL12" i="19"/>
  <c r="AM12" i="19" s="1"/>
  <c r="CG11" i="19"/>
  <c r="CH11" i="19" s="1"/>
  <c r="CG52" i="19"/>
  <c r="CH52" i="19" s="1"/>
  <c r="BZ53" i="19"/>
  <c r="CA53" i="19" s="1"/>
  <c r="N49" i="19"/>
  <c r="S49" i="19" s="1"/>
  <c r="CW51" i="19"/>
  <c r="AL24" i="19"/>
  <c r="AM24" i="19" s="1"/>
  <c r="AL53" i="19"/>
  <c r="AM53" i="19" s="1"/>
  <c r="CG12" i="19"/>
  <c r="CI12" i="19" s="1"/>
  <c r="AL32" i="19"/>
  <c r="AM32" i="19" s="1"/>
  <c r="CG27" i="19"/>
  <c r="CI27" i="19" s="1"/>
  <c r="AC21" i="19"/>
  <c r="CM21" i="19"/>
  <c r="M21" i="17"/>
  <c r="M21" i="12"/>
  <c r="CR10" i="19"/>
  <c r="CR22" i="19"/>
  <c r="CR40" i="19"/>
  <c r="CR49" i="19"/>
  <c r="BV10" i="19"/>
  <c r="BV22" i="19"/>
  <c r="BV31" i="19"/>
  <c r="BV40" i="19"/>
  <c r="BV49" i="19"/>
  <c r="BV12" i="19"/>
  <c r="BV24" i="19"/>
  <c r="BV33" i="19"/>
  <c r="BV42" i="19"/>
  <c r="BV51" i="19"/>
  <c r="AH31" i="19"/>
  <c r="AH10" i="19"/>
  <c r="AH22" i="19"/>
  <c r="AH40" i="19"/>
  <c r="AH49" i="19"/>
  <c r="AK21" i="9"/>
  <c r="M21" i="9"/>
  <c r="U21" i="9"/>
  <c r="E21" i="12"/>
  <c r="E21" i="5"/>
  <c r="U21" i="5"/>
  <c r="AC21" i="4"/>
  <c r="U21" i="4"/>
  <c r="M21" i="4"/>
  <c r="E21" i="4"/>
  <c r="AC21" i="18"/>
  <c r="U21" i="18"/>
  <c r="M21" i="18"/>
  <c r="E21" i="18"/>
  <c r="BQ21" i="19"/>
  <c r="CW10" i="19"/>
  <c r="CW11" i="19"/>
  <c r="CG56" i="19"/>
  <c r="CH56" i="19" s="1"/>
  <c r="BZ51" i="19"/>
  <c r="CA51" i="19" s="1"/>
  <c r="BZ32" i="19"/>
  <c r="CB32" i="19" s="1"/>
  <c r="BZ44" i="19"/>
  <c r="CB44" i="19" s="1"/>
  <c r="CW25" i="19"/>
  <c r="CW12" i="19"/>
  <c r="CW56" i="19"/>
  <c r="CW24" i="19"/>
  <c r="BB12" i="19"/>
  <c r="BD12" i="19" s="1"/>
  <c r="AL27" i="19"/>
  <c r="AQ27" i="19" s="1"/>
  <c r="AL51" i="19"/>
  <c r="AQ51" i="19" s="1"/>
  <c r="AL48" i="19"/>
  <c r="AM48" i="19" s="1"/>
  <c r="CG44" i="19"/>
  <c r="CI44" i="19" s="1"/>
  <c r="AT46" i="19"/>
  <c r="AY46" i="19" s="1"/>
  <c r="BB46" i="19"/>
  <c r="BD46" i="19" s="1"/>
  <c r="BZ25" i="19"/>
  <c r="CA25" i="19" s="1"/>
  <c r="BZ33" i="19"/>
  <c r="CB33" i="19" s="1"/>
  <c r="BZ38" i="19"/>
  <c r="CB38" i="19" s="1"/>
  <c r="BZ24" i="19"/>
  <c r="CA24" i="19" s="1"/>
  <c r="BZ47" i="19"/>
  <c r="CD47" i="19" s="1"/>
  <c r="CW52" i="19"/>
  <c r="CW55" i="19"/>
  <c r="BZ12" i="19"/>
  <c r="CA12" i="19" s="1"/>
  <c r="CW38" i="19"/>
  <c r="CW40" i="19"/>
  <c r="CW43" i="19"/>
  <c r="AL54" i="19"/>
  <c r="AQ54" i="19" s="1"/>
  <c r="CG53" i="19"/>
  <c r="CH53" i="19" s="1"/>
  <c r="BZ28" i="19"/>
  <c r="CA28" i="19" s="1"/>
  <c r="BZ40" i="19"/>
  <c r="CB40" i="19" s="1"/>
  <c r="BZ6" i="19"/>
  <c r="CD6" i="19" s="1"/>
  <c r="N62" i="19"/>
  <c r="O62" i="19" s="1"/>
  <c r="AL56" i="19"/>
  <c r="AM56" i="19" s="1"/>
  <c r="AL55" i="19"/>
  <c r="AN55" i="19" s="1"/>
  <c r="AL43" i="19"/>
  <c r="AN43" i="19" s="1"/>
  <c r="CG62" i="19"/>
  <c r="CI62" i="19" s="1"/>
  <c r="AL25" i="19"/>
  <c r="AM25" i="19" s="1"/>
  <c r="AL52" i="19"/>
  <c r="AQ52" i="19" s="1"/>
  <c r="AL47" i="19"/>
  <c r="AN47" i="19" s="1"/>
  <c r="BZ54" i="19"/>
  <c r="CB54" i="19" s="1"/>
  <c r="AT48" i="19"/>
  <c r="AY48" i="19" s="1"/>
  <c r="AL28" i="19"/>
  <c r="AN28" i="19" s="1"/>
  <c r="CG6" i="19"/>
  <c r="CH6" i="19" s="1"/>
  <c r="CW54" i="19"/>
  <c r="CW15" i="19"/>
  <c r="CW32" i="19"/>
  <c r="CV64" i="19"/>
  <c r="CG64" i="19"/>
  <c r="CG46" i="19"/>
  <c r="CH46" i="19" s="1"/>
  <c r="CG24" i="19"/>
  <c r="AT64" i="19"/>
  <c r="CV62" i="19"/>
  <c r="CY62" i="19" s="1"/>
  <c r="CW47" i="19"/>
  <c r="CW46" i="19"/>
  <c r="BB49" i="19"/>
  <c r="AL33" i="19"/>
  <c r="AM33" i="19" s="1"/>
  <c r="CG51" i="19"/>
  <c r="CH51" i="19" s="1"/>
  <c r="BZ49" i="19"/>
  <c r="CA49" i="19" s="1"/>
  <c r="DB28" i="19"/>
  <c r="CU20" i="19"/>
  <c r="DB43" i="19"/>
  <c r="DB44" i="19"/>
  <c r="DB16" i="19"/>
  <c r="DB36" i="19"/>
  <c r="DB18" i="19"/>
  <c r="DB41" i="19"/>
  <c r="CU39" i="19"/>
  <c r="DB46" i="19"/>
  <c r="DF37" i="19"/>
  <c r="CU17" i="19"/>
  <c r="DB47" i="19"/>
  <c r="CU13" i="19"/>
  <c r="DB37" i="19"/>
  <c r="DB50" i="19"/>
  <c r="AG49" i="19"/>
  <c r="DB32" i="19"/>
  <c r="DB27" i="19"/>
  <c r="DB12" i="19"/>
  <c r="DB34" i="19"/>
  <c r="DB29" i="19"/>
  <c r="DB15" i="19"/>
  <c r="DB14" i="19"/>
  <c r="DB5" i="19"/>
  <c r="DB52" i="19"/>
  <c r="DB35" i="19"/>
  <c r="DE21" i="19"/>
  <c r="DB8" i="19"/>
  <c r="DB51" i="19"/>
  <c r="DB26" i="19"/>
  <c r="DB55" i="19"/>
  <c r="DB54" i="19"/>
  <c r="DB38" i="19"/>
  <c r="DB23" i="19"/>
  <c r="DB9" i="19"/>
  <c r="DB31" i="19"/>
  <c r="CW48" i="19"/>
  <c r="CW50" i="19"/>
  <c r="CW33" i="19"/>
  <c r="V64" i="19"/>
  <c r="AL49" i="19"/>
  <c r="CG48" i="19"/>
  <c r="CH48" i="19" s="1"/>
  <c r="CG54" i="19"/>
  <c r="CH54" i="19" s="1"/>
  <c r="CG49" i="19"/>
  <c r="CG50" i="19"/>
  <c r="CH50" i="19" s="1"/>
  <c r="CG28" i="19"/>
  <c r="CH28" i="19" s="1"/>
  <c r="BZ62" i="19"/>
  <c r="CA62" i="19" s="1"/>
  <c r="BZ27" i="19"/>
  <c r="CD27" i="19" s="1"/>
  <c r="AT54" i="19"/>
  <c r="AU54" i="19" s="1"/>
  <c r="AT62" i="19"/>
  <c r="AU62" i="19" s="1"/>
  <c r="F62" i="19"/>
  <c r="G62" i="19" s="1"/>
  <c r="BB48" i="19"/>
  <c r="BC48" i="19" s="1"/>
  <c r="BB54" i="19"/>
  <c r="BG54" i="19" s="1"/>
  <c r="AL37" i="19"/>
  <c r="AN37" i="19" s="1"/>
  <c r="AL6" i="19"/>
  <c r="AN6" i="19" s="1"/>
  <c r="AL18" i="19"/>
  <c r="AM18" i="19" s="1"/>
  <c r="AL44" i="19"/>
  <c r="AN44" i="19" s="1"/>
  <c r="CG43" i="19"/>
  <c r="CK43" i="19" s="1"/>
  <c r="BZ56" i="19"/>
  <c r="CA56" i="19" s="1"/>
  <c r="BZ43" i="19"/>
  <c r="CD43" i="19" s="1"/>
  <c r="BZ55" i="19"/>
  <c r="CB55" i="19" s="1"/>
  <c r="BZ46" i="19"/>
  <c r="CD46" i="19" s="1"/>
  <c r="N64" i="19"/>
  <c r="CW7" i="19"/>
  <c r="CW27" i="19"/>
  <c r="CW22" i="19"/>
  <c r="CW35" i="19"/>
  <c r="CW37" i="19"/>
  <c r="CW62" i="19"/>
  <c r="AL46" i="19"/>
  <c r="AN46" i="19" s="1"/>
  <c r="AL50" i="19"/>
  <c r="CG25" i="19"/>
  <c r="CG47" i="19"/>
  <c r="CI47" i="19" s="1"/>
  <c r="AL38" i="19"/>
  <c r="AQ38" i="19" s="1"/>
  <c r="CG55" i="19"/>
  <c r="CG19" i="19"/>
  <c r="CG32" i="19"/>
  <c r="CH32" i="19" s="1"/>
  <c r="CG33" i="19"/>
  <c r="CH33" i="19" s="1"/>
  <c r="CG38" i="19"/>
  <c r="CH38" i="19" s="1"/>
  <c r="BZ15" i="19"/>
  <c r="CD15" i="19" s="1"/>
  <c r="BZ5" i="19"/>
  <c r="CA5" i="19" s="1"/>
  <c r="BZ50" i="19"/>
  <c r="CB50" i="19" s="1"/>
  <c r="BZ22" i="19"/>
  <c r="CB22" i="19" s="1"/>
  <c r="BZ48" i="19"/>
  <c r="CB48" i="19" s="1"/>
  <c r="BZ11" i="19"/>
  <c r="CB11" i="19" s="1"/>
  <c r="AM64" i="19"/>
  <c r="AN62" i="19"/>
  <c r="AM53" i="14"/>
  <c r="AV53" i="5"/>
  <c r="BC53" i="18"/>
  <c r="BC62" i="19"/>
  <c r="BD62" i="19"/>
  <c r="DB40" i="19"/>
  <c r="DF25" i="19"/>
  <c r="CU30" i="19"/>
  <c r="CU57" i="19"/>
  <c r="DB53" i="19"/>
  <c r="DF52" i="19"/>
  <c r="DF34" i="19"/>
  <c r="CU45" i="19"/>
  <c r="BC64" i="19"/>
  <c r="DB56" i="19"/>
  <c r="DB48" i="19"/>
  <c r="DB42" i="19"/>
  <c r="DF28" i="19"/>
  <c r="DF26" i="19"/>
  <c r="DB25" i="19"/>
  <c r="DF38" i="19"/>
  <c r="DF18" i="19"/>
  <c r="DF19" i="19"/>
  <c r="DB24" i="19"/>
  <c r="DF12" i="19"/>
  <c r="DB11" i="19"/>
  <c r="DB19" i="19"/>
  <c r="DF16" i="19"/>
  <c r="DF11" i="19"/>
  <c r="DF7" i="19"/>
  <c r="DB7" i="19"/>
  <c r="DB6" i="19"/>
  <c r="DF9" i="19"/>
  <c r="DF5" i="19"/>
  <c r="BN5" i="9"/>
  <c r="BI57" i="9"/>
  <c r="BI17" i="9"/>
  <c r="BI13" i="9"/>
  <c r="BI20" i="9"/>
  <c r="BI30" i="9"/>
  <c r="BI39" i="9"/>
  <c r="BC64" i="9"/>
  <c r="BC62" i="9"/>
  <c r="AM53" i="12"/>
  <c r="AE53" i="17"/>
  <c r="CW29" i="19" l="1"/>
  <c r="BB29" i="19"/>
  <c r="V27" i="19"/>
  <c r="AL22" i="19"/>
  <c r="AN22" i="19" s="1"/>
  <c r="V62" i="19"/>
  <c r="X62" i="19" s="1"/>
  <c r="V52" i="19"/>
  <c r="BZ35" i="19"/>
  <c r="CA35" i="19" s="1"/>
  <c r="AT11" i="19"/>
  <c r="AV11" i="19" s="1"/>
  <c r="AT51" i="19"/>
  <c r="AU51" i="19" s="1"/>
  <c r="N24" i="19"/>
  <c r="P24" i="19" s="1"/>
  <c r="N43" i="19"/>
  <c r="O43" i="19" s="1"/>
  <c r="N32" i="19"/>
  <c r="N26" i="19"/>
  <c r="N18" i="19"/>
  <c r="F52" i="19"/>
  <c r="F56" i="19"/>
  <c r="F38" i="19"/>
  <c r="F24" i="19"/>
  <c r="F27" i="19"/>
  <c r="F44" i="19"/>
  <c r="V53" i="19"/>
  <c r="AA53" i="19" s="1"/>
  <c r="V55" i="19"/>
  <c r="AA55" i="19" s="1"/>
  <c r="V25" i="19"/>
  <c r="X25" i="19" s="1"/>
  <c r="V50" i="19"/>
  <c r="V44" i="19"/>
  <c r="AL42" i="19"/>
  <c r="AM42" i="19" s="1"/>
  <c r="CG15" i="19"/>
  <c r="CH15" i="19" s="1"/>
  <c r="CG35" i="19"/>
  <c r="CK35" i="19" s="1"/>
  <c r="BZ42" i="19"/>
  <c r="AT47" i="19"/>
  <c r="AU47" i="19" s="1"/>
  <c r="AT38" i="19"/>
  <c r="AY38" i="19" s="1"/>
  <c r="N15" i="19"/>
  <c r="N53" i="19"/>
  <c r="N7" i="19"/>
  <c r="N41" i="19"/>
  <c r="F47" i="19"/>
  <c r="F10" i="19"/>
  <c r="F53" i="19"/>
  <c r="V56" i="19"/>
  <c r="V54" i="19"/>
  <c r="CG29" i="19"/>
  <c r="CH29" i="19" s="1"/>
  <c r="AT32" i="19"/>
  <c r="AY32" i="19" s="1"/>
  <c r="AT34" i="19"/>
  <c r="AY34" i="19" s="1"/>
  <c r="AT50" i="19"/>
  <c r="AY50" i="19" s="1"/>
  <c r="N55" i="19"/>
  <c r="S55" i="19" s="1"/>
  <c r="N10" i="19"/>
  <c r="O10" i="19" s="1"/>
  <c r="N6" i="19"/>
  <c r="O6" i="19" s="1"/>
  <c r="F28" i="19"/>
  <c r="V51" i="19"/>
  <c r="V12" i="19"/>
  <c r="X12" i="19" s="1"/>
  <c r="DB10" i="19"/>
  <c r="DB22" i="19"/>
  <c r="DB33" i="19"/>
  <c r="DB49" i="19"/>
  <c r="CW42" i="19"/>
  <c r="CW23" i="19"/>
  <c r="BB34" i="19"/>
  <c r="BG34" i="19" s="1"/>
  <c r="BB42" i="19"/>
  <c r="BD42" i="19" s="1"/>
  <c r="AL23" i="19"/>
  <c r="AQ23" i="19" s="1"/>
  <c r="N19" i="19"/>
  <c r="F50" i="19"/>
  <c r="V48" i="19"/>
  <c r="V32" i="19"/>
  <c r="X32" i="19" s="1"/>
  <c r="V43" i="19"/>
  <c r="W43" i="19" s="1"/>
  <c r="CG26" i="19"/>
  <c r="CK26" i="19" s="1"/>
  <c r="AT5" i="19"/>
  <c r="AT25" i="19"/>
  <c r="AV25" i="19" s="1"/>
  <c r="AT12" i="19"/>
  <c r="AU12" i="19" s="1"/>
  <c r="N27" i="19"/>
  <c r="P27" i="19" s="1"/>
  <c r="N48" i="19"/>
  <c r="CW19" i="19"/>
  <c r="AT56" i="19"/>
  <c r="AT43" i="19"/>
  <c r="AY43" i="19" s="1"/>
  <c r="F49" i="19"/>
  <c r="N47" i="19"/>
  <c r="P47" i="19" s="1"/>
  <c r="N12" i="19"/>
  <c r="N28" i="19"/>
  <c r="O28" i="19" s="1"/>
  <c r="N37" i="19"/>
  <c r="CG10" i="19"/>
  <c r="CI10" i="19" s="1"/>
  <c r="AT52" i="19"/>
  <c r="AV52" i="19" s="1"/>
  <c r="F48" i="19"/>
  <c r="V38" i="19"/>
  <c r="AA38" i="19" s="1"/>
  <c r="V47" i="19"/>
  <c r="AA47" i="19" s="1"/>
  <c r="CW34" i="19"/>
  <c r="V11" i="19"/>
  <c r="X11" i="19" s="1"/>
  <c r="CG9" i="19"/>
  <c r="CH9" i="19" s="1"/>
  <c r="CG8" i="19"/>
  <c r="CK8" i="19" s="1"/>
  <c r="N52" i="19"/>
  <c r="S52" i="19" s="1"/>
  <c r="N22" i="19"/>
  <c r="O22" i="19" s="1"/>
  <c r="F43" i="19"/>
  <c r="V24" i="19"/>
  <c r="X24" i="19" s="1"/>
  <c r="CH62" i="19"/>
  <c r="N40" i="19"/>
  <c r="S40" i="19" s="1"/>
  <c r="N38" i="19"/>
  <c r="BC49" i="19"/>
  <c r="BD49" i="19"/>
  <c r="AM50" i="19"/>
  <c r="AN50" i="19"/>
  <c r="AM49" i="19"/>
  <c r="AN49" i="19"/>
  <c r="CH64" i="19"/>
  <c r="AL26" i="19"/>
  <c r="AN26" i="19" s="1"/>
  <c r="AL16" i="19"/>
  <c r="AQ16" i="19" s="1"/>
  <c r="AL40" i="19"/>
  <c r="AQ40" i="19" s="1"/>
  <c r="CG41" i="19"/>
  <c r="CH41" i="19" s="1"/>
  <c r="BZ37" i="19"/>
  <c r="CD37" i="19" s="1"/>
  <c r="N11" i="19"/>
  <c r="S11" i="19" s="1"/>
  <c r="N25" i="19"/>
  <c r="P25" i="19" s="1"/>
  <c r="AT35" i="19"/>
  <c r="AV35" i="19" s="1"/>
  <c r="BB32" i="19"/>
  <c r="BC32" i="19" s="1"/>
  <c r="BB27" i="19"/>
  <c r="BG27" i="19" s="1"/>
  <c r="BB33" i="19"/>
  <c r="BG33" i="19" s="1"/>
  <c r="AT49" i="19"/>
  <c r="AU49" i="19" s="1"/>
  <c r="BB28" i="19"/>
  <c r="BC28" i="19" s="1"/>
  <c r="BB56" i="19"/>
  <c r="BC56" i="19" s="1"/>
  <c r="AT28" i="19"/>
  <c r="AU28" i="19" s="1"/>
  <c r="BB24" i="19"/>
  <c r="BC24" i="19" s="1"/>
  <c r="BB11" i="19"/>
  <c r="BD11" i="19" s="1"/>
  <c r="BB40" i="19"/>
  <c r="BG40" i="19" s="1"/>
  <c r="BB52" i="19"/>
  <c r="BG52" i="19" s="1"/>
  <c r="BB31" i="19"/>
  <c r="BB47" i="19"/>
  <c r="BD47" i="19" s="1"/>
  <c r="BB15" i="19"/>
  <c r="BD15" i="19" s="1"/>
  <c r="BB53" i="19"/>
  <c r="BC53" i="19" s="1"/>
  <c r="N33" i="19"/>
  <c r="P33" i="19" s="1"/>
  <c r="BB23" i="19"/>
  <c r="BD23" i="19" s="1"/>
  <c r="BB43" i="19"/>
  <c r="BD43" i="19" s="1"/>
  <c r="BB25" i="19"/>
  <c r="BD25" i="19" s="1"/>
  <c r="BB51" i="19"/>
  <c r="BD51" i="19" s="1"/>
  <c r="BB50" i="19"/>
  <c r="BC50" i="19" s="1"/>
  <c r="BB55" i="19"/>
  <c r="BC55" i="19" s="1"/>
  <c r="BB44" i="19"/>
  <c r="BD44" i="19" s="1"/>
  <c r="BB6" i="19"/>
  <c r="BC6" i="19" s="1"/>
  <c r="BB38" i="19"/>
  <c r="BG38" i="19" s="1"/>
  <c r="CW36" i="19"/>
  <c r="CW26" i="19"/>
  <c r="CI46" i="19"/>
  <c r="CK46" i="19"/>
  <c r="CW9" i="19"/>
  <c r="BB37" i="19"/>
  <c r="BC37" i="19" s="1"/>
  <c r="AL9" i="19"/>
  <c r="AN9" i="19" s="1"/>
  <c r="CG34" i="19"/>
  <c r="CH34" i="19" s="1"/>
  <c r="CN64" i="19"/>
  <c r="BZ14" i="19"/>
  <c r="CD14" i="19" s="1"/>
  <c r="AT6" i="19"/>
  <c r="AU6" i="19" s="1"/>
  <c r="AT22" i="19"/>
  <c r="AU22" i="19" s="1"/>
  <c r="N56" i="19"/>
  <c r="P56" i="19" s="1"/>
  <c r="CX64" i="19"/>
  <c r="AM54" i="19"/>
  <c r="CX62" i="19"/>
  <c r="AN24" i="19"/>
  <c r="AQ24" i="19"/>
  <c r="AN54" i="19"/>
  <c r="AQ33" i="19"/>
  <c r="AN33" i="19"/>
  <c r="AL31" i="19"/>
  <c r="AN31" i="19" s="1"/>
  <c r="CG36" i="19"/>
  <c r="CK36" i="19" s="1"/>
  <c r="CD49" i="19"/>
  <c r="CB49" i="19"/>
  <c r="BZ41" i="19"/>
  <c r="CA41" i="19" s="1"/>
  <c r="F46" i="19"/>
  <c r="H46" i="19" s="1"/>
  <c r="CU21" i="19"/>
  <c r="CN49" i="19"/>
  <c r="CP49" i="19" s="1"/>
  <c r="CW8" i="19"/>
  <c r="CW18" i="19"/>
  <c r="CK54" i="19"/>
  <c r="CH49" i="19"/>
  <c r="CK49" i="19"/>
  <c r="CI54" i="19"/>
  <c r="AM55" i="19"/>
  <c r="AQ55" i="19"/>
  <c r="H62" i="19"/>
  <c r="CA47" i="19"/>
  <c r="CB47" i="19"/>
  <c r="AQ49" i="19"/>
  <c r="CN62" i="19"/>
  <c r="CO62" i="19" s="1"/>
  <c r="CI48" i="19"/>
  <c r="CK48" i="19"/>
  <c r="V28" i="19"/>
  <c r="W28" i="19" s="1"/>
  <c r="AL34" i="19"/>
  <c r="AQ34" i="19" s="1"/>
  <c r="CG5" i="19"/>
  <c r="CH5" i="19" s="1"/>
  <c r="CG22" i="19"/>
  <c r="CH22" i="19" s="1"/>
  <c r="CG23" i="19"/>
  <c r="CK23" i="19" s="1"/>
  <c r="CA64" i="19"/>
  <c r="CB62" i="19"/>
  <c r="AV54" i="19"/>
  <c r="CD28" i="19"/>
  <c r="CB28" i="19"/>
  <c r="AU64" i="19"/>
  <c r="AV62" i="19"/>
  <c r="AY54" i="19"/>
  <c r="AT55" i="19"/>
  <c r="AV55" i="19" s="1"/>
  <c r="AT40" i="19"/>
  <c r="AT53" i="19"/>
  <c r="AY53" i="19" s="1"/>
  <c r="AT24" i="19"/>
  <c r="AV24" i="19" s="1"/>
  <c r="BD48" i="19"/>
  <c r="BG46" i="19"/>
  <c r="BD54" i="19"/>
  <c r="F15" i="18"/>
  <c r="G15" i="18" s="1"/>
  <c r="F64" i="19"/>
  <c r="G64" i="19" s="1"/>
  <c r="AQ37" i="19"/>
  <c r="BG48" i="19"/>
  <c r="CA46" i="19"/>
  <c r="AM6" i="19"/>
  <c r="BC54" i="19"/>
  <c r="CD55" i="19"/>
  <c r="CK11" i="19"/>
  <c r="BG49" i="19"/>
  <c r="BC46" i="19"/>
  <c r="BB22" i="19"/>
  <c r="BB19" i="19"/>
  <c r="BD19" i="19" s="1"/>
  <c r="CK50" i="19"/>
  <c r="CD24" i="19"/>
  <c r="CI50" i="19"/>
  <c r="CI53" i="19"/>
  <c r="CK53" i="19"/>
  <c r="CK28" i="19"/>
  <c r="AM37" i="19"/>
  <c r="AN25" i="19"/>
  <c r="CB56" i="19"/>
  <c r="AQ25" i="19"/>
  <c r="CA40" i="19"/>
  <c r="AQ18" i="19"/>
  <c r="AN18" i="19"/>
  <c r="AQ6" i="19"/>
  <c r="AM28" i="19"/>
  <c r="AQ28" i="19"/>
  <c r="CN24" i="19"/>
  <c r="CS24" i="19" s="1"/>
  <c r="CA43" i="19"/>
  <c r="CB43" i="19"/>
  <c r="CB46" i="19"/>
  <c r="CN46" i="19"/>
  <c r="CS46" i="19" s="1"/>
  <c r="CN43" i="19"/>
  <c r="CO43" i="19" s="1"/>
  <c r="CN28" i="19"/>
  <c r="CP28" i="19" s="1"/>
  <c r="CH43" i="19"/>
  <c r="CI28" i="19"/>
  <c r="AL8" i="19"/>
  <c r="AQ8" i="19" s="1"/>
  <c r="CI43" i="19"/>
  <c r="CD40" i="19"/>
  <c r="CI11" i="19"/>
  <c r="CA55" i="19"/>
  <c r="CN55" i="19"/>
  <c r="CO55" i="19" s="1"/>
  <c r="CG42" i="19"/>
  <c r="CH42" i="19" s="1"/>
  <c r="CD56" i="19"/>
  <c r="CB24" i="19"/>
  <c r="BZ31" i="19"/>
  <c r="CA31" i="19" s="1"/>
  <c r="BZ26" i="19"/>
  <c r="BZ23" i="19"/>
  <c r="CA23" i="19" s="1"/>
  <c r="BZ18" i="19"/>
  <c r="CB51" i="19"/>
  <c r="CD51" i="19"/>
  <c r="CI55" i="19"/>
  <c r="AT44" i="19"/>
  <c r="AY44" i="19" s="1"/>
  <c r="AT18" i="19"/>
  <c r="AV18" i="19" s="1"/>
  <c r="AT27" i="19"/>
  <c r="AV27" i="19" s="1"/>
  <c r="AT15" i="19"/>
  <c r="AU15" i="19" s="1"/>
  <c r="N50" i="19"/>
  <c r="O50" i="19" s="1"/>
  <c r="AU48" i="19"/>
  <c r="CK55" i="19"/>
  <c r="CH12" i="19"/>
  <c r="CK12" i="19"/>
  <c r="CI32" i="19"/>
  <c r="CK32" i="19"/>
  <c r="BG12" i="19"/>
  <c r="BC12" i="19"/>
  <c r="CN12" i="19"/>
  <c r="CO12" i="19" s="1"/>
  <c r="CB12" i="19"/>
  <c r="CD12" i="19"/>
  <c r="AM15" i="19"/>
  <c r="CH55" i="19"/>
  <c r="CW57" i="19"/>
  <c r="CD25" i="19"/>
  <c r="CB25" i="19"/>
  <c r="CW14" i="19"/>
  <c r="AM51" i="19"/>
  <c r="CW41" i="19"/>
  <c r="CN25" i="19"/>
  <c r="CO25" i="19" s="1"/>
  <c r="BB7" i="19"/>
  <c r="BB35" i="19"/>
  <c r="BB41" i="19"/>
  <c r="BB5" i="19"/>
  <c r="AU46" i="19"/>
  <c r="BB18" i="19"/>
  <c r="W64" i="19"/>
  <c r="W62" i="19"/>
  <c r="CK25" i="19"/>
  <c r="CK52" i="19"/>
  <c r="CI25" i="19"/>
  <c r="AQ48" i="19"/>
  <c r="CH25" i="19"/>
  <c r="AN48" i="19"/>
  <c r="CI52" i="19"/>
  <c r="AV46" i="19"/>
  <c r="AN51" i="19"/>
  <c r="CD50" i="19"/>
  <c r="CD53" i="19"/>
  <c r="CB53" i="19"/>
  <c r="AN56" i="19"/>
  <c r="CD48" i="19"/>
  <c r="CA48" i="19"/>
  <c r="CN53" i="19"/>
  <c r="CN48" i="19"/>
  <c r="CP48" i="19" s="1"/>
  <c r="AQ56" i="19"/>
  <c r="AQ11" i="19"/>
  <c r="CN27" i="19"/>
  <c r="CO27" i="19" s="1"/>
  <c r="AQ53" i="19"/>
  <c r="CK27" i="19"/>
  <c r="CN47" i="19"/>
  <c r="CS47" i="19" s="1"/>
  <c r="AQ47" i="19"/>
  <c r="CK47" i="19"/>
  <c r="CH27" i="19"/>
  <c r="AN53" i="19"/>
  <c r="AM11" i="19"/>
  <c r="CH47" i="19"/>
  <c r="CA50" i="19"/>
  <c r="CN50" i="19"/>
  <c r="CS50" i="19" s="1"/>
  <c r="AQ32" i="19"/>
  <c r="CK24" i="19"/>
  <c r="CN32" i="19"/>
  <c r="CP32" i="19" s="1"/>
  <c r="CA22" i="19"/>
  <c r="AQ43" i="19"/>
  <c r="AM38" i="19"/>
  <c r="CN56" i="19"/>
  <c r="CS56" i="19" s="1"/>
  <c r="CK56" i="19"/>
  <c r="AN38" i="19"/>
  <c r="CD5" i="19"/>
  <c r="AM43" i="19"/>
  <c r="CB5" i="19"/>
  <c r="CI56" i="19"/>
  <c r="CD22" i="19"/>
  <c r="AQ50" i="19"/>
  <c r="CK44" i="19"/>
  <c r="CA15" i="19"/>
  <c r="AQ44" i="19"/>
  <c r="AM44" i="19"/>
  <c r="CH44" i="19"/>
  <c r="CK38" i="19"/>
  <c r="CI38" i="19"/>
  <c r="AN32" i="19"/>
  <c r="O64" i="19"/>
  <c r="CN52" i="19"/>
  <c r="CS52" i="19" s="1"/>
  <c r="V46" i="19"/>
  <c r="CA54" i="19"/>
  <c r="P62" i="19"/>
  <c r="AD62" i="19"/>
  <c r="AF62" i="19" s="1"/>
  <c r="CN54" i="19"/>
  <c r="CS54" i="19" s="1"/>
  <c r="CD54" i="19"/>
  <c r="CB27" i="19"/>
  <c r="AN52" i="19"/>
  <c r="AQ15" i="19"/>
  <c r="CK33" i="19"/>
  <c r="CA27" i="19"/>
  <c r="CB52" i="19"/>
  <c r="AM46" i="19"/>
  <c r="CI33" i="19"/>
  <c r="AL57" i="19"/>
  <c r="AN57" i="19" s="1"/>
  <c r="CI6" i="19"/>
  <c r="AM47" i="19"/>
  <c r="CK6" i="19"/>
  <c r="AQ46" i="19"/>
  <c r="AM52" i="19"/>
  <c r="CD52" i="19"/>
  <c r="CK19" i="19"/>
  <c r="CI19" i="19"/>
  <c r="CH19" i="19"/>
  <c r="CH24" i="19"/>
  <c r="CB6" i="19"/>
  <c r="CI24" i="19"/>
  <c r="AL35" i="19"/>
  <c r="AL7" i="19"/>
  <c r="AL29" i="19"/>
  <c r="CN6" i="19"/>
  <c r="CO6" i="19" s="1"/>
  <c r="CA6" i="19"/>
  <c r="CA44" i="19"/>
  <c r="AL19" i="19"/>
  <c r="AN12" i="19"/>
  <c r="CN51" i="19"/>
  <c r="CO51" i="19" s="1"/>
  <c r="AN27" i="19"/>
  <c r="AL14" i="19"/>
  <c r="AQ12" i="19"/>
  <c r="CN44" i="19"/>
  <c r="CS44" i="19" s="1"/>
  <c r="CK51" i="19"/>
  <c r="CI51" i="19"/>
  <c r="AM27" i="19"/>
  <c r="AL10" i="19"/>
  <c r="AL41" i="19"/>
  <c r="CG57" i="19"/>
  <c r="CI57" i="19" s="1"/>
  <c r="CD44" i="19"/>
  <c r="CG7" i="19"/>
  <c r="CG37" i="19"/>
  <c r="CG18" i="19"/>
  <c r="CG40" i="19"/>
  <c r="CA38" i="19"/>
  <c r="CA32" i="19"/>
  <c r="CD32" i="19"/>
  <c r="CN38" i="19"/>
  <c r="CO38" i="19" s="1"/>
  <c r="CD38" i="19"/>
  <c r="CA33" i="19"/>
  <c r="BZ34" i="19"/>
  <c r="CB15" i="19"/>
  <c r="CD33" i="19"/>
  <c r="CN33" i="19"/>
  <c r="CP33" i="19" s="1"/>
  <c r="BZ57" i="19"/>
  <c r="CB57" i="19" s="1"/>
  <c r="BZ8" i="19"/>
  <c r="BZ19" i="19"/>
  <c r="BZ29" i="19"/>
  <c r="BZ10" i="19"/>
  <c r="CD11" i="19"/>
  <c r="CA11" i="19"/>
  <c r="CN11" i="19"/>
  <c r="CS11" i="19" s="1"/>
  <c r="BZ7" i="19"/>
  <c r="O49" i="19"/>
  <c r="S46" i="19"/>
  <c r="N51" i="19"/>
  <c r="O54" i="19"/>
  <c r="P54" i="19"/>
  <c r="S54" i="19"/>
  <c r="N44" i="19"/>
  <c r="F54" i="19"/>
  <c r="V49" i="19"/>
  <c r="V22" i="19"/>
  <c r="F62" i="5"/>
  <c r="BI21" i="9"/>
  <c r="AM22" i="19" l="1"/>
  <c r="AQ22" i="19"/>
  <c r="CD35" i="19"/>
  <c r="CB35" i="19"/>
  <c r="N23" i="19"/>
  <c r="S23" i="19" s="1"/>
  <c r="N42" i="19"/>
  <c r="O42" i="19" s="1"/>
  <c r="N16" i="19"/>
  <c r="P16" i="19" s="1"/>
  <c r="F22" i="19"/>
  <c r="G22" i="19" s="1"/>
  <c r="CI35" i="19"/>
  <c r="CH35" i="19"/>
  <c r="CN35" i="19"/>
  <c r="CO35" i="19" s="1"/>
  <c r="V23" i="19"/>
  <c r="CK15" i="19"/>
  <c r="CI15" i="19"/>
  <c r="CN15" i="19"/>
  <c r="CO15" i="19" s="1"/>
  <c r="F51" i="19"/>
  <c r="G51" i="19" s="1"/>
  <c r="F31" i="19"/>
  <c r="H31" i="19" s="1"/>
  <c r="V29" i="19"/>
  <c r="V5" i="19"/>
  <c r="W5" i="19" s="1"/>
  <c r="O55" i="19"/>
  <c r="P55" i="19"/>
  <c r="N8" i="19"/>
  <c r="P8" i="19" s="1"/>
  <c r="CW45" i="19"/>
  <c r="CP53" i="19"/>
  <c r="CW16" i="19"/>
  <c r="CW17" i="19" s="1"/>
  <c r="CN26" i="19"/>
  <c r="CP26" i="19" s="1"/>
  <c r="N9" i="19"/>
  <c r="S9" i="19" s="1"/>
  <c r="F42" i="19"/>
  <c r="H42" i="19" s="1"/>
  <c r="V10" i="19"/>
  <c r="X10" i="19" s="1"/>
  <c r="V37" i="19"/>
  <c r="X37" i="19" s="1"/>
  <c r="CH26" i="19"/>
  <c r="CI26" i="19"/>
  <c r="CG14" i="19"/>
  <c r="CN14" i="19" s="1"/>
  <c r="CS14" i="19" s="1"/>
  <c r="CW20" i="19"/>
  <c r="O48" i="19"/>
  <c r="S48" i="19"/>
  <c r="V7" i="19"/>
  <c r="AA7" i="19" s="1"/>
  <c r="BZ36" i="19"/>
  <c r="CN36" i="19" s="1"/>
  <c r="N14" i="19"/>
  <c r="S14" i="19" s="1"/>
  <c r="F23" i="19"/>
  <c r="F12" i="19"/>
  <c r="H12" i="19" s="1"/>
  <c r="O47" i="19"/>
  <c r="S47" i="19"/>
  <c r="N5" i="19"/>
  <c r="O5" i="19" s="1"/>
  <c r="P28" i="19"/>
  <c r="S28" i="19"/>
  <c r="V40" i="19"/>
  <c r="X40" i="19" s="1"/>
  <c r="CH10" i="19"/>
  <c r="CK10" i="19"/>
  <c r="N35" i="19"/>
  <c r="O35" i="19" s="1"/>
  <c r="N34" i="19"/>
  <c r="V42" i="19"/>
  <c r="CI9" i="19"/>
  <c r="CK9" i="19"/>
  <c r="AU43" i="19"/>
  <c r="AV43" i="19"/>
  <c r="V18" i="19"/>
  <c r="AA18" i="19" s="1"/>
  <c r="V35" i="19"/>
  <c r="X35" i="19" s="1"/>
  <c r="AM40" i="19"/>
  <c r="CK41" i="19"/>
  <c r="AM16" i="19"/>
  <c r="AN16" i="19"/>
  <c r="AN40" i="19"/>
  <c r="AM26" i="19"/>
  <c r="AQ26" i="19"/>
  <c r="CI41" i="19"/>
  <c r="AT19" i="19"/>
  <c r="AV19" i="19" s="1"/>
  <c r="F9" i="19"/>
  <c r="H9" i="19" s="1"/>
  <c r="F18" i="19"/>
  <c r="G18" i="19" s="1"/>
  <c r="CW28" i="19"/>
  <c r="CW30" i="19" s="1"/>
  <c r="BB14" i="19"/>
  <c r="BG14" i="19" s="1"/>
  <c r="CB37" i="19"/>
  <c r="P11" i="19"/>
  <c r="V19" i="19"/>
  <c r="AA19" i="19" s="1"/>
  <c r="CA37" i="19"/>
  <c r="O11" i="19"/>
  <c r="BC27" i="19"/>
  <c r="BC47" i="19"/>
  <c r="BG47" i="19"/>
  <c r="AT31" i="19"/>
  <c r="AY31" i="19" s="1"/>
  <c r="AT9" i="19"/>
  <c r="AY9" i="19" s="1"/>
  <c r="AT26" i="19"/>
  <c r="AV26" i="19" s="1"/>
  <c r="BG55" i="19"/>
  <c r="AT23" i="19"/>
  <c r="AU23" i="19" s="1"/>
  <c r="AU50" i="19"/>
  <c r="BD33" i="19"/>
  <c r="BD55" i="19"/>
  <c r="BD40" i="19"/>
  <c r="BC33" i="19"/>
  <c r="BC40" i="19"/>
  <c r="O52" i="19"/>
  <c r="P52" i="19"/>
  <c r="AV50" i="19"/>
  <c r="BG11" i="19"/>
  <c r="BC11" i="19"/>
  <c r="AV28" i="19"/>
  <c r="AY28" i="19"/>
  <c r="AY49" i="19"/>
  <c r="F15" i="19"/>
  <c r="G15" i="19" s="1"/>
  <c r="AQ9" i="19"/>
  <c r="BG32" i="19"/>
  <c r="BD32" i="19"/>
  <c r="BG6" i="19"/>
  <c r="F40" i="19"/>
  <c r="G40" i="19" s="1"/>
  <c r="BD27" i="19"/>
  <c r="BG43" i="19"/>
  <c r="BC43" i="19"/>
  <c r="BC38" i="19"/>
  <c r="BD6" i="19"/>
  <c r="BG28" i="19"/>
  <c r="BD24" i="19"/>
  <c r="BD28" i="19"/>
  <c r="BG25" i="19"/>
  <c r="BD38" i="19"/>
  <c r="BD50" i="19"/>
  <c r="BG50" i="19"/>
  <c r="BG56" i="19"/>
  <c r="BD56" i="19"/>
  <c r="BG24" i="19"/>
  <c r="BC44" i="19"/>
  <c r="BB36" i="19"/>
  <c r="BC36" i="19" s="1"/>
  <c r="AT37" i="19"/>
  <c r="AU37" i="19" s="1"/>
  <c r="BG44" i="19"/>
  <c r="CW31" i="19"/>
  <c r="CW39" i="19" s="1"/>
  <c r="BC51" i="19"/>
  <c r="BD52" i="19"/>
  <c r="BC52" i="19"/>
  <c r="BG51" i="19"/>
  <c r="BB26" i="19"/>
  <c r="BB57" i="19"/>
  <c r="BD57" i="19" s="1"/>
  <c r="BC25" i="19"/>
  <c r="AT29" i="19"/>
  <c r="BB8" i="19"/>
  <c r="BD8" i="19" s="1"/>
  <c r="BB10" i="19"/>
  <c r="BG10" i="19" s="1"/>
  <c r="BG53" i="19"/>
  <c r="F37" i="19"/>
  <c r="G37" i="19" s="1"/>
  <c r="BD53" i="19"/>
  <c r="BD37" i="19"/>
  <c r="BG37" i="19"/>
  <c r="AV47" i="19"/>
  <c r="AY47" i="19"/>
  <c r="AV22" i="19"/>
  <c r="AV6" i="19"/>
  <c r="AY6" i="19"/>
  <c r="AY22" i="19"/>
  <c r="AM9" i="19"/>
  <c r="CB14" i="19"/>
  <c r="CA14" i="19"/>
  <c r="AV12" i="19"/>
  <c r="AY12" i="19"/>
  <c r="AU32" i="19"/>
  <c r="AV32" i="19"/>
  <c r="AT16" i="19"/>
  <c r="AU16" i="19" s="1"/>
  <c r="S33" i="19"/>
  <c r="O33" i="19"/>
  <c r="O56" i="19"/>
  <c r="S56" i="19"/>
  <c r="P22" i="19"/>
  <c r="S22" i="19"/>
  <c r="F7" i="19"/>
  <c r="K7" i="19" s="1"/>
  <c r="CD41" i="19"/>
  <c r="AQ31" i="19"/>
  <c r="V6" i="19"/>
  <c r="AA6" i="19" s="1"/>
  <c r="AM31" i="19"/>
  <c r="AL36" i="19"/>
  <c r="AL39" i="19" s="1"/>
  <c r="AN39" i="19" s="1"/>
  <c r="CH8" i="19"/>
  <c r="CI8" i="19"/>
  <c r="CI36" i="19"/>
  <c r="CH36" i="19"/>
  <c r="CN41" i="19"/>
  <c r="CO41" i="19" s="1"/>
  <c r="CB41" i="19"/>
  <c r="O24" i="19"/>
  <c r="S24" i="19"/>
  <c r="CN5" i="19"/>
  <c r="CO5" i="19" s="1"/>
  <c r="N36" i="19"/>
  <c r="P36" i="19" s="1"/>
  <c r="N29" i="19"/>
  <c r="S29" i="19" s="1"/>
  <c r="F25" i="19"/>
  <c r="K25" i="19" s="1"/>
  <c r="CO49" i="19"/>
  <c r="CS49" i="19"/>
  <c r="O27" i="19"/>
  <c r="AU35" i="19"/>
  <c r="CI23" i="19"/>
  <c r="CI5" i="19"/>
  <c r="CI22" i="19"/>
  <c r="AM34" i="19"/>
  <c r="AN34" i="19"/>
  <c r="BB9" i="19"/>
  <c r="CP62" i="19"/>
  <c r="CO64" i="19"/>
  <c r="CH23" i="19"/>
  <c r="S27" i="19"/>
  <c r="CK22" i="19"/>
  <c r="CN22" i="19"/>
  <c r="CO22" i="19" s="1"/>
  <c r="V26" i="19"/>
  <c r="X26" i="19" s="1"/>
  <c r="CK5" i="19"/>
  <c r="CI29" i="19"/>
  <c r="CG30" i="19"/>
  <c r="CI30" i="19" s="1"/>
  <c r="CK29" i="19"/>
  <c r="CG16" i="19"/>
  <c r="AU55" i="19"/>
  <c r="AY55" i="19"/>
  <c r="AU53" i="19"/>
  <c r="AV53" i="19"/>
  <c r="O40" i="19"/>
  <c r="AY24" i="19"/>
  <c r="P40" i="19"/>
  <c r="AU24" i="19"/>
  <c r="CP43" i="19"/>
  <c r="AT36" i="19"/>
  <c r="AY35" i="19"/>
  <c r="AT10" i="19"/>
  <c r="CS43" i="19"/>
  <c r="F26" i="19"/>
  <c r="H26" i="19" s="1"/>
  <c r="AD64" i="19"/>
  <c r="AE64" i="19" s="1"/>
  <c r="AA43" i="19"/>
  <c r="X43" i="19"/>
  <c r="V15" i="19"/>
  <c r="AA15" i="19" s="1"/>
  <c r="BG42" i="19"/>
  <c r="BC15" i="19"/>
  <c r="BG15" i="19"/>
  <c r="BC42" i="19"/>
  <c r="CW5" i="19"/>
  <c r="CW13" i="19" s="1"/>
  <c r="BC23" i="19"/>
  <c r="BG23" i="19"/>
  <c r="BC19" i="19"/>
  <c r="BG19" i="19"/>
  <c r="BC22" i="19"/>
  <c r="BD22" i="19"/>
  <c r="BG22" i="19"/>
  <c r="CO46" i="19"/>
  <c r="CP46" i="19"/>
  <c r="AV15" i="19"/>
  <c r="CO28" i="19"/>
  <c r="CK42" i="19"/>
  <c r="CS28" i="19"/>
  <c r="CI42" i="19"/>
  <c r="AV38" i="19"/>
  <c r="CI34" i="19"/>
  <c r="AM8" i="19"/>
  <c r="CK34" i="19"/>
  <c r="AQ42" i="19"/>
  <c r="CS55" i="19"/>
  <c r="CH45" i="19"/>
  <c r="CP55" i="19"/>
  <c r="AN8" i="19"/>
  <c r="CP24" i="19"/>
  <c r="AU38" i="19"/>
  <c r="CO24" i="19"/>
  <c r="AL30" i="19"/>
  <c r="AN30" i="19" s="1"/>
  <c r="AN23" i="19"/>
  <c r="AN42" i="19"/>
  <c r="AL5" i="19"/>
  <c r="AL13" i="19" s="1"/>
  <c r="AN13" i="19" s="1"/>
  <c r="AM23" i="19"/>
  <c r="CO52" i="19"/>
  <c r="S10" i="19"/>
  <c r="CG31" i="19"/>
  <c r="CN23" i="19"/>
  <c r="CP23" i="19" s="1"/>
  <c r="AU44" i="19"/>
  <c r="CB31" i="19"/>
  <c r="CD23" i="19"/>
  <c r="CD31" i="19"/>
  <c r="AV44" i="19"/>
  <c r="CB23" i="19"/>
  <c r="CS53" i="19"/>
  <c r="P10" i="19"/>
  <c r="CD26" i="19"/>
  <c r="CB26" i="19"/>
  <c r="CA26" i="19"/>
  <c r="BZ9" i="19"/>
  <c r="BZ13" i="19" s="1"/>
  <c r="CB13" i="19" s="1"/>
  <c r="CD18" i="19"/>
  <c r="CA18" i="19"/>
  <c r="CB18" i="19"/>
  <c r="S6" i="19"/>
  <c r="P43" i="19"/>
  <c r="AU52" i="19"/>
  <c r="S50" i="19"/>
  <c r="AV51" i="19"/>
  <c r="AY51" i="19"/>
  <c r="P50" i="19"/>
  <c r="AY52" i="19"/>
  <c r="AA12" i="19"/>
  <c r="AU18" i="19"/>
  <c r="G46" i="19"/>
  <c r="AY25" i="19"/>
  <c r="AU25" i="19"/>
  <c r="CS27" i="19"/>
  <c r="AY18" i="19"/>
  <c r="AU27" i="19"/>
  <c r="AY27" i="19"/>
  <c r="AY15" i="19"/>
  <c r="CS12" i="19"/>
  <c r="AT7" i="19"/>
  <c r="W12" i="19"/>
  <c r="AT33" i="19"/>
  <c r="X55" i="19"/>
  <c r="N31" i="19"/>
  <c r="P31" i="19" s="1"/>
  <c r="AT8" i="19"/>
  <c r="S25" i="19"/>
  <c r="S43" i="19"/>
  <c r="W47" i="19"/>
  <c r="P6" i="19"/>
  <c r="O25" i="19"/>
  <c r="CP27" i="19"/>
  <c r="S15" i="19"/>
  <c r="P15" i="19"/>
  <c r="O15" i="19"/>
  <c r="CP12" i="19"/>
  <c r="S12" i="19"/>
  <c r="O12" i="19"/>
  <c r="P12" i="19"/>
  <c r="CP51" i="19"/>
  <c r="CS51" i="19"/>
  <c r="F6" i="19"/>
  <c r="G6" i="19" s="1"/>
  <c r="CH57" i="19"/>
  <c r="CO56" i="19"/>
  <c r="CP56" i="19"/>
  <c r="X47" i="19"/>
  <c r="F32" i="19"/>
  <c r="AD32" i="19" s="1"/>
  <c r="AE32" i="19" s="1"/>
  <c r="CP50" i="19"/>
  <c r="AD46" i="19"/>
  <c r="AE46" i="19" s="1"/>
  <c r="CO50" i="19"/>
  <c r="K46" i="19"/>
  <c r="H49" i="19"/>
  <c r="K49" i="19"/>
  <c r="G49" i="19"/>
  <c r="F33" i="19"/>
  <c r="H33" i="19" s="1"/>
  <c r="AA54" i="19"/>
  <c r="W54" i="19"/>
  <c r="W55" i="19"/>
  <c r="V34" i="19"/>
  <c r="AA34" i="19" s="1"/>
  <c r="BD34" i="19"/>
  <c r="CO53" i="19"/>
  <c r="BC34" i="19"/>
  <c r="AA32" i="19"/>
  <c r="W32" i="19"/>
  <c r="CS6" i="19"/>
  <c r="CS25" i="19"/>
  <c r="CP25" i="19"/>
  <c r="CA57" i="19"/>
  <c r="CO44" i="19"/>
  <c r="CP44" i="19"/>
  <c r="CP6" i="19"/>
  <c r="CS48" i="19"/>
  <c r="BD31" i="19"/>
  <c r="BC31" i="19"/>
  <c r="BG31" i="19"/>
  <c r="AA24" i="19"/>
  <c r="CO48" i="19"/>
  <c r="BG41" i="19"/>
  <c r="BD41" i="19"/>
  <c r="BB45" i="19"/>
  <c r="BD45" i="19" s="1"/>
  <c r="BC41" i="19"/>
  <c r="BC18" i="19"/>
  <c r="BB20" i="19"/>
  <c r="BG18" i="19"/>
  <c r="BD18" i="19"/>
  <c r="BG7" i="19"/>
  <c r="BD7" i="19"/>
  <c r="BC7" i="19"/>
  <c r="BC35" i="19"/>
  <c r="BD35" i="19"/>
  <c r="BG35" i="19"/>
  <c r="BC29" i="19"/>
  <c r="BG29" i="19"/>
  <c r="BD29" i="19"/>
  <c r="BD5" i="19"/>
  <c r="BG5" i="19"/>
  <c r="BC5" i="19"/>
  <c r="CP47" i="19"/>
  <c r="CO47" i="19"/>
  <c r="W11" i="19"/>
  <c r="W24" i="19"/>
  <c r="AE62" i="19"/>
  <c r="CS32" i="19"/>
  <c r="W38" i="19"/>
  <c r="CO32" i="19"/>
  <c r="X28" i="19"/>
  <c r="AM57" i="19"/>
  <c r="AA28" i="19"/>
  <c r="X38" i="19"/>
  <c r="CO54" i="19"/>
  <c r="V14" i="19"/>
  <c r="X14" i="19" s="1"/>
  <c r="CP54" i="19"/>
  <c r="V9" i="19"/>
  <c r="W9" i="19" s="1"/>
  <c r="AA11" i="19"/>
  <c r="CP52" i="19"/>
  <c r="W53" i="19"/>
  <c r="X53" i="19"/>
  <c r="W25" i="19"/>
  <c r="AA25" i="19"/>
  <c r="V16" i="19"/>
  <c r="CN57" i="19"/>
  <c r="CP57" i="19" s="1"/>
  <c r="W46" i="19"/>
  <c r="AA46" i="19"/>
  <c r="AA50" i="19"/>
  <c r="X50" i="19"/>
  <c r="W50" i="19"/>
  <c r="AQ35" i="19"/>
  <c r="AM35" i="19"/>
  <c r="AN35" i="19"/>
  <c r="AN29" i="19"/>
  <c r="AQ29" i="19"/>
  <c r="AM29" i="19"/>
  <c r="AQ41" i="19"/>
  <c r="AL45" i="19"/>
  <c r="AN45" i="19" s="1"/>
  <c r="AM41" i="19"/>
  <c r="AM45" i="19" s="1"/>
  <c r="AN41" i="19"/>
  <c r="AM19" i="19"/>
  <c r="AM20" i="19" s="1"/>
  <c r="AN19" i="19"/>
  <c r="AQ19" i="19"/>
  <c r="AL20" i="19"/>
  <c r="AM10" i="19"/>
  <c r="AN10" i="19"/>
  <c r="AQ10" i="19"/>
  <c r="AQ14" i="19"/>
  <c r="AN14" i="19"/>
  <c r="AL17" i="19"/>
  <c r="AN17" i="19" s="1"/>
  <c r="AM14" i="19"/>
  <c r="AQ7" i="19"/>
  <c r="AM7" i="19"/>
  <c r="AN7" i="19"/>
  <c r="CH40" i="19"/>
  <c r="CK40" i="19"/>
  <c r="CI40" i="19"/>
  <c r="CN40" i="19"/>
  <c r="CG45" i="19"/>
  <c r="CI45" i="19" s="1"/>
  <c r="CH7" i="19"/>
  <c r="CI7" i="19"/>
  <c r="CK7" i="19"/>
  <c r="CG13" i="19"/>
  <c r="CI13" i="19" s="1"/>
  <c r="CH18" i="19"/>
  <c r="CH20" i="19" s="1"/>
  <c r="CG20" i="19"/>
  <c r="CK18" i="19"/>
  <c r="CI18" i="19"/>
  <c r="CN18" i="19"/>
  <c r="CH37" i="19"/>
  <c r="CK37" i="19"/>
  <c r="CN37" i="19"/>
  <c r="CI37" i="19"/>
  <c r="CP38" i="19"/>
  <c r="CS38" i="19"/>
  <c r="CO33" i="19"/>
  <c r="CS33" i="19"/>
  <c r="CP11" i="19"/>
  <c r="CO11" i="19"/>
  <c r="AU11" i="19"/>
  <c r="CA34" i="19"/>
  <c r="CB34" i="19"/>
  <c r="CN34" i="19"/>
  <c r="CD34" i="19"/>
  <c r="CB29" i="19"/>
  <c r="CD29" i="19"/>
  <c r="BZ30" i="19"/>
  <c r="CB30" i="19" s="1"/>
  <c r="CN29" i="19"/>
  <c r="CA29" i="19"/>
  <c r="CB10" i="19"/>
  <c r="CD10" i="19"/>
  <c r="CN10" i="19"/>
  <c r="CA10" i="19"/>
  <c r="CA8" i="19"/>
  <c r="CB8" i="19"/>
  <c r="CD8" i="19"/>
  <c r="CN8" i="19"/>
  <c r="CA7" i="19"/>
  <c r="CB7" i="19"/>
  <c r="CN7" i="19"/>
  <c r="CD7" i="19"/>
  <c r="BZ16" i="19"/>
  <c r="CD19" i="19"/>
  <c r="BZ20" i="19"/>
  <c r="CB19" i="19"/>
  <c r="CN19" i="19"/>
  <c r="CA19" i="19"/>
  <c r="CB42" i="19"/>
  <c r="CA42" i="19"/>
  <c r="CA45" i="19" s="1"/>
  <c r="CD42" i="19"/>
  <c r="CN42" i="19"/>
  <c r="BZ45" i="19"/>
  <c r="CB45" i="19" s="1"/>
  <c r="AY11" i="19"/>
  <c r="AU34" i="19"/>
  <c r="AV34" i="19"/>
  <c r="AT14" i="19"/>
  <c r="AU14" i="19" s="1"/>
  <c r="AY56" i="19"/>
  <c r="AV56" i="19"/>
  <c r="AU56" i="19"/>
  <c r="AT57" i="19"/>
  <c r="AV57" i="19" s="1"/>
  <c r="AV40" i="19"/>
  <c r="AY40" i="19"/>
  <c r="AU40" i="19"/>
  <c r="AT41" i="19"/>
  <c r="AY5" i="19"/>
  <c r="AV5" i="19"/>
  <c r="AU5" i="19"/>
  <c r="AT42" i="19"/>
  <c r="P32" i="19"/>
  <c r="S32" i="19"/>
  <c r="O32" i="19"/>
  <c r="O51" i="19"/>
  <c r="P51" i="19"/>
  <c r="S51" i="19"/>
  <c r="P41" i="19"/>
  <c r="O41" i="19"/>
  <c r="S41" i="19"/>
  <c r="P26" i="19"/>
  <c r="S26" i="19"/>
  <c r="O26" i="19"/>
  <c r="O53" i="19"/>
  <c r="S53" i="19"/>
  <c r="P53" i="19"/>
  <c r="N57" i="19"/>
  <c r="P57" i="19" s="1"/>
  <c r="O38" i="19"/>
  <c r="P38" i="19"/>
  <c r="S38" i="19"/>
  <c r="O37" i="19"/>
  <c r="P37" i="19"/>
  <c r="S37" i="19"/>
  <c r="P44" i="19"/>
  <c r="O44" i="19"/>
  <c r="S44" i="19"/>
  <c r="P18" i="19"/>
  <c r="N20" i="19"/>
  <c r="S18" i="19"/>
  <c r="O18" i="19"/>
  <c r="O7" i="19"/>
  <c r="S7" i="19"/>
  <c r="P7" i="19"/>
  <c r="F11" i="19"/>
  <c r="AD11" i="19" s="1"/>
  <c r="AE11" i="19" s="1"/>
  <c r="P19" i="19"/>
  <c r="O19" i="19"/>
  <c r="S19" i="19"/>
  <c r="F55" i="19"/>
  <c r="K55" i="19" s="1"/>
  <c r="K27" i="19"/>
  <c r="G27" i="19"/>
  <c r="H27" i="19"/>
  <c r="F19" i="19"/>
  <c r="K19" i="19" s="1"/>
  <c r="AD24" i="19"/>
  <c r="H24" i="19"/>
  <c r="G24" i="19"/>
  <c r="K24" i="19"/>
  <c r="G52" i="19"/>
  <c r="K52" i="19"/>
  <c r="H52" i="19"/>
  <c r="G48" i="19"/>
  <c r="H48" i="19"/>
  <c r="K48" i="19"/>
  <c r="F41" i="19"/>
  <c r="K41" i="19" s="1"/>
  <c r="F35" i="19"/>
  <c r="F8" i="19"/>
  <c r="H8" i="19" s="1"/>
  <c r="G38" i="19"/>
  <c r="K38" i="19"/>
  <c r="H38" i="19"/>
  <c r="AD38" i="19"/>
  <c r="H54" i="19"/>
  <c r="K54" i="19"/>
  <c r="AD54" i="19"/>
  <c r="G54" i="19"/>
  <c r="H43" i="19"/>
  <c r="K43" i="19"/>
  <c r="AD43" i="19"/>
  <c r="G43" i="19"/>
  <c r="G53" i="19"/>
  <c r="H53" i="19"/>
  <c r="K53" i="19"/>
  <c r="AD53" i="19"/>
  <c r="G56" i="19"/>
  <c r="H56" i="19"/>
  <c r="K56" i="19"/>
  <c r="G28" i="19"/>
  <c r="K28" i="19"/>
  <c r="AD28" i="19"/>
  <c r="H28" i="19"/>
  <c r="K50" i="19"/>
  <c r="G50" i="19"/>
  <c r="H50" i="19"/>
  <c r="AD50" i="19"/>
  <c r="H47" i="19"/>
  <c r="AD47" i="19"/>
  <c r="G47" i="19"/>
  <c r="K47" i="19"/>
  <c r="K10" i="19"/>
  <c r="H10" i="19"/>
  <c r="G10" i="19"/>
  <c r="G44" i="19"/>
  <c r="K44" i="19"/>
  <c r="H44" i="19"/>
  <c r="AD56" i="19"/>
  <c r="W56" i="19"/>
  <c r="X56" i="19"/>
  <c r="AA56" i="19"/>
  <c r="W22" i="19"/>
  <c r="X22" i="19"/>
  <c r="AA22" i="19"/>
  <c r="AA49" i="19"/>
  <c r="W49" i="19"/>
  <c r="AD49" i="19"/>
  <c r="W48" i="19"/>
  <c r="AA48" i="19"/>
  <c r="AD48" i="19"/>
  <c r="W27" i="19"/>
  <c r="X27" i="19"/>
  <c r="AA27" i="19"/>
  <c r="AD27" i="19"/>
  <c r="AA51" i="19"/>
  <c r="V57" i="19"/>
  <c r="X57" i="19" s="1"/>
  <c r="W51" i="19"/>
  <c r="X51" i="19"/>
  <c r="V33" i="19"/>
  <c r="W52" i="19"/>
  <c r="AD52" i="19"/>
  <c r="X52" i="19"/>
  <c r="AA52" i="19"/>
  <c r="AA44" i="19"/>
  <c r="AD44" i="19"/>
  <c r="W44" i="19"/>
  <c r="X44" i="19"/>
  <c r="V41" i="19"/>
  <c r="D13" i="9"/>
  <c r="H22" i="19" l="1"/>
  <c r="AD22" i="19"/>
  <c r="AE22" i="19" s="1"/>
  <c r="K22" i="19"/>
  <c r="CP15" i="19"/>
  <c r="CS15" i="19"/>
  <c r="CP35" i="19"/>
  <c r="CS35" i="19"/>
  <c r="V31" i="19"/>
  <c r="AD31" i="19" s="1"/>
  <c r="H51" i="19"/>
  <c r="K51" i="19"/>
  <c r="AD51" i="19"/>
  <c r="AF51" i="19" s="1"/>
  <c r="X5" i="19"/>
  <c r="AA5" i="19"/>
  <c r="AD10" i="19"/>
  <c r="AF10" i="19" s="1"/>
  <c r="AA10" i="19"/>
  <c r="CS26" i="19"/>
  <c r="CO26" i="19"/>
  <c r="AA37" i="19"/>
  <c r="W10" i="19"/>
  <c r="W37" i="19"/>
  <c r="CH30" i="19"/>
  <c r="CH14" i="19"/>
  <c r="CK14" i="19"/>
  <c r="CI14" i="19"/>
  <c r="CW21" i="19"/>
  <c r="F14" i="19"/>
  <c r="K14" i="19" s="1"/>
  <c r="W7" i="19"/>
  <c r="X7" i="19"/>
  <c r="BZ39" i="19"/>
  <c r="CB39" i="19" s="1"/>
  <c r="CB36" i="19"/>
  <c r="CD36" i="19"/>
  <c r="CA36" i="19"/>
  <c r="CA39" i="19" s="1"/>
  <c r="P14" i="19"/>
  <c r="O14" i="19"/>
  <c r="P5" i="19"/>
  <c r="K12" i="19"/>
  <c r="G12" i="19"/>
  <c r="S5" i="19"/>
  <c r="AD12" i="19"/>
  <c r="AF12" i="19" s="1"/>
  <c r="F16" i="19"/>
  <c r="G16" i="19" s="1"/>
  <c r="AA40" i="19"/>
  <c r="W40" i="19"/>
  <c r="F29" i="19"/>
  <c r="F30" i="19" s="1"/>
  <c r="H30" i="19" s="1"/>
  <c r="W35" i="19"/>
  <c r="X18" i="19"/>
  <c r="W18" i="19"/>
  <c r="AA35" i="19"/>
  <c r="AM17" i="19"/>
  <c r="AM21" i="19" s="1"/>
  <c r="H18" i="19"/>
  <c r="AU19" i="19"/>
  <c r="AU20" i="19" s="1"/>
  <c r="AY19" i="19"/>
  <c r="AT20" i="19"/>
  <c r="AV20" i="19" s="1"/>
  <c r="K18" i="19"/>
  <c r="AD18" i="19"/>
  <c r="AF18" i="19" s="1"/>
  <c r="BC14" i="19"/>
  <c r="BD14" i="19"/>
  <c r="V20" i="19"/>
  <c r="X20" i="19" s="1"/>
  <c r="X19" i="19"/>
  <c r="W19" i="19"/>
  <c r="AV31" i="19"/>
  <c r="AU31" i="19"/>
  <c r="AV9" i="19"/>
  <c r="AU9" i="19"/>
  <c r="AV23" i="19"/>
  <c r="AY23" i="19"/>
  <c r="AU26" i="19"/>
  <c r="AT30" i="19"/>
  <c r="AV30" i="19" s="1"/>
  <c r="H15" i="19"/>
  <c r="K15" i="19"/>
  <c r="AY37" i="19"/>
  <c r="H37" i="19"/>
  <c r="AV37" i="19"/>
  <c r="AY26" i="19"/>
  <c r="H40" i="19"/>
  <c r="AD40" i="19"/>
  <c r="AE40" i="19" s="1"/>
  <c r="K40" i="19"/>
  <c r="F36" i="19"/>
  <c r="G36" i="19" s="1"/>
  <c r="F34" i="19"/>
  <c r="H34" i="19" s="1"/>
  <c r="BB30" i="19"/>
  <c r="BD30" i="19" s="1"/>
  <c r="K37" i="19"/>
  <c r="AD37" i="19"/>
  <c r="AE37" i="19" s="1"/>
  <c r="BC57" i="19"/>
  <c r="BC8" i="19"/>
  <c r="BG8" i="19"/>
  <c r="BB39" i="19"/>
  <c r="BD39" i="19" s="1"/>
  <c r="BG36" i="19"/>
  <c r="BD36" i="19"/>
  <c r="BD10" i="19"/>
  <c r="BC10" i="19"/>
  <c r="AY29" i="19"/>
  <c r="BD26" i="19"/>
  <c r="BG26" i="19"/>
  <c r="BC26" i="19"/>
  <c r="BC30" i="19" s="1"/>
  <c r="AV29" i="19"/>
  <c r="BB16" i="19"/>
  <c r="AU29" i="19"/>
  <c r="AY16" i="19"/>
  <c r="CP14" i="19"/>
  <c r="CO14" i="19"/>
  <c r="AU17" i="19"/>
  <c r="AV16" i="19"/>
  <c r="X6" i="19"/>
  <c r="AD7" i="19"/>
  <c r="AE7" i="19" s="1"/>
  <c r="H7" i="19"/>
  <c r="G7" i="19"/>
  <c r="CH13" i="19"/>
  <c r="P29" i="19"/>
  <c r="O29" i="19"/>
  <c r="W6" i="19"/>
  <c r="AM36" i="19"/>
  <c r="AM39" i="19" s="1"/>
  <c r="AQ36" i="19"/>
  <c r="AN36" i="19"/>
  <c r="CS41" i="19"/>
  <c r="CP41" i="19"/>
  <c r="S36" i="19"/>
  <c r="O36" i="19"/>
  <c r="G25" i="19"/>
  <c r="CS5" i="19"/>
  <c r="CP5" i="19"/>
  <c r="AD25" i="19"/>
  <c r="AF25" i="19" s="1"/>
  <c r="H25" i="19"/>
  <c r="CP22" i="19"/>
  <c r="CS22" i="19"/>
  <c r="AA26" i="19"/>
  <c r="BB13" i="19"/>
  <c r="BD13" i="19" s="1"/>
  <c r="BG9" i="19"/>
  <c r="BD9" i="19"/>
  <c r="BC9" i="19"/>
  <c r="W26" i="19"/>
  <c r="CK16" i="19"/>
  <c r="CI16" i="19"/>
  <c r="CG17" i="19"/>
  <c r="CI17" i="19" s="1"/>
  <c r="CH16" i="19"/>
  <c r="AV36" i="19"/>
  <c r="AU36" i="19"/>
  <c r="AY36" i="19"/>
  <c r="AT39" i="19"/>
  <c r="AV39" i="19" s="1"/>
  <c r="P9" i="19"/>
  <c r="AV10" i="19"/>
  <c r="AU10" i="19"/>
  <c r="AY10" i="19"/>
  <c r="S42" i="19"/>
  <c r="O9" i="19"/>
  <c r="N45" i="19"/>
  <c r="P45" i="19" s="1"/>
  <c r="AM30" i="19"/>
  <c r="P42" i="19"/>
  <c r="G26" i="19"/>
  <c r="AD26" i="19"/>
  <c r="AF26" i="19" s="1"/>
  <c r="K26" i="19"/>
  <c r="X15" i="19"/>
  <c r="W15" i="19"/>
  <c r="AD15" i="19"/>
  <c r="AF15" i="19" s="1"/>
  <c r="BC45" i="19"/>
  <c r="BC20" i="19"/>
  <c r="AU57" i="19"/>
  <c r="CS23" i="19"/>
  <c r="CO23" i="19"/>
  <c r="AM5" i="19"/>
  <c r="AM13" i="19" s="1"/>
  <c r="AQ5" i="19"/>
  <c r="AN5" i="19"/>
  <c r="CH31" i="19"/>
  <c r="CH39" i="19" s="1"/>
  <c r="CI31" i="19"/>
  <c r="CK31" i="19"/>
  <c r="CN31" i="19"/>
  <c r="CN39" i="19" s="1"/>
  <c r="CP39" i="19" s="1"/>
  <c r="CG39" i="19"/>
  <c r="CI39" i="19" s="1"/>
  <c r="CA20" i="19"/>
  <c r="CA30" i="19"/>
  <c r="CN9" i="19"/>
  <c r="CN13" i="19" s="1"/>
  <c r="CP13" i="19" s="1"/>
  <c r="CD9" i="19"/>
  <c r="CA9" i="19"/>
  <c r="CA13" i="19" s="1"/>
  <c r="CB9" i="19"/>
  <c r="P23" i="19"/>
  <c r="O31" i="19"/>
  <c r="S31" i="19"/>
  <c r="AU7" i="19"/>
  <c r="AF46" i="19"/>
  <c r="AI46" i="19"/>
  <c r="AV7" i="19"/>
  <c r="G31" i="19"/>
  <c r="AY7" i="19"/>
  <c r="AU33" i="19"/>
  <c r="AY33" i="19"/>
  <c r="AV33" i="19"/>
  <c r="AT13" i="19"/>
  <c r="AV13" i="19" s="1"/>
  <c r="AU8" i="19"/>
  <c r="AY8" i="19"/>
  <c r="AV8" i="19"/>
  <c r="G33" i="19"/>
  <c r="AD6" i="19"/>
  <c r="AF6" i="19" s="1"/>
  <c r="N39" i="19"/>
  <c r="P39" i="19" s="1"/>
  <c r="K31" i="19"/>
  <c r="S35" i="19"/>
  <c r="P35" i="19"/>
  <c r="O23" i="19"/>
  <c r="N30" i="19"/>
  <c r="P30" i="19" s="1"/>
  <c r="K6" i="19"/>
  <c r="H6" i="19"/>
  <c r="AF32" i="19"/>
  <c r="K32" i="19"/>
  <c r="H32" i="19"/>
  <c r="G32" i="19"/>
  <c r="AI32" i="19"/>
  <c r="K33" i="19"/>
  <c r="W34" i="19"/>
  <c r="X34" i="19"/>
  <c r="CO57" i="19"/>
  <c r="BC39" i="19"/>
  <c r="BD20" i="19"/>
  <c r="AA14" i="19"/>
  <c r="W14" i="19"/>
  <c r="W16" i="19"/>
  <c r="X16" i="19"/>
  <c r="AA16" i="19"/>
  <c r="V17" i="19"/>
  <c r="X17" i="19" s="1"/>
  <c r="X9" i="19"/>
  <c r="AA9" i="19"/>
  <c r="V8" i="19"/>
  <c r="X8" i="19" s="1"/>
  <c r="AL21" i="19"/>
  <c r="AN21" i="19" s="1"/>
  <c r="AN20" i="19"/>
  <c r="CO40" i="19"/>
  <c r="CP40" i="19"/>
  <c r="CS40" i="19"/>
  <c r="CI20" i="19"/>
  <c r="CO37" i="19"/>
  <c r="CP37" i="19"/>
  <c r="CS37" i="19"/>
  <c r="CO18" i="19"/>
  <c r="CP18" i="19"/>
  <c r="CS18" i="19"/>
  <c r="AD9" i="19"/>
  <c r="AE9" i="19" s="1"/>
  <c r="AT17" i="19"/>
  <c r="AV17" i="19" s="1"/>
  <c r="AY14" i="19"/>
  <c r="CS34" i="19"/>
  <c r="CO34" i="19"/>
  <c r="CP34" i="19"/>
  <c r="CO19" i="19"/>
  <c r="CP19" i="19"/>
  <c r="CN20" i="19"/>
  <c r="CS19" i="19"/>
  <c r="CS42" i="19"/>
  <c r="CO42" i="19"/>
  <c r="CO45" i="19" s="1"/>
  <c r="CP42" i="19"/>
  <c r="CN45" i="19"/>
  <c r="CP45" i="19" s="1"/>
  <c r="CO8" i="19"/>
  <c r="CS8" i="19"/>
  <c r="CP8" i="19"/>
  <c r="CB20" i="19"/>
  <c r="CO7" i="19"/>
  <c r="CP7" i="19"/>
  <c r="CS7" i="19"/>
  <c r="CO29" i="19"/>
  <c r="CP29" i="19"/>
  <c r="CN30" i="19"/>
  <c r="CP30" i="19" s="1"/>
  <c r="CS29" i="19"/>
  <c r="CB16" i="19"/>
  <c r="CA16" i="19"/>
  <c r="CA17" i="19" s="1"/>
  <c r="CD16" i="19"/>
  <c r="BZ17" i="19"/>
  <c r="CB17" i="19" s="1"/>
  <c r="CN16" i="19"/>
  <c r="CP36" i="19"/>
  <c r="CS36" i="19"/>
  <c r="CO36" i="19"/>
  <c r="CP10" i="19"/>
  <c r="CS10" i="19"/>
  <c r="CO10" i="19"/>
  <c r="H41" i="19"/>
  <c r="O8" i="19"/>
  <c r="F57" i="19"/>
  <c r="H57" i="19" s="1"/>
  <c r="AV14" i="19"/>
  <c r="AT45" i="19"/>
  <c r="AV45" i="19" s="1"/>
  <c r="H55" i="19"/>
  <c r="AV42" i="19"/>
  <c r="AU42" i="19"/>
  <c r="AY42" i="19"/>
  <c r="AV41" i="19"/>
  <c r="AU41" i="19"/>
  <c r="AY41" i="19"/>
  <c r="AD19" i="19"/>
  <c r="AI19" i="19" s="1"/>
  <c r="G19" i="19"/>
  <c r="G20" i="19" s="1"/>
  <c r="F20" i="19"/>
  <c r="H20" i="19" s="1"/>
  <c r="H19" i="19"/>
  <c r="O57" i="19"/>
  <c r="AD55" i="19"/>
  <c r="AF55" i="19" s="1"/>
  <c r="N17" i="19"/>
  <c r="P17" i="19" s="1"/>
  <c r="S16" i="19"/>
  <c r="O16" i="19"/>
  <c r="K9" i="19"/>
  <c r="P34" i="19"/>
  <c r="O34" i="19"/>
  <c r="S34" i="19"/>
  <c r="G55" i="19"/>
  <c r="G57" i="19" s="1"/>
  <c r="O45" i="19"/>
  <c r="G9" i="19"/>
  <c r="S8" i="19"/>
  <c r="N13" i="19"/>
  <c r="P13" i="19" s="1"/>
  <c r="K23" i="19"/>
  <c r="G23" i="19"/>
  <c r="H23" i="19"/>
  <c r="G11" i="19"/>
  <c r="F45" i="19"/>
  <c r="H45" i="19" s="1"/>
  <c r="AF11" i="19"/>
  <c r="H11" i="19"/>
  <c r="K42" i="19"/>
  <c r="O20" i="19"/>
  <c r="G42" i="19"/>
  <c r="AI11" i="19"/>
  <c r="P20" i="19"/>
  <c r="K11" i="19"/>
  <c r="AD35" i="19"/>
  <c r="AE35" i="19" s="1"/>
  <c r="G41" i="19"/>
  <c r="G8" i="19"/>
  <c r="AE24" i="19"/>
  <c r="AF24" i="19"/>
  <c r="AI24" i="19"/>
  <c r="K8" i="19"/>
  <c r="F5" i="19"/>
  <c r="AE38" i="19"/>
  <c r="AI38" i="19"/>
  <c r="AF38" i="19"/>
  <c r="G35" i="19"/>
  <c r="H35" i="19"/>
  <c r="K35" i="19"/>
  <c r="AI54" i="19"/>
  <c r="AF54" i="19"/>
  <c r="AE54" i="19"/>
  <c r="AF53" i="19"/>
  <c r="AI53" i="19"/>
  <c r="AE53" i="19"/>
  <c r="AI43" i="19"/>
  <c r="AF43" i="19"/>
  <c r="AE43" i="19"/>
  <c r="AE50" i="19"/>
  <c r="AF50" i="19"/>
  <c r="AI50" i="19"/>
  <c r="AI47" i="19"/>
  <c r="AF47" i="19"/>
  <c r="AE47" i="19"/>
  <c r="AI28" i="19"/>
  <c r="AF28" i="19"/>
  <c r="AE28" i="19"/>
  <c r="W23" i="19"/>
  <c r="AD23" i="19"/>
  <c r="AA23" i="19"/>
  <c r="X23" i="19"/>
  <c r="AI49" i="19"/>
  <c r="AE49" i="19"/>
  <c r="AF49" i="19"/>
  <c r="AA29" i="19"/>
  <c r="X29" i="19"/>
  <c r="W29" i="19"/>
  <c r="AI48" i="19"/>
  <c r="AF48" i="19"/>
  <c r="AE48" i="19"/>
  <c r="AI56" i="19"/>
  <c r="AE56" i="19"/>
  <c r="AF56" i="19"/>
  <c r="AF27" i="19"/>
  <c r="AE27" i="19"/>
  <c r="AI27" i="19"/>
  <c r="V30" i="19"/>
  <c r="X30" i="19" s="1"/>
  <c r="W57" i="19"/>
  <c r="AE44" i="19"/>
  <c r="AI44" i="19"/>
  <c r="AF44" i="19"/>
  <c r="V36" i="19"/>
  <c r="W33" i="19"/>
  <c r="X33" i="19"/>
  <c r="AD33" i="19"/>
  <c r="AA33" i="19"/>
  <c r="AD41" i="19"/>
  <c r="W41" i="19"/>
  <c r="X41" i="19"/>
  <c r="V45" i="19"/>
  <c r="X45" i="19" s="1"/>
  <c r="AA41" i="19"/>
  <c r="AE52" i="19"/>
  <c r="AF52" i="19"/>
  <c r="AI52" i="19"/>
  <c r="X42" i="19"/>
  <c r="W42" i="19"/>
  <c r="AA42" i="19"/>
  <c r="AD42" i="19"/>
  <c r="W31" i="19" l="1"/>
  <c r="AF22" i="19"/>
  <c r="AI22" i="19"/>
  <c r="V39" i="19"/>
  <c r="X39" i="19" s="1"/>
  <c r="X31" i="19"/>
  <c r="AA31" i="19"/>
  <c r="AI51" i="19"/>
  <c r="AE51" i="19"/>
  <c r="CI59" i="19"/>
  <c r="P59" i="19"/>
  <c r="AE10" i="19"/>
  <c r="AI10" i="19"/>
  <c r="AD14" i="19"/>
  <c r="AI14" i="19" s="1"/>
  <c r="CH17" i="19"/>
  <c r="CH21" i="19" s="1"/>
  <c r="H14" i="19"/>
  <c r="G14" i="19"/>
  <c r="G17" i="19" s="1"/>
  <c r="G21" i="19" s="1"/>
  <c r="O17" i="19"/>
  <c r="O21" i="19" s="1"/>
  <c r="AE12" i="19"/>
  <c r="AD16" i="19"/>
  <c r="AE16" i="19" s="1"/>
  <c r="AI12" i="19"/>
  <c r="F17" i="19"/>
  <c r="H17" i="19" s="1"/>
  <c r="K16" i="19"/>
  <c r="H16" i="19"/>
  <c r="G29" i="19"/>
  <c r="G30" i="19" s="1"/>
  <c r="H29" i="19"/>
  <c r="AD29" i="19"/>
  <c r="AI29" i="19" s="1"/>
  <c r="K29" i="19"/>
  <c r="W20" i="19"/>
  <c r="AN59" i="19"/>
  <c r="E43" i="15" s="1"/>
  <c r="AI18" i="19"/>
  <c r="AE18" i="19"/>
  <c r="AF37" i="19"/>
  <c r="AU30" i="19"/>
  <c r="AD34" i="19"/>
  <c r="AI34" i="19" s="1"/>
  <c r="AF40" i="19"/>
  <c r="AI40" i="19"/>
  <c r="G34" i="19"/>
  <c r="G39" i="19" s="1"/>
  <c r="F39" i="19"/>
  <c r="H39" i="19" s="1"/>
  <c r="AI37" i="19"/>
  <c r="H36" i="19"/>
  <c r="K34" i="19"/>
  <c r="K36" i="19"/>
  <c r="AF7" i="19"/>
  <c r="AI7" i="19"/>
  <c r="BC13" i="19"/>
  <c r="BD16" i="19"/>
  <c r="BD59" i="19" s="1"/>
  <c r="BG16" i="19"/>
  <c r="BG59" i="19" s="1"/>
  <c r="BC16" i="19"/>
  <c r="BC17" i="19" s="1"/>
  <c r="BC21" i="19" s="1"/>
  <c r="BB17" i="19"/>
  <c r="AU21" i="19"/>
  <c r="AQ59" i="19"/>
  <c r="O30" i="19"/>
  <c r="AE25" i="19"/>
  <c r="AI25" i="19"/>
  <c r="CG21" i="19"/>
  <c r="CI21" i="19" s="1"/>
  <c r="AU39" i="19"/>
  <c r="CK59" i="19"/>
  <c r="AI15" i="19"/>
  <c r="AE15" i="19"/>
  <c r="O13" i="19"/>
  <c r="O39" i="19"/>
  <c r="AE26" i="19"/>
  <c r="AI26" i="19"/>
  <c r="CO30" i="19"/>
  <c r="CB59" i="19"/>
  <c r="CP31" i="19"/>
  <c r="CS31" i="19"/>
  <c r="CO31" i="19"/>
  <c r="CO39" i="19" s="1"/>
  <c r="CD59" i="19"/>
  <c r="CA21" i="19"/>
  <c r="CS9" i="19"/>
  <c r="CO9" i="19"/>
  <c r="CO13" i="19" s="1"/>
  <c r="CP9" i="19"/>
  <c r="AU13" i="19"/>
  <c r="AE6" i="19"/>
  <c r="AI6" i="19"/>
  <c r="V21" i="19"/>
  <c r="X21" i="19" s="1"/>
  <c r="W17" i="19"/>
  <c r="AA8" i="19"/>
  <c r="CO20" i="19"/>
  <c r="V13" i="19"/>
  <c r="X13" i="19" s="1"/>
  <c r="AD8" i="19"/>
  <c r="AF8" i="19" s="1"/>
  <c r="W8" i="19"/>
  <c r="W13" i="19" s="1"/>
  <c r="AT21" i="19"/>
  <c r="AV21" i="19" s="1"/>
  <c r="AI9" i="19"/>
  <c r="AF9" i="19"/>
  <c r="AF19" i="19"/>
  <c r="CP20" i="19"/>
  <c r="AY59" i="19"/>
  <c r="CN17" i="19"/>
  <c r="CP17" i="19" s="1"/>
  <c r="CS16" i="19"/>
  <c r="CO16" i="19"/>
  <c r="CO17" i="19" s="1"/>
  <c r="CP16" i="19"/>
  <c r="BZ21" i="19"/>
  <c r="CB21" i="19" s="1"/>
  <c r="AU45" i="19"/>
  <c r="S59" i="19"/>
  <c r="AV59" i="19"/>
  <c r="N21" i="19"/>
  <c r="P21" i="19" s="1"/>
  <c r="AE55" i="19"/>
  <c r="AI55" i="19"/>
  <c r="AE19" i="19"/>
  <c r="AD57" i="19"/>
  <c r="AF57" i="19" s="1"/>
  <c r="AD20" i="19"/>
  <c r="AF20" i="19" s="1"/>
  <c r="G45" i="19"/>
  <c r="AF35" i="19"/>
  <c r="AI35" i="19"/>
  <c r="W30" i="19"/>
  <c r="H5" i="19"/>
  <c r="F13" i="19"/>
  <c r="H13" i="19" s="1"/>
  <c r="AD5" i="19"/>
  <c r="G5" i="19"/>
  <c r="G13" i="19" s="1"/>
  <c r="K5" i="19"/>
  <c r="AF23" i="19"/>
  <c r="AI23" i="19"/>
  <c r="AE23" i="19"/>
  <c r="W45" i="19"/>
  <c r="AF31" i="19"/>
  <c r="AE31" i="19"/>
  <c r="AI31" i="19"/>
  <c r="AI33" i="19"/>
  <c r="AF33" i="19"/>
  <c r="AE33" i="19"/>
  <c r="AE41" i="19"/>
  <c r="AF41" i="19"/>
  <c r="AD45" i="19"/>
  <c r="AF45" i="19" s="1"/>
  <c r="AI41" i="19"/>
  <c r="AE42" i="19"/>
  <c r="AI42" i="19"/>
  <c r="AF42" i="19"/>
  <c r="AA36" i="19"/>
  <c r="AD36" i="19"/>
  <c r="X36" i="19"/>
  <c r="W36" i="19"/>
  <c r="W39" i="19" s="1"/>
  <c r="AC62" i="12"/>
  <c r="AC56" i="12"/>
  <c r="AK56" i="12" s="1"/>
  <c r="AC55" i="12"/>
  <c r="AK55" i="12" s="1"/>
  <c r="AC54" i="12"/>
  <c r="AK54" i="12" s="1"/>
  <c r="AC52" i="12"/>
  <c r="AK52" i="12" s="1"/>
  <c r="AC51" i="12"/>
  <c r="AK51" i="12" s="1"/>
  <c r="AC48" i="12"/>
  <c r="AK48" i="12" s="1"/>
  <c r="AC47" i="12"/>
  <c r="AK47" i="12" s="1"/>
  <c r="AC46" i="12"/>
  <c r="AK46" i="12" s="1"/>
  <c r="AC44" i="12"/>
  <c r="AK44" i="12" s="1"/>
  <c r="AC43" i="12"/>
  <c r="AK43" i="12" s="1"/>
  <c r="AC42" i="12"/>
  <c r="AK42" i="12" s="1"/>
  <c r="AC41" i="12"/>
  <c r="AK41" i="12" s="1"/>
  <c r="AC40" i="12"/>
  <c r="AK40" i="12" s="1"/>
  <c r="AC38" i="12"/>
  <c r="AK38" i="12" s="1"/>
  <c r="AC37" i="12"/>
  <c r="AK37" i="12" s="1"/>
  <c r="AC36" i="12"/>
  <c r="AK36" i="12" s="1"/>
  <c r="AC35" i="12"/>
  <c r="AK35" i="12" s="1"/>
  <c r="AC34" i="12"/>
  <c r="AK34" i="12" s="1"/>
  <c r="AC33" i="12"/>
  <c r="AK33" i="12" s="1"/>
  <c r="AC32" i="12"/>
  <c r="AK32" i="12" s="1"/>
  <c r="AC31" i="12"/>
  <c r="AK31" i="12" s="1"/>
  <c r="AC29" i="12"/>
  <c r="AK29" i="12" s="1"/>
  <c r="AC28" i="12"/>
  <c r="AK28" i="12" s="1"/>
  <c r="AC27" i="12"/>
  <c r="AK27" i="12" s="1"/>
  <c r="AC26" i="12"/>
  <c r="AK26" i="12" s="1"/>
  <c r="AC25" i="12"/>
  <c r="AK25" i="12" s="1"/>
  <c r="AC24" i="12"/>
  <c r="AK24" i="12" s="1"/>
  <c r="AC23" i="12"/>
  <c r="AK23" i="12" s="1"/>
  <c r="AC22" i="12"/>
  <c r="AK22" i="12" s="1"/>
  <c r="AC19" i="12"/>
  <c r="AK19" i="12" s="1"/>
  <c r="AC18" i="12"/>
  <c r="AK18" i="12" s="1"/>
  <c r="AC16" i="12"/>
  <c r="AK16" i="12" s="1"/>
  <c r="AC15" i="12"/>
  <c r="AK15" i="12" s="1"/>
  <c r="AC14" i="12"/>
  <c r="AK14" i="12" s="1"/>
  <c r="AC12" i="12"/>
  <c r="AK12" i="12" s="1"/>
  <c r="AC11" i="12"/>
  <c r="AK11" i="12" s="1"/>
  <c r="AC10" i="12"/>
  <c r="AK10" i="12" s="1"/>
  <c r="AC9" i="12"/>
  <c r="AK9" i="12" s="1"/>
  <c r="AC8" i="12"/>
  <c r="AK8" i="12" s="1"/>
  <c r="AC7" i="12"/>
  <c r="AK7" i="12" s="1"/>
  <c r="AC6" i="12"/>
  <c r="AK6" i="12" s="1"/>
  <c r="AC5" i="12"/>
  <c r="AK5" i="12" s="1"/>
  <c r="X59" i="19" l="1"/>
  <c r="AE57" i="19"/>
  <c r="AE14" i="19"/>
  <c r="AE17" i="19" s="1"/>
  <c r="AF14" i="19"/>
  <c r="AF16" i="19"/>
  <c r="AD17" i="19"/>
  <c r="AF17" i="19" s="1"/>
  <c r="AI16" i="19"/>
  <c r="F21" i="19"/>
  <c r="H21" i="19" s="1"/>
  <c r="AE29" i="19"/>
  <c r="AE30" i="19" s="1"/>
  <c r="AF29" i="19"/>
  <c r="AD30" i="19"/>
  <c r="AF30" i="19" s="1"/>
  <c r="W21" i="19"/>
  <c r="AE20" i="19"/>
  <c r="AF34" i="19"/>
  <c r="AE34" i="19"/>
  <c r="H59" i="19"/>
  <c r="K59" i="19"/>
  <c r="BD17" i="19"/>
  <c r="BB21" i="19"/>
  <c r="BD21" i="19" s="1"/>
  <c r="CP59" i="19"/>
  <c r="E44" i="15" s="1"/>
  <c r="CS59" i="19"/>
  <c r="CO21" i="19"/>
  <c r="AA59" i="19"/>
  <c r="AI8" i="19"/>
  <c r="AE8" i="19"/>
  <c r="CN21" i="19"/>
  <c r="CP21" i="19" s="1"/>
  <c r="AD13" i="19"/>
  <c r="AF13" i="19" s="1"/>
  <c r="AF5" i="19"/>
  <c r="AE5" i="19"/>
  <c r="AI5" i="19"/>
  <c r="AE45" i="19"/>
  <c r="AF36" i="19"/>
  <c r="AE36" i="19"/>
  <c r="AI36" i="19"/>
  <c r="AD39" i="19"/>
  <c r="AF39" i="19" s="1"/>
  <c r="AC20" i="12"/>
  <c r="AC45" i="12"/>
  <c r="AC57" i="12"/>
  <c r="AC30" i="12"/>
  <c r="AC39" i="12"/>
  <c r="AC13" i="12"/>
  <c r="AC17" i="12"/>
  <c r="AD21" i="19" l="1"/>
  <c r="AF21" i="19" s="1"/>
  <c r="AE21" i="19"/>
  <c r="AE39" i="19"/>
  <c r="AE13" i="19"/>
  <c r="AF59" i="19"/>
  <c r="E46" i="15" s="1"/>
  <c r="AI59" i="19"/>
  <c r="AC21" i="12"/>
  <c r="Z55" i="17" l="1"/>
  <c r="Z50" i="17"/>
  <c r="Z49" i="17"/>
  <c r="Z47" i="17"/>
  <c r="Z42" i="17"/>
  <c r="Z40" i="17"/>
  <c r="Z37" i="17"/>
  <c r="Z31" i="17"/>
  <c r="Z22" i="17"/>
  <c r="Z10" i="17"/>
  <c r="Z56" i="17"/>
  <c r="Z54" i="17"/>
  <c r="Z52" i="17"/>
  <c r="Z51" i="17"/>
  <c r="Z48" i="17"/>
  <c r="Z46" i="17"/>
  <c r="Z44" i="17"/>
  <c r="Z43" i="17"/>
  <c r="Z41" i="17"/>
  <c r="Z38" i="17"/>
  <c r="Z36" i="17"/>
  <c r="Z35" i="17"/>
  <c r="Z34" i="17"/>
  <c r="Z32" i="17"/>
  <c r="Z29" i="17"/>
  <c r="Z27" i="17"/>
  <c r="Z26" i="17"/>
  <c r="Z25" i="17"/>
  <c r="Z23" i="17"/>
  <c r="Z19" i="17"/>
  <c r="Z16" i="17"/>
  <c r="Z15" i="17"/>
  <c r="Z14" i="17"/>
  <c r="Z11" i="17"/>
  <c r="Z9" i="17"/>
  <c r="Z7" i="17"/>
  <c r="Z6" i="17"/>
  <c r="Z33" i="17"/>
  <c r="Z28" i="17"/>
  <c r="Z24" i="17"/>
  <c r="Z18" i="17"/>
  <c r="Z12" i="17"/>
  <c r="Z8" i="17"/>
  <c r="Z5" i="17"/>
  <c r="BV44" i="9" l="1"/>
  <c r="BV24" i="9"/>
  <c r="BV42" i="9"/>
  <c r="BV36" i="9"/>
  <c r="BV33" i="9"/>
  <c r="BV12" i="9"/>
  <c r="BV56" i="9"/>
  <c r="BV55" i="9"/>
  <c r="BV48" i="9"/>
  <c r="BV47" i="9"/>
  <c r="BV38" i="9"/>
  <c r="BV37" i="9"/>
  <c r="BV29" i="9"/>
  <c r="BV26" i="9"/>
  <c r="BV19" i="9"/>
  <c r="BV18" i="9"/>
  <c r="BV15" i="9"/>
  <c r="BV9" i="9"/>
  <c r="BV8" i="9"/>
  <c r="BV6" i="9"/>
  <c r="BV54" i="9"/>
  <c r="BV52" i="9"/>
  <c r="BV51" i="9"/>
  <c r="BV50" i="9"/>
  <c r="BV46" i="9"/>
  <c r="BV43" i="9"/>
  <c r="BV41" i="9"/>
  <c r="BV35" i="9"/>
  <c r="BV34" i="9"/>
  <c r="BV32" i="9"/>
  <c r="BV27" i="9"/>
  <c r="BV25" i="9"/>
  <c r="BV23" i="9"/>
  <c r="BV16" i="9"/>
  <c r="BV14" i="9"/>
  <c r="BV11" i="9"/>
  <c r="BV7" i="9"/>
  <c r="AR56" i="4"/>
  <c r="AR55" i="4"/>
  <c r="AR54" i="4"/>
  <c r="AR52" i="4"/>
  <c r="AR51" i="4"/>
  <c r="AR50" i="4"/>
  <c r="AR49" i="4"/>
  <c r="AR48" i="4"/>
  <c r="AR47" i="4"/>
  <c r="AR46" i="4"/>
  <c r="AR44" i="4"/>
  <c r="AR43" i="4"/>
  <c r="AR42" i="4"/>
  <c r="AR41" i="4"/>
  <c r="AR40" i="4"/>
  <c r="AR38" i="4"/>
  <c r="AR37" i="4"/>
  <c r="AR36" i="4"/>
  <c r="AR35" i="4"/>
  <c r="AR34" i="4"/>
  <c r="AR33" i="4"/>
  <c r="AR32" i="4"/>
  <c r="AR31" i="4"/>
  <c r="AR29" i="4"/>
  <c r="AR28" i="4"/>
  <c r="AR27" i="4"/>
  <c r="AR26" i="4"/>
  <c r="AR25" i="4"/>
  <c r="AR24" i="4"/>
  <c r="AR23" i="4"/>
  <c r="AR22" i="4"/>
  <c r="AR19" i="4"/>
  <c r="AR18" i="4"/>
  <c r="AR16" i="4"/>
  <c r="AR15" i="4"/>
  <c r="AR14" i="4"/>
  <c r="AR12" i="4"/>
  <c r="AR11" i="4"/>
  <c r="AR10" i="4"/>
  <c r="AR9" i="4"/>
  <c r="AR8" i="4"/>
  <c r="AR7" i="4"/>
  <c r="AR6" i="4"/>
  <c r="BV28" i="9" l="1"/>
  <c r="BV10" i="9"/>
  <c r="BV22" i="9"/>
  <c r="BV31" i="9"/>
  <c r="BV40" i="9"/>
  <c r="BV49" i="9"/>
  <c r="BV5" i="9"/>
  <c r="AR5" i="4"/>
  <c r="AX49" i="18" l="1"/>
  <c r="AS49" i="18"/>
  <c r="AQ49" i="5"/>
  <c r="AV49" i="5"/>
  <c r="AE49" i="17"/>
  <c r="AM49" i="14"/>
  <c r="AM49" i="12"/>
  <c r="AX49" i="6"/>
  <c r="AS49" i="6"/>
  <c r="AZ49" i="6" s="1"/>
  <c r="BA49" i="18" l="1"/>
  <c r="BC49" i="18" s="1"/>
  <c r="AC57" i="5"/>
  <c r="AC45" i="5"/>
  <c r="AC39" i="5"/>
  <c r="AC30" i="5"/>
  <c r="AC20" i="5"/>
  <c r="AC17" i="5"/>
  <c r="AC13" i="5"/>
  <c r="AC21" i="5" l="1"/>
  <c r="AX55" i="6" l="1"/>
  <c r="AX52" i="6"/>
  <c r="AX50" i="6"/>
  <c r="AX47" i="6"/>
  <c r="AX44" i="6"/>
  <c r="AX43" i="6"/>
  <c r="AX56" i="6"/>
  <c r="AX54" i="6"/>
  <c r="AX51" i="6"/>
  <c r="AX48" i="6"/>
  <c r="AX46" i="6"/>
  <c r="AX42" i="6"/>
  <c r="AX41" i="6"/>
  <c r="AX40" i="6"/>
  <c r="AX38" i="6"/>
  <c r="AX37" i="6"/>
  <c r="AX36" i="6"/>
  <c r="AX35" i="6"/>
  <c r="AX34" i="6"/>
  <c r="AX33" i="6"/>
  <c r="AX32" i="6"/>
  <c r="AX31" i="6"/>
  <c r="AX29" i="6"/>
  <c r="AX28" i="6"/>
  <c r="AX27" i="6"/>
  <c r="AX26" i="6"/>
  <c r="AX25" i="6"/>
  <c r="AX24" i="6"/>
  <c r="AX23" i="6"/>
  <c r="AX22" i="6"/>
  <c r="AX19" i="6"/>
  <c r="AX18" i="6"/>
  <c r="AX16" i="6"/>
  <c r="AX15" i="6"/>
  <c r="AX14" i="6"/>
  <c r="AX12" i="6"/>
  <c r="AX11" i="6"/>
  <c r="AX10" i="6"/>
  <c r="AX9" i="6"/>
  <c r="AX8" i="6"/>
  <c r="AX7" i="6"/>
  <c r="AX6" i="6"/>
  <c r="AX5" i="6" l="1"/>
  <c r="U62" i="17" l="1"/>
  <c r="U56" i="17"/>
  <c r="AC56" i="17" s="1"/>
  <c r="U55" i="17"/>
  <c r="AC55" i="17" s="1"/>
  <c r="U54" i="17"/>
  <c r="AC54" i="17" s="1"/>
  <c r="U52" i="17"/>
  <c r="AC52" i="17" s="1"/>
  <c r="U48" i="17"/>
  <c r="AC48" i="17" s="1"/>
  <c r="U47" i="17"/>
  <c r="AC47" i="17" s="1"/>
  <c r="U46" i="17"/>
  <c r="AC46" i="17" s="1"/>
  <c r="U44" i="17"/>
  <c r="AC44" i="17" s="1"/>
  <c r="U43" i="17"/>
  <c r="AC43" i="17" s="1"/>
  <c r="U42" i="17"/>
  <c r="AC42" i="17" s="1"/>
  <c r="U41" i="17"/>
  <c r="AC41" i="17" s="1"/>
  <c r="U40" i="17"/>
  <c r="AC40" i="17" s="1"/>
  <c r="U38" i="17"/>
  <c r="AC38" i="17" s="1"/>
  <c r="U37" i="17"/>
  <c r="AC37" i="17" s="1"/>
  <c r="U36" i="17"/>
  <c r="AC36" i="17" s="1"/>
  <c r="U35" i="17"/>
  <c r="AC35" i="17" s="1"/>
  <c r="U34" i="17"/>
  <c r="AC34" i="17" s="1"/>
  <c r="U33" i="17"/>
  <c r="AC33" i="17" s="1"/>
  <c r="U32" i="17"/>
  <c r="AC32" i="17" s="1"/>
  <c r="U31" i="17"/>
  <c r="AC31" i="17" s="1"/>
  <c r="U29" i="17"/>
  <c r="AC29" i="17" s="1"/>
  <c r="U28" i="17"/>
  <c r="AC28" i="17" s="1"/>
  <c r="U27" i="17"/>
  <c r="AC27" i="17" s="1"/>
  <c r="U26" i="17"/>
  <c r="AC26" i="17" s="1"/>
  <c r="U25" i="17"/>
  <c r="AC25" i="17" s="1"/>
  <c r="U24" i="17"/>
  <c r="AC24" i="17" s="1"/>
  <c r="U23" i="17"/>
  <c r="AC23" i="17" s="1"/>
  <c r="U22" i="17"/>
  <c r="AC22" i="17" s="1"/>
  <c r="U19" i="17"/>
  <c r="AC19" i="17" s="1"/>
  <c r="U18" i="17"/>
  <c r="AC18" i="17" s="1"/>
  <c r="U16" i="17"/>
  <c r="AC16" i="17" s="1"/>
  <c r="U15" i="17"/>
  <c r="AC15" i="17" s="1"/>
  <c r="U14" i="17"/>
  <c r="AC14" i="17" s="1"/>
  <c r="U12" i="17"/>
  <c r="AC12" i="17" s="1"/>
  <c r="U11" i="17"/>
  <c r="AC11" i="17" s="1"/>
  <c r="U10" i="17"/>
  <c r="AC10" i="17" s="1"/>
  <c r="U9" i="17"/>
  <c r="AC9" i="17" s="1"/>
  <c r="U8" i="17"/>
  <c r="AC8" i="17" s="1"/>
  <c r="U7" i="17"/>
  <c r="AC7" i="17" s="1"/>
  <c r="U6" i="17"/>
  <c r="AC6" i="17" s="1"/>
  <c r="U5" i="17"/>
  <c r="AC5" i="17" s="1"/>
  <c r="U20" i="17" l="1"/>
  <c r="U17" i="17"/>
  <c r="U13" i="17"/>
  <c r="U21" i="17" l="1"/>
  <c r="BQ57" i="9" l="1"/>
  <c r="BQ45" i="9"/>
  <c r="AH43" i="12"/>
  <c r="AH44" i="12"/>
  <c r="AX55" i="18" l="1"/>
  <c r="AX54" i="18"/>
  <c r="AX51" i="18"/>
  <c r="AX48" i="18"/>
  <c r="AX46" i="18"/>
  <c r="AX43" i="18"/>
  <c r="AX41" i="18"/>
  <c r="AX38" i="18"/>
  <c r="AX36" i="18"/>
  <c r="AX34" i="18"/>
  <c r="AX32" i="18"/>
  <c r="AX29" i="18"/>
  <c r="AX28" i="18"/>
  <c r="AX26" i="18"/>
  <c r="AX24" i="18"/>
  <c r="AX22" i="18"/>
  <c r="AX18" i="18"/>
  <c r="AX15" i="18"/>
  <c r="AX12" i="18"/>
  <c r="AX10" i="18"/>
  <c r="AX8" i="18"/>
  <c r="AX6" i="18"/>
  <c r="AX56" i="18"/>
  <c r="AX52" i="18"/>
  <c r="AX50" i="18"/>
  <c r="AX47" i="18"/>
  <c r="AX44" i="18"/>
  <c r="AX42" i="18"/>
  <c r="AX40" i="18"/>
  <c r="AX37" i="18"/>
  <c r="AX35" i="18"/>
  <c r="AX33" i="18"/>
  <c r="AX31" i="18"/>
  <c r="AX27" i="18"/>
  <c r="AX25" i="18"/>
  <c r="AX23" i="18"/>
  <c r="AX19" i="18"/>
  <c r="AX16" i="18"/>
  <c r="AX14" i="18"/>
  <c r="AX7" i="18"/>
  <c r="AX9" i="18"/>
  <c r="AX11" i="18"/>
  <c r="AS62" i="18"/>
  <c r="AS56" i="18"/>
  <c r="AS55" i="18"/>
  <c r="AS54" i="18"/>
  <c r="AS52" i="18"/>
  <c r="AS51" i="18"/>
  <c r="AS50" i="18"/>
  <c r="AS48" i="18"/>
  <c r="AS47" i="18"/>
  <c r="AS46" i="18"/>
  <c r="BA46" i="18" s="1"/>
  <c r="AS44" i="18"/>
  <c r="AS43" i="18"/>
  <c r="AS42" i="18"/>
  <c r="AS41" i="18"/>
  <c r="AS40" i="18"/>
  <c r="BA40" i="18" s="1"/>
  <c r="AS38" i="18"/>
  <c r="AS37" i="18"/>
  <c r="AS36" i="18"/>
  <c r="AS35" i="18"/>
  <c r="AS34" i="18"/>
  <c r="AS33" i="18"/>
  <c r="AS32" i="18"/>
  <c r="AS31" i="18"/>
  <c r="BA31" i="18" s="1"/>
  <c r="AS29" i="18"/>
  <c r="AS28" i="18"/>
  <c r="AS27" i="18"/>
  <c r="AS26" i="18"/>
  <c r="AS25" i="18"/>
  <c r="AS24" i="18"/>
  <c r="AS23" i="18"/>
  <c r="BA23" i="18" s="1"/>
  <c r="AS22" i="18"/>
  <c r="BA22" i="18" s="1"/>
  <c r="AS19" i="18"/>
  <c r="AS18" i="18"/>
  <c r="BA18" i="18" s="1"/>
  <c r="AS16" i="18"/>
  <c r="AS15" i="18"/>
  <c r="AS14" i="18"/>
  <c r="BA14" i="18" s="1"/>
  <c r="AS6" i="18"/>
  <c r="AS7" i="18"/>
  <c r="AS8" i="18"/>
  <c r="AS9" i="18"/>
  <c r="AS10" i="18"/>
  <c r="AS11" i="18"/>
  <c r="AS12" i="18"/>
  <c r="AS5" i="18"/>
  <c r="BA5" i="18" s="1"/>
  <c r="BC57" i="18"/>
  <c r="BC45" i="18"/>
  <c r="BC39" i="18"/>
  <c r="BC30" i="18"/>
  <c r="BC21" i="18"/>
  <c r="BC20" i="18"/>
  <c r="BC17" i="18"/>
  <c r="BC13" i="18"/>
  <c r="BA6" i="18" l="1"/>
  <c r="BC6" i="18" s="1"/>
  <c r="BA52" i="18"/>
  <c r="BC52" i="18" s="1"/>
  <c r="BA12" i="18"/>
  <c r="BC12" i="18" s="1"/>
  <c r="BA26" i="18"/>
  <c r="BC26" i="18" s="1"/>
  <c r="BA35" i="18"/>
  <c r="BC35" i="18" s="1"/>
  <c r="BA55" i="18"/>
  <c r="BC55" i="18" s="1"/>
  <c r="BA32" i="18"/>
  <c r="BC32" i="18" s="1"/>
  <c r="BA34" i="18"/>
  <c r="BC34" i="18" s="1"/>
  <c r="BA11" i="18"/>
  <c r="BC11" i="18" s="1"/>
  <c r="BA27" i="18"/>
  <c r="BC27" i="18" s="1"/>
  <c r="BA36" i="18"/>
  <c r="BC36" i="18" s="1"/>
  <c r="BA56" i="18"/>
  <c r="BC56" i="18" s="1"/>
  <c r="BA33" i="18"/>
  <c r="BC33" i="18" s="1"/>
  <c r="BA25" i="18"/>
  <c r="BC25" i="18" s="1"/>
  <c r="BA10" i="18"/>
  <c r="BC10" i="18" s="1"/>
  <c r="BA28" i="18"/>
  <c r="BC28" i="18" s="1"/>
  <c r="BA37" i="18"/>
  <c r="BC37" i="18" s="1"/>
  <c r="BA47" i="18"/>
  <c r="BC47" i="18" s="1"/>
  <c r="BA9" i="18"/>
  <c r="BC9" i="18" s="1"/>
  <c r="BA19" i="18"/>
  <c r="BC19" i="18" s="1"/>
  <c r="BA29" i="18"/>
  <c r="BC29" i="18" s="1"/>
  <c r="BA38" i="18"/>
  <c r="BC38" i="18" s="1"/>
  <c r="BA48" i="18"/>
  <c r="BC48" i="18" s="1"/>
  <c r="BA7" i="18"/>
  <c r="BC7" i="18" s="1"/>
  <c r="BA51" i="18"/>
  <c r="BC51" i="18" s="1"/>
  <c r="BA24" i="18"/>
  <c r="BC24" i="18" s="1"/>
  <c r="BA54" i="18"/>
  <c r="BC54" i="18" s="1"/>
  <c r="BA8" i="18"/>
  <c r="BC8" i="18" s="1"/>
  <c r="BA50" i="18"/>
  <c r="BC50" i="18" s="1"/>
  <c r="BA41" i="18"/>
  <c r="BC41" i="18" s="1"/>
  <c r="BA42" i="18"/>
  <c r="BC42" i="18" s="1"/>
  <c r="BA43" i="18"/>
  <c r="BC43" i="18" s="1"/>
  <c r="BA44" i="18"/>
  <c r="BC44" i="18" s="1"/>
  <c r="BA16" i="18"/>
  <c r="BC16" i="18" s="1"/>
  <c r="BA15" i="18"/>
  <c r="BC15" i="18" s="1"/>
  <c r="BC5" i="18"/>
  <c r="AS13" i="18"/>
  <c r="AS30" i="18"/>
  <c r="BC23" i="18"/>
  <c r="AS17" i="18"/>
  <c r="AX5" i="18"/>
  <c r="AS45" i="18"/>
  <c r="AS20" i="18"/>
  <c r="AS57" i="18"/>
  <c r="BC14" i="18"/>
  <c r="BC18" i="18"/>
  <c r="BC22" i="18"/>
  <c r="AS39" i="18"/>
  <c r="BC31" i="18"/>
  <c r="BC46" i="18"/>
  <c r="BC40" i="18"/>
  <c r="AS21" i="18" l="1"/>
  <c r="AM43" i="4" l="1"/>
  <c r="AU43" i="4" s="1"/>
  <c r="AQ43" i="5"/>
  <c r="AL43" i="5"/>
  <c r="AE43" i="17"/>
  <c r="AM43" i="14"/>
  <c r="AM43" i="12"/>
  <c r="AS43" i="6"/>
  <c r="AZ43" i="6" s="1"/>
  <c r="AM62" i="4"/>
  <c r="AT43" i="5" l="1"/>
  <c r="AV43" i="5" s="1"/>
  <c r="AM54" i="4"/>
  <c r="AU54" i="4" s="1"/>
  <c r="AM52" i="4"/>
  <c r="AU52" i="4" s="1"/>
  <c r="AM51" i="4"/>
  <c r="AU51" i="4" s="1"/>
  <c r="AM50" i="4"/>
  <c r="AU50" i="4" s="1"/>
  <c r="AM47" i="4"/>
  <c r="AU47" i="4" s="1"/>
  <c r="AM44" i="4"/>
  <c r="AU44" i="4" s="1"/>
  <c r="AM42" i="4"/>
  <c r="AU42" i="4" s="1"/>
  <c r="AM41" i="4"/>
  <c r="AU41" i="4" s="1"/>
  <c r="AM40" i="4"/>
  <c r="AU40" i="4" s="1"/>
  <c r="AM38" i="4"/>
  <c r="AU38" i="4" s="1"/>
  <c r="AM37" i="4"/>
  <c r="AU37" i="4" s="1"/>
  <c r="AM36" i="4"/>
  <c r="AU36" i="4" s="1"/>
  <c r="AM35" i="4"/>
  <c r="AU35" i="4" s="1"/>
  <c r="AM34" i="4"/>
  <c r="AU34" i="4" s="1"/>
  <c r="AM33" i="4"/>
  <c r="AU33" i="4" s="1"/>
  <c r="AM32" i="4"/>
  <c r="AU32" i="4" s="1"/>
  <c r="AM31" i="4"/>
  <c r="AU31" i="4" s="1"/>
  <c r="AM29" i="4"/>
  <c r="AU29" i="4" s="1"/>
  <c r="AM28" i="4"/>
  <c r="AU28" i="4" s="1"/>
  <c r="AM27" i="4"/>
  <c r="AU27" i="4" s="1"/>
  <c r="AM26" i="4"/>
  <c r="AU26" i="4" s="1"/>
  <c r="AM25" i="4"/>
  <c r="AU25" i="4" s="1"/>
  <c r="AM24" i="4"/>
  <c r="AU24" i="4" s="1"/>
  <c r="AM23" i="4"/>
  <c r="AU23" i="4" s="1"/>
  <c r="AM22" i="4"/>
  <c r="AU22" i="4" s="1"/>
  <c r="AM19" i="4"/>
  <c r="AU19" i="4" s="1"/>
  <c r="AM18" i="4"/>
  <c r="AU18" i="4" s="1"/>
  <c r="AM16" i="4"/>
  <c r="AU16" i="4" s="1"/>
  <c r="AM15" i="4"/>
  <c r="AU15" i="4" s="1"/>
  <c r="AM14" i="4"/>
  <c r="AU14" i="4" s="1"/>
  <c r="AM12" i="4"/>
  <c r="AU12" i="4" s="1"/>
  <c r="AM11" i="4"/>
  <c r="AU11" i="4" s="1"/>
  <c r="AM10" i="4"/>
  <c r="AU10" i="4" s="1"/>
  <c r="AM9" i="4"/>
  <c r="AU9" i="4" s="1"/>
  <c r="AM8" i="4"/>
  <c r="AU8" i="4" s="1"/>
  <c r="AM7" i="4"/>
  <c r="AU7" i="4" s="1"/>
  <c r="AM6" i="4"/>
  <c r="AU6" i="4" s="1"/>
  <c r="AM5" i="4"/>
  <c r="AU5" i="4" s="1"/>
  <c r="AH51" i="12" l="1"/>
  <c r="AH56" i="12"/>
  <c r="AH55" i="12"/>
  <c r="AH54" i="12"/>
  <c r="AH52" i="12"/>
  <c r="AH50" i="12"/>
  <c r="AH48" i="12"/>
  <c r="AH47" i="12"/>
  <c r="AH46" i="12"/>
  <c r="AH42" i="12"/>
  <c r="AH41" i="12"/>
  <c r="AH40" i="12"/>
  <c r="AH38" i="12"/>
  <c r="AH37" i="12"/>
  <c r="AH36" i="12"/>
  <c r="AH35" i="12"/>
  <c r="AH34" i="12"/>
  <c r="AH33" i="12"/>
  <c r="AH32" i="12"/>
  <c r="AH31" i="12"/>
  <c r="AH29" i="12"/>
  <c r="AH28" i="12"/>
  <c r="AH27" i="12"/>
  <c r="AH26" i="12"/>
  <c r="AH25" i="12"/>
  <c r="AH24" i="12"/>
  <c r="AH23" i="12"/>
  <c r="AH22" i="12"/>
  <c r="AH19" i="12"/>
  <c r="AH18" i="12"/>
  <c r="AH16" i="12"/>
  <c r="AH15" i="12"/>
  <c r="AH14" i="12"/>
  <c r="AH12" i="12"/>
  <c r="AH11" i="12"/>
  <c r="AH10" i="12"/>
  <c r="AH9" i="12"/>
  <c r="AH8" i="12"/>
  <c r="AH7" i="12"/>
  <c r="AH6" i="12"/>
  <c r="AQ56" i="5"/>
  <c r="AQ55" i="5"/>
  <c r="AQ54" i="5"/>
  <c r="AQ52" i="5"/>
  <c r="AQ51" i="5"/>
  <c r="AQ50" i="5"/>
  <c r="AQ48" i="5"/>
  <c r="AQ47" i="5"/>
  <c r="AQ46" i="5"/>
  <c r="AQ44" i="5"/>
  <c r="AQ42" i="5"/>
  <c r="AQ41" i="5"/>
  <c r="AQ40" i="5"/>
  <c r="AQ38" i="5"/>
  <c r="AQ37" i="5"/>
  <c r="AQ36" i="5"/>
  <c r="AQ35" i="5"/>
  <c r="AQ34" i="5"/>
  <c r="AQ33" i="5"/>
  <c r="AQ32" i="5"/>
  <c r="AQ31" i="5"/>
  <c r="AQ29" i="5"/>
  <c r="AQ28" i="5"/>
  <c r="AQ27" i="5"/>
  <c r="AQ26" i="5"/>
  <c r="AQ25" i="5"/>
  <c r="AQ24" i="5"/>
  <c r="AQ23" i="5"/>
  <c r="AQ22" i="5"/>
  <c r="AQ19" i="5"/>
  <c r="AQ18" i="5"/>
  <c r="AQ16" i="5"/>
  <c r="AQ15" i="5"/>
  <c r="AQ14" i="5"/>
  <c r="AQ12" i="5"/>
  <c r="AQ11" i="5"/>
  <c r="AQ10" i="5"/>
  <c r="AQ9" i="5"/>
  <c r="AQ8" i="5"/>
  <c r="AQ7" i="5"/>
  <c r="AQ6" i="5"/>
  <c r="AL62" i="5"/>
  <c r="AL56" i="5"/>
  <c r="AT56" i="5" s="1"/>
  <c r="AL55" i="5"/>
  <c r="AT55" i="5" s="1"/>
  <c r="AL54" i="5"/>
  <c r="AT54" i="5" s="1"/>
  <c r="AL52" i="5"/>
  <c r="AT52" i="5" s="1"/>
  <c r="AL51" i="5"/>
  <c r="AT51" i="5" s="1"/>
  <c r="AL50" i="5"/>
  <c r="AT50" i="5" s="1"/>
  <c r="AL47" i="5"/>
  <c r="AT47" i="5" s="1"/>
  <c r="AL44" i="5"/>
  <c r="AT44" i="5" s="1"/>
  <c r="AL42" i="5"/>
  <c r="AT42" i="5" s="1"/>
  <c r="AL41" i="5"/>
  <c r="AT41" i="5" s="1"/>
  <c r="AL40" i="5"/>
  <c r="AT40" i="5" s="1"/>
  <c r="AL38" i="5"/>
  <c r="AT38" i="5" s="1"/>
  <c r="AL37" i="5"/>
  <c r="AT37" i="5" s="1"/>
  <c r="AL36" i="5"/>
  <c r="AT36" i="5" s="1"/>
  <c r="AL35" i="5"/>
  <c r="AT35" i="5" s="1"/>
  <c r="AL34" i="5"/>
  <c r="AT34" i="5" s="1"/>
  <c r="AL33" i="5"/>
  <c r="AT33" i="5" s="1"/>
  <c r="AL32" i="5"/>
  <c r="AT32" i="5" s="1"/>
  <c r="AL31" i="5"/>
  <c r="AT31" i="5" s="1"/>
  <c r="AL29" i="5"/>
  <c r="AT29" i="5" s="1"/>
  <c r="AL28" i="5"/>
  <c r="AT28" i="5" s="1"/>
  <c r="AL27" i="5"/>
  <c r="AT27" i="5" s="1"/>
  <c r="AL26" i="5"/>
  <c r="AT26" i="5" s="1"/>
  <c r="AL25" i="5"/>
  <c r="AT25" i="5" s="1"/>
  <c r="AL24" i="5"/>
  <c r="AT24" i="5" s="1"/>
  <c r="AL23" i="5"/>
  <c r="AT23" i="5" s="1"/>
  <c r="AL22" i="5"/>
  <c r="AT22" i="5" s="1"/>
  <c r="AL19" i="5"/>
  <c r="AT19" i="5" s="1"/>
  <c r="AL18" i="5"/>
  <c r="AT18" i="5" s="1"/>
  <c r="AL16" i="5"/>
  <c r="AT16" i="5" s="1"/>
  <c r="AL15" i="5"/>
  <c r="AT15" i="5" s="1"/>
  <c r="AL14" i="5"/>
  <c r="AT14" i="5" s="1"/>
  <c r="AL6" i="5"/>
  <c r="AT6" i="5" s="1"/>
  <c r="AL7" i="5"/>
  <c r="AT7" i="5" s="1"/>
  <c r="AL8" i="5"/>
  <c r="AT8" i="5" s="1"/>
  <c r="AL9" i="5"/>
  <c r="AT9" i="5" s="1"/>
  <c r="AL10" i="5"/>
  <c r="AT10" i="5" s="1"/>
  <c r="AL11" i="5"/>
  <c r="AL12" i="5"/>
  <c r="AT12" i="5" s="1"/>
  <c r="AL5" i="5"/>
  <c r="AT5" i="5" s="1"/>
  <c r="AE11" i="17"/>
  <c r="AM11" i="14"/>
  <c r="AM11" i="12"/>
  <c r="AS11" i="6"/>
  <c r="AZ11" i="6" s="1"/>
  <c r="AT45" i="5" l="1"/>
  <c r="AT11" i="5"/>
  <c r="AV11" i="5" s="1"/>
  <c r="AT20" i="5"/>
  <c r="AT30" i="5"/>
  <c r="AT39" i="5"/>
  <c r="AT17" i="5"/>
  <c r="AT57" i="5"/>
  <c r="BQ13" i="9"/>
  <c r="BQ20" i="9"/>
  <c r="BQ30" i="9"/>
  <c r="AH5" i="12"/>
  <c r="AQ5" i="5"/>
  <c r="BQ39" i="9"/>
  <c r="BQ17" i="9"/>
  <c r="AT13" i="5" l="1"/>
  <c r="AT21" i="5"/>
  <c r="BQ21" i="9"/>
  <c r="BR64" i="9"/>
  <c r="AS51" i="6" l="1"/>
  <c r="AZ51" i="6" s="1"/>
  <c r="AS52" i="6"/>
  <c r="AZ52" i="6" s="1"/>
  <c r="AS54" i="6"/>
  <c r="AZ54" i="6" s="1"/>
  <c r="AM51" i="14" l="1"/>
  <c r="AE51" i="17"/>
  <c r="AM51" i="12"/>
  <c r="AV51" i="5" l="1"/>
  <c r="AS56" i="6" l="1"/>
  <c r="AZ56" i="6" s="1"/>
  <c r="AS55" i="6"/>
  <c r="AZ55" i="6" s="1"/>
  <c r="AS50" i="6"/>
  <c r="AZ50" i="6" s="1"/>
  <c r="AS48" i="6"/>
  <c r="AZ48" i="6" s="1"/>
  <c r="AS47" i="6"/>
  <c r="AZ47" i="6" s="1"/>
  <c r="AS46" i="6"/>
  <c r="AZ46" i="6" s="1"/>
  <c r="AS44" i="6"/>
  <c r="AZ44" i="6" s="1"/>
  <c r="AS42" i="6"/>
  <c r="AZ42" i="6" s="1"/>
  <c r="AS41" i="6"/>
  <c r="AZ41" i="6" s="1"/>
  <c r="AS40" i="6"/>
  <c r="AZ40" i="6" s="1"/>
  <c r="AS38" i="6"/>
  <c r="AZ38" i="6" s="1"/>
  <c r="AS37" i="6"/>
  <c r="AZ37" i="6" s="1"/>
  <c r="AS36" i="6"/>
  <c r="AZ36" i="6" s="1"/>
  <c r="AS35" i="6"/>
  <c r="AZ35" i="6" s="1"/>
  <c r="AS34" i="6"/>
  <c r="AZ34" i="6" s="1"/>
  <c r="AS33" i="6"/>
  <c r="AZ33" i="6" s="1"/>
  <c r="AS32" i="6"/>
  <c r="AZ32" i="6" s="1"/>
  <c r="AS31" i="6"/>
  <c r="AZ31" i="6" s="1"/>
  <c r="AS29" i="6"/>
  <c r="AZ29" i="6" s="1"/>
  <c r="AS28" i="6"/>
  <c r="AZ28" i="6" s="1"/>
  <c r="AS27" i="6"/>
  <c r="AZ27" i="6" s="1"/>
  <c r="AS26" i="6"/>
  <c r="AZ26" i="6" s="1"/>
  <c r="AS25" i="6"/>
  <c r="AZ25" i="6" s="1"/>
  <c r="AS24" i="6"/>
  <c r="AZ24" i="6" s="1"/>
  <c r="AS23" i="6"/>
  <c r="AZ23" i="6" s="1"/>
  <c r="AS22" i="6"/>
  <c r="AZ22" i="6" s="1"/>
  <c r="AS19" i="6"/>
  <c r="AZ19" i="6" s="1"/>
  <c r="AS18" i="6"/>
  <c r="AZ18" i="6" s="1"/>
  <c r="AS16" i="6"/>
  <c r="AZ16" i="6" s="1"/>
  <c r="AS15" i="6"/>
  <c r="AZ15" i="6" s="1"/>
  <c r="AS14" i="6"/>
  <c r="AZ14" i="6" s="1"/>
  <c r="AS6" i="6"/>
  <c r="AZ6" i="6" s="1"/>
  <c r="AS7" i="6"/>
  <c r="AZ7" i="6" s="1"/>
  <c r="AS8" i="6"/>
  <c r="AZ8" i="6" s="1"/>
  <c r="AS9" i="6"/>
  <c r="AZ9" i="6" s="1"/>
  <c r="AS10" i="6"/>
  <c r="AZ10" i="6" s="1"/>
  <c r="AS12" i="6"/>
  <c r="AZ12" i="6" s="1"/>
  <c r="AS5" i="6"/>
  <c r="AZ5" i="6" s="1"/>
  <c r="AS13" i="6" l="1"/>
  <c r="AS20" i="6"/>
  <c r="AS39" i="6"/>
  <c r="AS17" i="6"/>
  <c r="AS30" i="6"/>
  <c r="AS45" i="6"/>
  <c r="AS57" i="6"/>
  <c r="AE48" i="17"/>
  <c r="AE42" i="17"/>
  <c r="AE41" i="17"/>
  <c r="AE37" i="17"/>
  <c r="AE35" i="17"/>
  <c r="AE33" i="17"/>
  <c r="AE29" i="17"/>
  <c r="AE28" i="17"/>
  <c r="AE27" i="17"/>
  <c r="AE26" i="17"/>
  <c r="AE25" i="17"/>
  <c r="AE24" i="17"/>
  <c r="AE23" i="17"/>
  <c r="AE57" i="17"/>
  <c r="AE45" i="17"/>
  <c r="AE39" i="17"/>
  <c r="AE30" i="17"/>
  <c r="AE21" i="17"/>
  <c r="AE20" i="17"/>
  <c r="AE17" i="17"/>
  <c r="AE13" i="17"/>
  <c r="AS21" i="6" l="1"/>
  <c r="U57" i="17"/>
  <c r="AE16" i="17"/>
  <c r="AE32" i="17"/>
  <c r="AE34" i="17"/>
  <c r="AE36" i="17"/>
  <c r="AE38" i="17"/>
  <c r="AE56" i="17"/>
  <c r="U30" i="17"/>
  <c r="AE47" i="17"/>
  <c r="AE5" i="17"/>
  <c r="AE6" i="17"/>
  <c r="AE7" i="17"/>
  <c r="AE8" i="17"/>
  <c r="AE9" i="17"/>
  <c r="AE10" i="17"/>
  <c r="AE12" i="17"/>
  <c r="AE18" i="17"/>
  <c r="AE19" i="17"/>
  <c r="AE22" i="17"/>
  <c r="AE46" i="17"/>
  <c r="AE14" i="17"/>
  <c r="AE15" i="17"/>
  <c r="U39" i="17"/>
  <c r="AE31" i="17"/>
  <c r="U45" i="17"/>
  <c r="AE40" i="17"/>
  <c r="AE44" i="17"/>
  <c r="AE50" i="17"/>
  <c r="AE52" i="17"/>
  <c r="AE54" i="17"/>
  <c r="AE55" i="17"/>
  <c r="AM57" i="4"/>
  <c r="AM20" i="4"/>
  <c r="AM13" i="4"/>
  <c r="AM30" i="4"/>
  <c r="AM17" i="4"/>
  <c r="AM39" i="4"/>
  <c r="AM45" i="4"/>
  <c r="AV47" i="5"/>
  <c r="AM47" i="14" l="1"/>
  <c r="AM21" i="4"/>
  <c r="AM47" i="12"/>
  <c r="AV54" i="5"/>
  <c r="AV10" i="5"/>
  <c r="AV9" i="5"/>
  <c r="AV8" i="5"/>
  <c r="AV7" i="5"/>
  <c r="AC62" i="14"/>
  <c r="AM45" i="14"/>
  <c r="AM39" i="14"/>
  <c r="AM30" i="14"/>
  <c r="AM21" i="14"/>
  <c r="AM20" i="14"/>
  <c r="AM17" i="14"/>
  <c r="AM13" i="14"/>
  <c r="AC30" i="14" l="1"/>
  <c r="AM40" i="14"/>
  <c r="AC45" i="14"/>
  <c r="AM50" i="14"/>
  <c r="AM10" i="14"/>
  <c r="AM8" i="14"/>
  <c r="AM28" i="14"/>
  <c r="AM32" i="14"/>
  <c r="AM36" i="14"/>
  <c r="AM38" i="14"/>
  <c r="AM41" i="14"/>
  <c r="AM44" i="14"/>
  <c r="AM54" i="14"/>
  <c r="AM12" i="14"/>
  <c r="AM19" i="14"/>
  <c r="AM22" i="14"/>
  <c r="AM26" i="14"/>
  <c r="AM29" i="14"/>
  <c r="AM33" i="14"/>
  <c r="AM35" i="14"/>
  <c r="AM37" i="14"/>
  <c r="AM42" i="14"/>
  <c r="AM48" i="14"/>
  <c r="AM52" i="14"/>
  <c r="AM5" i="14"/>
  <c r="AM54" i="12"/>
  <c r="AM50" i="12"/>
  <c r="AV50" i="5"/>
  <c r="AC17" i="14"/>
  <c r="AC20" i="14"/>
  <c r="AC39" i="14"/>
  <c r="AC57" i="14"/>
  <c r="AL13" i="5"/>
  <c r="AL20" i="5"/>
  <c r="AL57" i="5"/>
  <c r="AL17" i="5"/>
  <c r="AL30" i="5"/>
  <c r="AL39" i="5"/>
  <c r="AL45" i="5"/>
  <c r="AM24" i="12"/>
  <c r="AM24" i="14"/>
  <c r="AV24" i="5"/>
  <c r="AM7" i="14"/>
  <c r="AM14" i="14"/>
  <c r="AM18" i="14"/>
  <c r="AM15" i="14"/>
  <c r="AM23" i="14"/>
  <c r="AM31" i="14"/>
  <c r="AM34" i="14"/>
  <c r="AM6" i="14"/>
  <c r="AM9" i="14"/>
  <c r="AM16" i="14"/>
  <c r="AM25" i="14"/>
  <c r="AM27" i="14"/>
  <c r="AM46" i="14"/>
  <c r="AM55" i="14"/>
  <c r="AM56" i="14"/>
  <c r="AM13" i="12"/>
  <c r="AM17" i="12"/>
  <c r="AM20" i="12"/>
  <c r="AM21" i="12"/>
  <c r="AM30" i="12"/>
  <c r="AM39" i="12"/>
  <c r="AM45" i="12"/>
  <c r="AM48" i="12"/>
  <c r="AL21" i="5" l="1"/>
  <c r="AC21" i="14"/>
  <c r="AM42" i="12" l="1"/>
  <c r="AV42" i="5"/>
  <c r="AV48" i="5" l="1"/>
  <c r="AV45" i="5" l="1"/>
  <c r="AV15" i="5" l="1"/>
  <c r="AV16" i="5"/>
  <c r="AV14" i="5"/>
  <c r="AV6" i="5"/>
  <c r="AV12" i="5"/>
  <c r="AV5" i="5"/>
  <c r="AV52" i="5"/>
  <c r="AV55" i="5"/>
  <c r="AV56" i="5"/>
  <c r="AV46" i="5"/>
  <c r="AV41" i="5"/>
  <c r="AV44" i="5"/>
  <c r="AV40" i="5"/>
  <c r="AV32" i="5"/>
  <c r="AV33" i="5"/>
  <c r="AV34" i="5"/>
  <c r="AV35" i="5"/>
  <c r="AV36" i="5"/>
  <c r="AV37" i="5"/>
  <c r="AV38" i="5"/>
  <c r="AV31" i="5"/>
  <c r="AV23" i="5"/>
  <c r="AV25" i="5"/>
  <c r="AV26" i="5"/>
  <c r="AV27" i="5"/>
  <c r="AV28" i="5"/>
  <c r="AV29" i="5"/>
  <c r="AV22" i="5"/>
  <c r="AV57" i="5" l="1"/>
  <c r="AV39" i="5"/>
  <c r="AV30" i="5"/>
  <c r="AV17" i="5"/>
  <c r="AV13" i="5"/>
  <c r="AV21" i="5" l="1"/>
  <c r="AV20" i="5"/>
  <c r="AM56" i="12" l="1"/>
  <c r="AM55" i="12"/>
  <c r="AM52" i="12"/>
  <c r="AM46" i="12"/>
  <c r="AM44" i="12"/>
  <c r="AM41" i="12"/>
  <c r="AM40" i="12"/>
  <c r="AM38" i="12"/>
  <c r="AM37" i="12"/>
  <c r="AM36" i="12"/>
  <c r="AM35" i="12"/>
  <c r="AM34" i="12"/>
  <c r="AM33" i="12"/>
  <c r="AM32" i="12"/>
  <c r="AM31" i="12"/>
  <c r="AM29" i="12"/>
  <c r="AM28" i="12"/>
  <c r="AM27" i="12"/>
  <c r="AM26" i="12"/>
  <c r="AM25" i="12"/>
  <c r="AM23" i="12"/>
  <c r="AM19" i="12"/>
  <c r="AM18" i="12"/>
  <c r="AM16" i="12"/>
  <c r="AM15" i="12"/>
  <c r="AM14" i="12"/>
  <c r="AM12" i="12"/>
  <c r="AM10" i="12"/>
  <c r="AM9" i="12"/>
  <c r="AM8" i="12"/>
  <c r="AM7" i="12"/>
  <c r="AM6" i="12"/>
  <c r="AM5" i="12"/>
  <c r="AM22" i="12" l="1"/>
  <c r="AV19" i="5" l="1"/>
  <c r="AV18" i="5"/>
  <c r="AD64" i="5" l="1"/>
  <c r="AD62" i="5" l="1"/>
  <c r="AE62" i="5" l="1"/>
  <c r="AE64" i="5"/>
  <c r="AF62" i="5"/>
  <c r="V64" i="18" l="1"/>
  <c r="AD64" i="18"/>
  <c r="AL64" i="18"/>
  <c r="F64" i="18"/>
  <c r="AD64" i="4"/>
  <c r="AK64" i="4"/>
  <c r="V64" i="4"/>
  <c r="N64" i="4"/>
  <c r="F64" i="4"/>
  <c r="F64" i="17"/>
  <c r="N64" i="17"/>
  <c r="V64" i="6"/>
  <c r="F64" i="6"/>
  <c r="AL64" i="6"/>
  <c r="N64" i="6"/>
  <c r="AD64" i="6"/>
  <c r="AL64" i="9"/>
  <c r="F64" i="9"/>
  <c r="V64" i="9"/>
  <c r="N64" i="9"/>
  <c r="AD64" i="9"/>
  <c r="AT64" i="9"/>
  <c r="F64" i="5"/>
  <c r="N64" i="5"/>
  <c r="F64" i="14"/>
  <c r="N64" i="14"/>
  <c r="V64" i="14"/>
  <c r="V62" i="18"/>
  <c r="AD62" i="18"/>
  <c r="AL62" i="18"/>
  <c r="N62" i="18"/>
  <c r="F62" i="18"/>
  <c r="AD62" i="4"/>
  <c r="AK62" i="4"/>
  <c r="V62" i="4"/>
  <c r="N62" i="4"/>
  <c r="F62" i="4"/>
  <c r="N62" i="17"/>
  <c r="V62" i="6"/>
  <c r="F62" i="6"/>
  <c r="AL62" i="6"/>
  <c r="N62" i="6"/>
  <c r="AD62" i="6"/>
  <c r="AL62" i="9"/>
  <c r="F62" i="9"/>
  <c r="V62" i="9"/>
  <c r="N62" i="9"/>
  <c r="AD62" i="9"/>
  <c r="AT62" i="9"/>
  <c r="BJ62" i="9" s="1"/>
  <c r="N62" i="5"/>
  <c r="V62" i="5"/>
  <c r="F62" i="14"/>
  <c r="N62" i="14"/>
  <c r="V62" i="14"/>
  <c r="G10" i="15"/>
  <c r="BL62" i="9" l="1"/>
  <c r="BK64" i="9"/>
  <c r="BK62" i="9"/>
  <c r="AD64" i="14"/>
  <c r="AD62" i="14"/>
  <c r="G64" i="14"/>
  <c r="W64" i="14"/>
  <c r="G25" i="15"/>
  <c r="O64" i="14"/>
  <c r="W62" i="14"/>
  <c r="X62" i="14"/>
  <c r="O62" i="14"/>
  <c r="P62" i="14"/>
  <c r="G24" i="15"/>
  <c r="H62" i="14"/>
  <c r="G62" i="14"/>
  <c r="G31" i="15"/>
  <c r="G64" i="5"/>
  <c r="AV62" i="9"/>
  <c r="AU62" i="9"/>
  <c r="AU64" i="9"/>
  <c r="AE62" i="9"/>
  <c r="AF62" i="9"/>
  <c r="AE64" i="9"/>
  <c r="O64" i="5"/>
  <c r="P62" i="5"/>
  <c r="O62" i="5"/>
  <c r="G16" i="15"/>
  <c r="G62" i="5"/>
  <c r="H62" i="5"/>
  <c r="BR62" i="9"/>
  <c r="O64" i="9"/>
  <c r="P62" i="9"/>
  <c r="O62" i="9"/>
  <c r="W64" i="9"/>
  <c r="W62" i="9"/>
  <c r="X62" i="9"/>
  <c r="G62" i="9"/>
  <c r="H62" i="9"/>
  <c r="G64" i="9"/>
  <c r="AM62" i="9"/>
  <c r="AN62" i="9"/>
  <c r="AM64" i="9"/>
  <c r="AT64" i="6"/>
  <c r="AT62" i="6"/>
  <c r="O64" i="6"/>
  <c r="AE62" i="6"/>
  <c r="AE64" i="6"/>
  <c r="AF62" i="6"/>
  <c r="AM64" i="6"/>
  <c r="P62" i="6"/>
  <c r="O62" i="6"/>
  <c r="G64" i="6"/>
  <c r="AM62" i="6"/>
  <c r="AN62" i="6"/>
  <c r="H62" i="6"/>
  <c r="G62" i="6"/>
  <c r="W64" i="6"/>
  <c r="X62" i="6"/>
  <c r="W62" i="6"/>
  <c r="O64" i="17"/>
  <c r="P62" i="17"/>
  <c r="O62" i="17"/>
  <c r="F62" i="17"/>
  <c r="G64" i="17" s="1"/>
  <c r="G64" i="4"/>
  <c r="V64" i="17"/>
  <c r="G62" i="4"/>
  <c r="H62" i="4"/>
  <c r="O64" i="4"/>
  <c r="P62" i="4"/>
  <c r="O62" i="4"/>
  <c r="X62" i="4"/>
  <c r="W62" i="4"/>
  <c r="W64" i="4"/>
  <c r="AE64" i="4"/>
  <c r="AN64" i="4"/>
  <c r="AN62" i="4"/>
  <c r="AF62" i="4"/>
  <c r="AE62" i="4"/>
  <c r="N64" i="18"/>
  <c r="AT64" i="18" s="1"/>
  <c r="H62" i="18"/>
  <c r="G62" i="18"/>
  <c r="G64" i="18"/>
  <c r="O62" i="18"/>
  <c r="P62" i="18"/>
  <c r="AM64" i="18"/>
  <c r="AM62" i="18"/>
  <c r="AN62" i="18"/>
  <c r="AE62" i="18"/>
  <c r="AF62" i="18"/>
  <c r="AE64" i="18"/>
  <c r="W64" i="18"/>
  <c r="X62" i="18"/>
  <c r="W62" i="18"/>
  <c r="AT62" i="18"/>
  <c r="V64" i="5"/>
  <c r="W62" i="5"/>
  <c r="X62" i="5"/>
  <c r="AM62" i="5"/>
  <c r="G22" i="15" l="1"/>
  <c r="AE62" i="14"/>
  <c r="AF62" i="14"/>
  <c r="AE64" i="14"/>
  <c r="G26" i="15"/>
  <c r="G39" i="15"/>
  <c r="G37" i="15"/>
  <c r="G17" i="15"/>
  <c r="G43" i="15"/>
  <c r="BT62" i="9"/>
  <c r="BS64" i="9"/>
  <c r="BS62" i="9"/>
  <c r="G42" i="15"/>
  <c r="G35" i="15"/>
  <c r="G34" i="15"/>
  <c r="G38" i="15"/>
  <c r="AU64" i="6"/>
  <c r="G33" i="15"/>
  <c r="G44" i="15"/>
  <c r="G29" i="15"/>
  <c r="AZ62" i="6"/>
  <c r="AU62" i="6"/>
  <c r="AV62" i="6"/>
  <c r="G30" i="15"/>
  <c r="G28" i="15"/>
  <c r="O64" i="18"/>
  <c r="G14" i="15"/>
  <c r="V62" i="17"/>
  <c r="W64" i="17" s="1"/>
  <c r="H62" i="17"/>
  <c r="G62" i="17"/>
  <c r="G13" i="15"/>
  <c r="G9" i="15"/>
  <c r="G8" i="15"/>
  <c r="AO64" i="4"/>
  <c r="AO62" i="4"/>
  <c r="AP62" i="4"/>
  <c r="G11" i="15"/>
  <c r="G2" i="15"/>
  <c r="G6" i="15"/>
  <c r="G3" i="15"/>
  <c r="AU64" i="18"/>
  <c r="G4" i="15"/>
  <c r="AV62" i="18"/>
  <c r="AU62" i="18"/>
  <c r="G20" i="15"/>
  <c r="AN62" i="5"/>
  <c r="AO62" i="5"/>
  <c r="W64" i="5"/>
  <c r="AM64" i="5"/>
  <c r="AN64" i="5" s="1"/>
  <c r="G18" i="15"/>
  <c r="G27" i="15" l="1"/>
  <c r="G23" i="15"/>
  <c r="G36" i="15"/>
  <c r="G32" i="15"/>
  <c r="G15" i="15"/>
  <c r="W62" i="17"/>
  <c r="X62" i="17"/>
  <c r="G12" i="15"/>
  <c r="G5" i="15"/>
  <c r="G21" i="15"/>
  <c r="BI45" i="9" l="1"/>
  <c r="G45" i="15"/>
  <c r="G7" i="15"/>
  <c r="F4" i="15" l="1"/>
  <c r="G49" i="15"/>
  <c r="G19" i="15"/>
  <c r="G46" i="15"/>
  <c r="G48" i="15" l="1"/>
  <c r="G47" i="15"/>
  <c r="G51" i="15"/>
  <c r="V28" i="5" l="1"/>
  <c r="BB48" i="9"/>
  <c r="N49" i="5"/>
  <c r="AD49" i="9"/>
  <c r="AL49" i="9"/>
  <c r="N49" i="6"/>
  <c r="V49" i="4"/>
  <c r="V54" i="4"/>
  <c r="V49" i="9"/>
  <c r="F49" i="6"/>
  <c r="F49" i="17"/>
  <c r="F49" i="4"/>
  <c r="AD49" i="4"/>
  <c r="F49" i="18"/>
  <c r="AD49" i="18"/>
  <c r="V48" i="5"/>
  <c r="V48" i="18"/>
  <c r="F54" i="5"/>
  <c r="AK54" i="4"/>
  <c r="AL54" i="18"/>
  <c r="V10" i="9"/>
  <c r="F10" i="6"/>
  <c r="F10" i="17"/>
  <c r="F10" i="18"/>
  <c r="F12" i="6"/>
  <c r="F12" i="18"/>
  <c r="F12" i="9"/>
  <c r="AD12" i="6"/>
  <c r="N12" i="18"/>
  <c r="F10" i="5"/>
  <c r="N10" i="9"/>
  <c r="AK10" i="4"/>
  <c r="AT12" i="9"/>
  <c r="AD10" i="4"/>
  <c r="N12" i="4"/>
  <c r="V12" i="18"/>
  <c r="F12" i="4"/>
  <c r="V12" i="5"/>
  <c r="AD12" i="18"/>
  <c r="F10" i="4"/>
  <c r="AD10" i="18"/>
  <c r="AD12" i="4"/>
  <c r="F48" i="5"/>
  <c r="N48" i="9"/>
  <c r="AK48" i="4"/>
  <c r="AL48" i="18"/>
  <c r="V48" i="9"/>
  <c r="F48" i="6"/>
  <c r="F48" i="17"/>
  <c r="F48" i="4"/>
  <c r="AD48" i="4"/>
  <c r="F48" i="18"/>
  <c r="AD48" i="18"/>
  <c r="AD54" i="9"/>
  <c r="AL54" i="9"/>
  <c r="N54" i="17"/>
  <c r="V49" i="5"/>
  <c r="AT49" i="9"/>
  <c r="V49" i="6"/>
  <c r="X49" i="6" s="1"/>
  <c r="N49" i="4"/>
  <c r="N49" i="18"/>
  <c r="N38" i="18"/>
  <c r="N54" i="5"/>
  <c r="F12" i="17"/>
  <c r="V43" i="5"/>
  <c r="F47" i="4"/>
  <c r="V47" i="9"/>
  <c r="AT54" i="9"/>
  <c r="F54" i="9"/>
  <c r="AD54" i="6"/>
  <c r="V54" i="6"/>
  <c r="N28" i="18"/>
  <c r="AD22" i="9"/>
  <c r="AL22" i="9"/>
  <c r="N22" i="6"/>
  <c r="N22" i="9"/>
  <c r="V22" i="9"/>
  <c r="F22" i="6"/>
  <c r="F22" i="4"/>
  <c r="F22" i="9"/>
  <c r="AD22" i="6"/>
  <c r="F18" i="9"/>
  <c r="AD18" i="6"/>
  <c r="V18" i="6"/>
  <c r="AL18" i="9"/>
  <c r="N18" i="9"/>
  <c r="AL18" i="6"/>
  <c r="F15" i="4"/>
  <c r="N15" i="9"/>
  <c r="AL15" i="6"/>
  <c r="AK15" i="4"/>
  <c r="AL15" i="18"/>
  <c r="AT55" i="9"/>
  <c r="F55" i="9"/>
  <c r="V55" i="6"/>
  <c r="V55" i="18"/>
  <c r="N6" i="18"/>
  <c r="N10" i="6"/>
  <c r="AL10" i="9"/>
  <c r="AD10" i="6"/>
  <c r="AT10" i="9"/>
  <c r="AL12" i="6"/>
  <c r="N12" i="9"/>
  <c r="F12" i="5"/>
  <c r="N12" i="6"/>
  <c r="AD12" i="9"/>
  <c r="N53" i="18"/>
  <c r="AD53" i="6"/>
  <c r="F53" i="9"/>
  <c r="AT53" i="9"/>
  <c r="BB55" i="9"/>
  <c r="BB15" i="9"/>
  <c r="BB22" i="9"/>
  <c r="BB26" i="9"/>
  <c r="BB25" i="9"/>
  <c r="BB56" i="9"/>
  <c r="BB47" i="9"/>
  <c r="BB46" i="9"/>
  <c r="BB50" i="9"/>
  <c r="BD50" i="9" s="1"/>
  <c r="BB52" i="9"/>
  <c r="N53" i="9"/>
  <c r="V15" i="18"/>
  <c r="AL26" i="6"/>
  <c r="N43" i="17"/>
  <c r="V35" i="9"/>
  <c r="AD32" i="4"/>
  <c r="AL32" i="9"/>
  <c r="AK28" i="4"/>
  <c r="AD28" i="9"/>
  <c r="AD28" i="6"/>
  <c r="AL27" i="6"/>
  <c r="N26" i="18"/>
  <c r="N22" i="5"/>
  <c r="V22" i="4"/>
  <c r="F24" i="5"/>
  <c r="V24" i="9"/>
  <c r="AD24" i="18"/>
  <c r="F14" i="4"/>
  <c r="N14" i="4"/>
  <c r="V18" i="9"/>
  <c r="F18" i="18"/>
  <c r="V16" i="9"/>
  <c r="N19" i="5"/>
  <c r="N19" i="17"/>
  <c r="F19" i="5"/>
  <c r="F19" i="18"/>
  <c r="V19" i="5"/>
  <c r="AD15" i="18"/>
  <c r="V38" i="9"/>
  <c r="F35" i="6"/>
  <c r="F32" i="18"/>
  <c r="V32" i="5"/>
  <c r="AD25" i="9"/>
  <c r="F28" i="17"/>
  <c r="F28" i="18"/>
  <c r="F28" i="5"/>
  <c r="N28" i="17"/>
  <c r="F28" i="9"/>
  <c r="AD27" i="9"/>
  <c r="AD27" i="6"/>
  <c r="F26" i="18"/>
  <c r="V26" i="5"/>
  <c r="N26" i="4"/>
  <c r="AD26" i="9"/>
  <c r="F22" i="5"/>
  <c r="V22" i="5"/>
  <c r="N22" i="4"/>
  <c r="N24" i="6"/>
  <c r="AK24" i="4"/>
  <c r="F24" i="18"/>
  <c r="V24" i="5"/>
  <c r="N24" i="4"/>
  <c r="V18" i="18"/>
  <c r="F18" i="17"/>
  <c r="AD18" i="18"/>
  <c r="AD19" i="9"/>
  <c r="AD15" i="4"/>
  <c r="V33" i="18"/>
  <c r="V32" i="9"/>
  <c r="F32" i="9"/>
  <c r="AT25" i="9"/>
  <c r="V25" i="4"/>
  <c r="AL29" i="6"/>
  <c r="V28" i="18"/>
  <c r="AD28" i="18"/>
  <c r="N28" i="9"/>
  <c r="N27" i="6"/>
  <c r="AL27" i="18"/>
  <c r="V27" i="9"/>
  <c r="V27" i="5"/>
  <c r="V26" i="9"/>
  <c r="AT26" i="9"/>
  <c r="AL26" i="9"/>
  <c r="F24" i="17"/>
  <c r="AT24" i="9"/>
  <c r="V24" i="18"/>
  <c r="N18" i="18"/>
  <c r="V18" i="4"/>
  <c r="V19" i="4"/>
  <c r="AL19" i="6"/>
  <c r="F19" i="6"/>
  <c r="N43" i="6"/>
  <c r="N11" i="6"/>
  <c r="N37" i="6"/>
  <c r="F33" i="9"/>
  <c r="N32" i="9"/>
  <c r="N31" i="9"/>
  <c r="V54" i="18"/>
  <c r="N28" i="5"/>
  <c r="AT28" i="9"/>
  <c r="AK27" i="4"/>
  <c r="AT27" i="9"/>
  <c r="V27" i="18"/>
  <c r="V26" i="6"/>
  <c r="N26" i="17"/>
  <c r="AD22" i="4"/>
  <c r="N24" i="17"/>
  <c r="F24" i="4"/>
  <c r="N18" i="17"/>
  <c r="N19" i="6"/>
  <c r="AD19" i="4"/>
  <c r="AT32" i="9"/>
  <c r="N32" i="18"/>
  <c r="V32" i="4"/>
  <c r="N54" i="18"/>
  <c r="V29" i="9"/>
  <c r="N28" i="4"/>
  <c r="V28" i="9"/>
  <c r="F28" i="4"/>
  <c r="V28" i="6"/>
  <c r="N27" i="17"/>
  <c r="F27" i="5"/>
  <c r="F27" i="9"/>
  <c r="F26" i="17"/>
  <c r="AD26" i="18"/>
  <c r="V26" i="18"/>
  <c r="F22" i="17"/>
  <c r="AD22" i="18"/>
  <c r="N24" i="5"/>
  <c r="V24" i="4"/>
  <c r="AL24" i="6"/>
  <c r="F24" i="6"/>
  <c r="AD24" i="6"/>
  <c r="N18" i="4"/>
  <c r="F19" i="17"/>
  <c r="V19" i="18"/>
  <c r="F15" i="17"/>
  <c r="F15" i="5"/>
  <c r="N44" i="9"/>
  <c r="N38" i="17"/>
  <c r="AD33" i="4"/>
  <c r="N33" i="18"/>
  <c r="V36" i="6"/>
  <c r="N32" i="6"/>
  <c r="AK25" i="4"/>
  <c r="V54" i="5"/>
  <c r="N54" i="4"/>
  <c r="AD28" i="4"/>
  <c r="N28" i="6"/>
  <c r="F27" i="6"/>
  <c r="AD27" i="18"/>
  <c r="F26" i="9"/>
  <c r="N26" i="5"/>
  <c r="V26" i="4"/>
  <c r="N22" i="18"/>
  <c r="N24" i="9"/>
  <c r="AD24" i="4"/>
  <c r="F14" i="17"/>
  <c r="V14" i="5"/>
  <c r="AK18" i="4"/>
  <c r="AD18" i="4"/>
  <c r="F16" i="4"/>
  <c r="V19" i="9"/>
  <c r="AT19" i="9"/>
  <c r="N19" i="4"/>
  <c r="V55" i="4"/>
  <c r="N55" i="9"/>
  <c r="AL55" i="18"/>
  <c r="F55" i="6"/>
  <c r="F55" i="18"/>
  <c r="V6" i="18"/>
  <c r="N6" i="6"/>
  <c r="V10" i="18"/>
  <c r="F5" i="4"/>
  <c r="F15" i="9"/>
  <c r="F37" i="18"/>
  <c r="AD7" i="18"/>
  <c r="F7" i="17"/>
  <c r="AL53" i="9"/>
  <c r="F53" i="6"/>
  <c r="N35" i="9"/>
  <c r="AL53" i="6"/>
  <c r="AT46" i="9"/>
  <c r="V8" i="9"/>
  <c r="N55" i="5"/>
  <c r="V55" i="9"/>
  <c r="N7" i="6"/>
  <c r="N7" i="9"/>
  <c r="F6" i="4"/>
  <c r="V6" i="6"/>
  <c r="AL6" i="9"/>
  <c r="N5" i="9"/>
  <c r="N14" i="5"/>
  <c r="N14" i="9"/>
  <c r="AL12" i="18"/>
  <c r="F26" i="5"/>
  <c r="N7" i="18"/>
  <c r="V7" i="5"/>
  <c r="N15" i="6"/>
  <c r="AD53" i="18"/>
  <c r="BB53" i="9"/>
  <c r="V53" i="5"/>
  <c r="N55" i="6"/>
  <c r="AD55" i="18"/>
  <c r="F6" i="18"/>
  <c r="AT6" i="9"/>
  <c r="AD6" i="9"/>
  <c r="AK6" i="4"/>
  <c r="F6" i="5"/>
  <c r="V15" i="6"/>
  <c r="F7" i="6"/>
  <c r="AD15" i="9"/>
  <c r="F53" i="18"/>
  <c r="AL7" i="18"/>
  <c r="N55" i="17"/>
  <c r="F55" i="5"/>
  <c r="AK55" i="4"/>
  <c r="F55" i="17"/>
  <c r="AL7" i="9"/>
  <c r="AL7" i="6"/>
  <c r="V6" i="9"/>
  <c r="F6" i="17"/>
  <c r="V6" i="5"/>
  <c r="F5" i="5"/>
  <c r="AL5" i="18"/>
  <c r="AL6" i="18"/>
  <c r="N6" i="9"/>
  <c r="V10" i="4"/>
  <c r="N10" i="4"/>
  <c r="V10" i="5"/>
  <c r="F5" i="17"/>
  <c r="AT15" i="9"/>
  <c r="V12" i="4"/>
  <c r="AL26" i="18"/>
  <c r="N26" i="9"/>
  <c r="N7" i="4"/>
  <c r="N53" i="4"/>
  <c r="AD53" i="4"/>
  <c r="N7" i="5"/>
  <c r="F6" i="6"/>
  <c r="AD6" i="18"/>
  <c r="F6" i="9"/>
  <c r="N6" i="17"/>
  <c r="V5" i="4"/>
  <c r="N10" i="5"/>
  <c r="AL14" i="9"/>
  <c r="AD15" i="6"/>
  <c r="N12" i="17"/>
  <c r="AT7" i="9"/>
  <c r="F7" i="4"/>
  <c r="BB38" i="9"/>
  <c r="AD53" i="9"/>
  <c r="F53" i="17"/>
  <c r="F7" i="18"/>
  <c r="N55" i="18"/>
  <c r="AD55" i="9"/>
  <c r="AD55" i="4"/>
  <c r="AD7" i="9"/>
  <c r="V7" i="4"/>
  <c r="F7" i="5"/>
  <c r="AD6" i="6"/>
  <c r="AK5" i="4"/>
  <c r="N5" i="17"/>
  <c r="AL6" i="6"/>
  <c r="AD5" i="4"/>
  <c r="N15" i="18"/>
  <c r="F7" i="9"/>
  <c r="AD7" i="4"/>
  <c r="N15" i="17"/>
  <c r="N53" i="5"/>
  <c r="N53" i="17"/>
  <c r="F53" i="4"/>
  <c r="AL53" i="18"/>
  <c r="V55" i="5"/>
  <c r="AK8" i="4"/>
  <c r="N55" i="4"/>
  <c r="AL55" i="9"/>
  <c r="F55" i="4"/>
  <c r="AK7" i="4"/>
  <c r="AD6" i="4"/>
  <c r="N6" i="4"/>
  <c r="N6" i="5"/>
  <c r="N5" i="6"/>
  <c r="N10" i="17"/>
  <c r="N10" i="18"/>
  <c r="AD5" i="18"/>
  <c r="V5" i="9"/>
  <c r="N15" i="4"/>
  <c r="N12" i="5"/>
  <c r="AK26" i="4"/>
  <c r="F37" i="6"/>
  <c r="V7" i="9"/>
  <c r="V28" i="4"/>
  <c r="AL33" i="6"/>
  <c r="V15" i="4"/>
  <c r="V53" i="18"/>
  <c r="N53" i="6"/>
  <c r="F53" i="5"/>
  <c r="AK53" i="4"/>
  <c r="V7" i="18"/>
  <c r="AD9" i="4"/>
  <c r="AT14" i="9"/>
  <c r="F14" i="18"/>
  <c r="AL50" i="18"/>
  <c r="F50" i="4"/>
  <c r="V50" i="5"/>
  <c r="AD50" i="6"/>
  <c r="V50" i="18"/>
  <c r="AL46" i="6"/>
  <c r="F46" i="9"/>
  <c r="H46" i="9" s="1"/>
  <c r="AD46" i="6"/>
  <c r="V46" i="6"/>
  <c r="F46" i="4"/>
  <c r="F46" i="6"/>
  <c r="V47" i="4"/>
  <c r="N47" i="5"/>
  <c r="AD47" i="9"/>
  <c r="AL47" i="9"/>
  <c r="N47" i="6"/>
  <c r="N47" i="4"/>
  <c r="V47" i="18"/>
  <c r="AT47" i="9"/>
  <c r="F47" i="9"/>
  <c r="AD47" i="6"/>
  <c r="V56" i="5"/>
  <c r="AT56" i="9"/>
  <c r="N56" i="6"/>
  <c r="N56" i="9"/>
  <c r="AL56" i="6"/>
  <c r="V56" i="9"/>
  <c r="F56" i="6"/>
  <c r="F56" i="4"/>
  <c r="F43" i="5"/>
  <c r="AT43" i="9"/>
  <c r="F43" i="9"/>
  <c r="AD43" i="6"/>
  <c r="V43" i="6"/>
  <c r="V43" i="18"/>
  <c r="V44" i="4"/>
  <c r="V41" i="18"/>
  <c r="F38" i="9"/>
  <c r="AD37" i="9"/>
  <c r="AL37" i="9"/>
  <c r="N37" i="17"/>
  <c r="V37" i="4"/>
  <c r="N37" i="9"/>
  <c r="AL37" i="6"/>
  <c r="F35" i="18"/>
  <c r="AD35" i="18"/>
  <c r="V35" i="5"/>
  <c r="AT35" i="9"/>
  <c r="V35" i="6"/>
  <c r="N35" i="4"/>
  <c r="N35" i="18"/>
  <c r="AD35" i="9"/>
  <c r="V35" i="4"/>
  <c r="AL35" i="6"/>
  <c r="AK35" i="4"/>
  <c r="AL35" i="18"/>
  <c r="AK33" i="4"/>
  <c r="V33" i="9"/>
  <c r="F33" i="6"/>
  <c r="F33" i="17"/>
  <c r="AD33" i="18"/>
  <c r="AL34" i="6"/>
  <c r="AD34" i="6"/>
  <c r="F23" i="9"/>
  <c r="AT48" i="9"/>
  <c r="F48" i="9"/>
  <c r="AD48" i="6"/>
  <c r="V48" i="6"/>
  <c r="AL48" i="9"/>
  <c r="N48" i="6"/>
  <c r="N48" i="17"/>
  <c r="F54" i="6"/>
  <c r="F54" i="4"/>
  <c r="H54" i="4" s="1"/>
  <c r="AD54" i="18"/>
  <c r="F49" i="5"/>
  <c r="N49" i="9"/>
  <c r="AL49" i="6"/>
  <c r="AN49" i="6" s="1"/>
  <c r="AL22" i="6"/>
  <c r="F22" i="18"/>
  <c r="F44" i="17"/>
  <c r="N50" i="18"/>
  <c r="AD56" i="4"/>
  <c r="V43" i="9"/>
  <c r="AD43" i="18"/>
  <c r="AK44" i="4"/>
  <c r="V44" i="9"/>
  <c r="F44" i="4"/>
  <c r="N44" i="4"/>
  <c r="AL44" i="9"/>
  <c r="V41" i="9"/>
  <c r="F41" i="6"/>
  <c r="F41" i="17"/>
  <c r="AD41" i="4"/>
  <c r="F41" i="18"/>
  <c r="AD41" i="18"/>
  <c r="V41" i="5"/>
  <c r="AT41" i="9"/>
  <c r="F41" i="9"/>
  <c r="AD41" i="6"/>
  <c r="V41" i="6"/>
  <c r="N41" i="18"/>
  <c r="AD41" i="9"/>
  <c r="AL41" i="9"/>
  <c r="N41" i="6"/>
  <c r="N41" i="17"/>
  <c r="V41" i="4"/>
  <c r="F41" i="5"/>
  <c r="N41" i="9"/>
  <c r="AL41" i="6"/>
  <c r="AK41" i="4"/>
  <c r="AL41" i="18"/>
  <c r="V40" i="5"/>
  <c r="AT40" i="9"/>
  <c r="F40" i="9"/>
  <c r="AD40" i="6"/>
  <c r="V40" i="6"/>
  <c r="N40" i="4"/>
  <c r="N40" i="18"/>
  <c r="V40" i="18"/>
  <c r="N40" i="5"/>
  <c r="AD40" i="9"/>
  <c r="AL40" i="9"/>
  <c r="N40" i="6"/>
  <c r="F40" i="5"/>
  <c r="N40" i="9"/>
  <c r="AL40" i="6"/>
  <c r="AK40" i="4"/>
  <c r="AL40" i="18"/>
  <c r="V40" i="9"/>
  <c r="F40" i="6"/>
  <c r="F40" i="4"/>
  <c r="F40" i="18"/>
  <c r="AD40" i="18"/>
  <c r="F11" i="5"/>
  <c r="N11" i="9"/>
  <c r="AK11" i="4"/>
  <c r="AL11" i="18"/>
  <c r="AD11" i="6"/>
  <c r="V46" i="5"/>
  <c r="AD46" i="18"/>
  <c r="AD56" i="18"/>
  <c r="F43" i="17"/>
  <c r="AD44" i="6"/>
  <c r="V44" i="18"/>
  <c r="N44" i="5"/>
  <c r="N44" i="6"/>
  <c r="N52" i="6"/>
  <c r="N50" i="4"/>
  <c r="F46" i="18"/>
  <c r="N47" i="17"/>
  <c r="N47" i="18"/>
  <c r="V47" i="5"/>
  <c r="F47" i="18"/>
  <c r="F43" i="4"/>
  <c r="AL44" i="6"/>
  <c r="F44" i="18"/>
  <c r="AT44" i="9"/>
  <c r="V44" i="6"/>
  <c r="N44" i="18"/>
  <c r="AD44" i="9"/>
  <c r="N44" i="17"/>
  <c r="V9" i="4"/>
  <c r="F29" i="4"/>
  <c r="AD46" i="4"/>
  <c r="AK46" i="4"/>
  <c r="F56" i="5"/>
  <c r="F56" i="18"/>
  <c r="F43" i="18"/>
  <c r="N43" i="18"/>
  <c r="F44" i="6"/>
  <c r="AD44" i="18"/>
  <c r="V44" i="5"/>
  <c r="F44" i="9"/>
  <c r="V11" i="9"/>
  <c r="F11" i="6"/>
  <c r="F11" i="17"/>
  <c r="AD11" i="4"/>
  <c r="F11" i="18"/>
  <c r="AD11" i="18"/>
  <c r="V11" i="5"/>
  <c r="AT11" i="9"/>
  <c r="F11" i="9"/>
  <c r="V11" i="6"/>
  <c r="N11" i="4"/>
  <c r="N11" i="18"/>
  <c r="V11" i="18"/>
  <c r="N11" i="5"/>
  <c r="AD11" i="9"/>
  <c r="AL11" i="9"/>
  <c r="N11" i="17"/>
  <c r="V11" i="4"/>
  <c r="V38" i="5"/>
  <c r="N38" i="4"/>
  <c r="V38" i="18"/>
  <c r="AD38" i="9"/>
  <c r="AL38" i="9"/>
  <c r="N38" i="6"/>
  <c r="F38" i="5"/>
  <c r="N38" i="9"/>
  <c r="AK38" i="4"/>
  <c r="AL38" i="18"/>
  <c r="F38" i="6"/>
  <c r="F38" i="17"/>
  <c r="F38" i="18"/>
  <c r="N37" i="5"/>
  <c r="F37" i="5"/>
  <c r="AK37" i="4"/>
  <c r="AL37" i="18"/>
  <c r="V37" i="9"/>
  <c r="F37" i="17"/>
  <c r="F37" i="4"/>
  <c r="AD37" i="4"/>
  <c r="AD37" i="18"/>
  <c r="V37" i="5"/>
  <c r="AT37" i="9"/>
  <c r="F37" i="9"/>
  <c r="AD37" i="6"/>
  <c r="N37" i="4"/>
  <c r="N37" i="18"/>
  <c r="V37" i="18"/>
  <c r="F35" i="4"/>
  <c r="AD35" i="4"/>
  <c r="V35" i="18"/>
  <c r="N35" i="5"/>
  <c r="N35" i="6"/>
  <c r="N35" i="17"/>
  <c r="F35" i="5"/>
  <c r="V33" i="4"/>
  <c r="N33" i="5"/>
  <c r="V38" i="4"/>
  <c r="N33" i="4"/>
  <c r="F33" i="18"/>
  <c r="V33" i="5"/>
  <c r="AT33" i="9"/>
  <c r="AD33" i="6"/>
  <c r="V33" i="6"/>
  <c r="AD33" i="9"/>
  <c r="N33" i="6"/>
  <c r="N33" i="17"/>
  <c r="F33" i="5"/>
  <c r="N33" i="9"/>
  <c r="AL33" i="18"/>
  <c r="V36" i="5"/>
  <c r="N36" i="4"/>
  <c r="V36" i="4"/>
  <c r="F36" i="6"/>
  <c r="F36" i="4"/>
  <c r="AK50" i="4"/>
  <c r="AD50" i="4"/>
  <c r="N46" i="6"/>
  <c r="N46" i="4"/>
  <c r="AL47" i="6"/>
  <c r="F56" i="9"/>
  <c r="AD56" i="9"/>
  <c r="N34" i="18"/>
  <c r="F32" i="5"/>
  <c r="AL32" i="18"/>
  <c r="F32" i="17"/>
  <c r="AD32" i="18"/>
  <c r="AD32" i="6"/>
  <c r="N32" i="4"/>
  <c r="V32" i="18"/>
  <c r="N32" i="5"/>
  <c r="AD32" i="9"/>
  <c r="N32" i="17"/>
  <c r="V31" i="4"/>
  <c r="AD46" i="9"/>
  <c r="AD56" i="6"/>
  <c r="N56" i="18"/>
  <c r="V56" i="18"/>
  <c r="N43" i="5"/>
  <c r="AD43" i="9"/>
  <c r="AL43" i="9"/>
  <c r="V43" i="4"/>
  <c r="N43" i="9"/>
  <c r="AL43" i="6"/>
  <c r="AL43" i="18"/>
  <c r="V16" i="18"/>
  <c r="N38" i="5"/>
  <c r="AD44" i="4"/>
  <c r="N48" i="18"/>
  <c r="AT29" i="9"/>
  <c r="AD29" i="6"/>
  <c r="F29" i="18"/>
  <c r="AD38" i="18"/>
  <c r="AL28" i="18"/>
  <c r="F27" i="4"/>
  <c r="N27" i="4"/>
  <c r="AD16" i="18"/>
  <c r="AK9" i="4"/>
  <c r="F35" i="17"/>
  <c r="AK22" i="4"/>
  <c r="AL24" i="18"/>
  <c r="AD38" i="4"/>
  <c r="V51" i="4"/>
  <c r="V25" i="9"/>
  <c r="F25" i="6"/>
  <c r="F25" i="17"/>
  <c r="F25" i="4"/>
  <c r="AD25" i="4"/>
  <c r="F25" i="18"/>
  <c r="AD25" i="18"/>
  <c r="V25" i="5"/>
  <c r="AD25" i="6"/>
  <c r="V25" i="6"/>
  <c r="N25" i="4"/>
  <c r="N25" i="18"/>
  <c r="V25" i="18"/>
  <c r="N25" i="5"/>
  <c r="AL25" i="9"/>
  <c r="N25" i="6"/>
  <c r="N25" i="17"/>
  <c r="F25" i="5"/>
  <c r="N25" i="9"/>
  <c r="N23" i="4"/>
  <c r="F23" i="5"/>
  <c r="N23" i="9"/>
  <c r="F23" i="4"/>
  <c r="AD23" i="18"/>
  <c r="N48" i="5"/>
  <c r="AD54" i="4"/>
  <c r="AF54" i="4" s="1"/>
  <c r="AL29" i="18"/>
  <c r="N48" i="4"/>
  <c r="V48" i="4"/>
  <c r="AL49" i="18"/>
  <c r="N16" i="4"/>
  <c r="F23" i="17"/>
  <c r="AL27" i="9"/>
  <c r="V27" i="4"/>
  <c r="N27" i="9"/>
  <c r="AD27" i="4"/>
  <c r="F27" i="18"/>
  <c r="N26" i="6"/>
  <c r="AD26" i="4"/>
  <c r="N27" i="5"/>
  <c r="F27" i="17"/>
  <c r="N27" i="18"/>
  <c r="N24" i="18"/>
  <c r="F51" i="17"/>
  <c r="F51" i="4"/>
  <c r="AT52" i="9"/>
  <c r="F50" i="6"/>
  <c r="AT50" i="9"/>
  <c r="F50" i="9"/>
  <c r="AD50" i="9"/>
  <c r="AL50" i="9"/>
  <c r="N50" i="6"/>
  <c r="V50" i="4"/>
  <c r="F50" i="5"/>
  <c r="N50" i="9"/>
  <c r="AL50" i="6"/>
  <c r="AN50" i="6" s="1"/>
  <c r="V46" i="9"/>
  <c r="V46" i="4"/>
  <c r="N46" i="17"/>
  <c r="V46" i="18"/>
  <c r="AD47" i="18"/>
  <c r="F47" i="17"/>
  <c r="AK47" i="4"/>
  <c r="AL47" i="18"/>
  <c r="AL56" i="18"/>
  <c r="N42" i="6"/>
  <c r="N41" i="4"/>
  <c r="F40" i="17"/>
  <c r="AT51" i="9"/>
  <c r="N51" i="17"/>
  <c r="N51" i="9"/>
  <c r="AD51" i="9"/>
  <c r="V5" i="18"/>
  <c r="F51" i="6"/>
  <c r="N51" i="6"/>
  <c r="F51" i="5"/>
  <c r="V51" i="5"/>
  <c r="V52" i="18"/>
  <c r="AD51" i="18"/>
  <c r="V51" i="9"/>
  <c r="AL51" i="9"/>
  <c r="N51" i="4"/>
  <c r="V51" i="6"/>
  <c r="V52" i="5"/>
  <c r="F51" i="9"/>
  <c r="AL51" i="6"/>
  <c r="AD52" i="6"/>
  <c r="V52" i="6"/>
  <c r="AD52" i="9"/>
  <c r="AL52" i="9"/>
  <c r="N52" i="17"/>
  <c r="N50" i="5"/>
  <c r="V50" i="9"/>
  <c r="AD50" i="18"/>
  <c r="AK51" i="4"/>
  <c r="AD51" i="6"/>
  <c r="V51" i="18"/>
  <c r="N51" i="5"/>
  <c r="N29" i="4"/>
  <c r="V52" i="4"/>
  <c r="F46" i="5"/>
  <c r="F16" i="9"/>
  <c r="F50" i="17"/>
  <c r="F50" i="18"/>
  <c r="F46" i="17"/>
  <c r="AL46" i="18"/>
  <c r="N46" i="18"/>
  <c r="AD47" i="4"/>
  <c r="N56" i="5"/>
  <c r="N56" i="17"/>
  <c r="AK56" i="4"/>
  <c r="F56" i="17"/>
  <c r="N43" i="4"/>
  <c r="N51" i="18"/>
  <c r="F9" i="17"/>
  <c r="N54" i="9"/>
  <c r="N8" i="18"/>
  <c r="V14" i="4"/>
  <c r="N5" i="18"/>
  <c r="F36" i="17"/>
  <c r="AL5" i="9"/>
  <c r="V14" i="6"/>
  <c r="N16" i="18"/>
  <c r="N9" i="4"/>
  <c r="AL14" i="18"/>
  <c r="AK14" i="4"/>
  <c r="F9" i="9"/>
  <c r="BB54" i="9"/>
  <c r="V54" i="9"/>
  <c r="F54" i="17"/>
  <c r="F14" i="6"/>
  <c r="AT5" i="9"/>
  <c r="N46" i="9"/>
  <c r="AD9" i="18"/>
  <c r="AD9" i="9"/>
  <c r="AL9" i="9"/>
  <c r="V8" i="18"/>
  <c r="AL16" i="6"/>
  <c r="AT16" i="9"/>
  <c r="N16" i="9"/>
  <c r="N47" i="9"/>
  <c r="AL23" i="6"/>
  <c r="N54" i="6"/>
  <c r="AD49" i="6"/>
  <c r="V49" i="18"/>
  <c r="AL48" i="6"/>
  <c r="AL54" i="6"/>
  <c r="F9" i="18"/>
  <c r="N9" i="5"/>
  <c r="N14" i="6"/>
  <c r="N14" i="17"/>
  <c r="AT9" i="9"/>
  <c r="AD8" i="6"/>
  <c r="AL22" i="18"/>
  <c r="BB41" i="9"/>
  <c r="BB49" i="9"/>
  <c r="BD49" i="9" s="1"/>
  <c r="V9" i="9"/>
  <c r="AD23" i="9"/>
  <c r="N9" i="17"/>
  <c r="AL36" i="18"/>
  <c r="AL9" i="18"/>
  <c r="N52" i="9"/>
  <c r="AL52" i="6"/>
  <c r="AD51" i="4"/>
  <c r="F47" i="5"/>
  <c r="F43" i="6"/>
  <c r="AK43" i="4"/>
  <c r="V50" i="6"/>
  <c r="AD43" i="4"/>
  <c r="AL56" i="9"/>
  <c r="AL44" i="18"/>
  <c r="V31" i="6"/>
  <c r="AL35" i="9"/>
  <c r="AL11" i="6"/>
  <c r="AD35" i="6"/>
  <c r="V36" i="9"/>
  <c r="F32" i="6"/>
  <c r="V22" i="6"/>
  <c r="AD48" i="9"/>
  <c r="AF48" i="9" s="1"/>
  <c r="F49" i="9"/>
  <c r="F54" i="18"/>
  <c r="N49" i="17"/>
  <c r="AT22" i="9"/>
  <c r="AD24" i="9"/>
  <c r="AT18" i="9"/>
  <c r="AD9" i="6"/>
  <c r="F18" i="6"/>
  <c r="AL14" i="6"/>
  <c r="V12" i="9"/>
  <c r="AD18" i="9"/>
  <c r="V10" i="6"/>
  <c r="N18" i="6"/>
  <c r="N9" i="9"/>
  <c r="V9" i="5"/>
  <c r="F8" i="17"/>
  <c r="V8" i="6"/>
  <c r="BB16" i="9"/>
  <c r="BB35" i="9"/>
  <c r="BB5" i="9"/>
  <c r="BB43" i="9"/>
  <c r="BB27" i="9"/>
  <c r="AK32" i="4"/>
  <c r="AD52" i="4"/>
  <c r="F52" i="18"/>
  <c r="AK52" i="4"/>
  <c r="AL52" i="18"/>
  <c r="N52" i="5"/>
  <c r="V52" i="9"/>
  <c r="F52" i="6"/>
  <c r="F52" i="17"/>
  <c r="F52" i="4"/>
  <c r="F52" i="5"/>
  <c r="N52" i="4"/>
  <c r="N52" i="18"/>
  <c r="N29" i="18"/>
  <c r="F44" i="5"/>
  <c r="AT8" i="9"/>
  <c r="F51" i="18"/>
  <c r="AL51" i="18"/>
  <c r="AD52" i="18"/>
  <c r="F52" i="9"/>
  <c r="N50" i="17"/>
  <c r="V56" i="6"/>
  <c r="N46" i="5"/>
  <c r="P46" i="5" s="1"/>
  <c r="AL46" i="9"/>
  <c r="V56" i="4"/>
  <c r="V38" i="6"/>
  <c r="V47" i="6"/>
  <c r="AT38" i="9"/>
  <c r="F32" i="4"/>
  <c r="AL38" i="6"/>
  <c r="F38" i="4"/>
  <c r="AL33" i="9"/>
  <c r="F33" i="4"/>
  <c r="F41" i="4"/>
  <c r="AD38" i="6"/>
  <c r="F35" i="9"/>
  <c r="N56" i="4"/>
  <c r="F47" i="6"/>
  <c r="V32" i="6"/>
  <c r="N31" i="6"/>
  <c r="F25" i="9"/>
  <c r="AL25" i="6"/>
  <c r="AD31" i="6"/>
  <c r="AL32" i="6"/>
  <c r="V40" i="4"/>
  <c r="AL31" i="9"/>
  <c r="AL25" i="18"/>
  <c r="H48" i="14"/>
  <c r="V27" i="6"/>
  <c r="F23" i="6"/>
  <c r="F24" i="9"/>
  <c r="V24" i="6"/>
  <c r="AL28" i="9"/>
  <c r="F14" i="9"/>
  <c r="AD14" i="6"/>
  <c r="F28" i="6"/>
  <c r="AL24" i="9"/>
  <c r="N19" i="18"/>
  <c r="AD16" i="6"/>
  <c r="AD10" i="9"/>
  <c r="N16" i="5"/>
  <c r="AL10" i="18"/>
  <c r="V9" i="6"/>
  <c r="F8" i="5"/>
  <c r="AL28" i="6"/>
  <c r="F19" i="9"/>
  <c r="V12" i="6"/>
  <c r="AL8" i="6"/>
  <c r="AD7" i="6"/>
  <c r="AL12" i="9"/>
  <c r="F9" i="5"/>
  <c r="AL9" i="6"/>
  <c r="V15" i="9"/>
  <c r="F15" i="6"/>
  <c r="F10" i="9"/>
  <c r="AL10" i="6"/>
  <c r="AD55" i="6"/>
  <c r="AL8" i="18"/>
  <c r="V6" i="4"/>
  <c r="AD5" i="6"/>
  <c r="AL55" i="6"/>
  <c r="V7" i="6"/>
  <c r="BB36" i="9"/>
  <c r="BB28" i="9"/>
  <c r="BB14" i="9"/>
  <c r="BB24" i="9"/>
  <c r="V53" i="9"/>
  <c r="BB18" i="9"/>
  <c r="BB44" i="9"/>
  <c r="BB7" i="9"/>
  <c r="BB12" i="9"/>
  <c r="BB32" i="9"/>
  <c r="BB40" i="9"/>
  <c r="BB6" i="9"/>
  <c r="BB33" i="9"/>
  <c r="BB37" i="9"/>
  <c r="BB11" i="9"/>
  <c r="V53" i="4"/>
  <c r="BB10" i="9"/>
  <c r="V53" i="6"/>
  <c r="BB51" i="9"/>
  <c r="S23" i="9" l="1"/>
  <c r="P23" i="9"/>
  <c r="O23" i="9"/>
  <c r="W8" i="9"/>
  <c r="X8" i="9"/>
  <c r="AA8" i="9"/>
  <c r="V14" i="18"/>
  <c r="P38" i="17"/>
  <c r="O38" i="17"/>
  <c r="V38" i="17"/>
  <c r="AD38" i="17" s="1"/>
  <c r="S38" i="17"/>
  <c r="AA16" i="9"/>
  <c r="X16" i="9"/>
  <c r="W16" i="9"/>
  <c r="K23" i="9"/>
  <c r="H23" i="9"/>
  <c r="G23" i="9"/>
  <c r="AD36" i="4"/>
  <c r="AA35" i="6"/>
  <c r="W35" i="6"/>
  <c r="X35" i="6"/>
  <c r="S42" i="6"/>
  <c r="O42" i="6"/>
  <c r="P42" i="6"/>
  <c r="AU8" i="9"/>
  <c r="AV8" i="9"/>
  <c r="AY8" i="9"/>
  <c r="BC43" i="9"/>
  <c r="BG43" i="9"/>
  <c r="AM14" i="6"/>
  <c r="AQ14" i="6"/>
  <c r="AL17" i="6"/>
  <c r="AN17" i="6" s="1"/>
  <c r="F32" i="15" s="1"/>
  <c r="AN14" i="6"/>
  <c r="W31" i="6"/>
  <c r="X31" i="6"/>
  <c r="AA31" i="6"/>
  <c r="AD38" i="5"/>
  <c r="H51" i="6"/>
  <c r="K51" i="6"/>
  <c r="G51" i="6"/>
  <c r="AI25" i="18"/>
  <c r="AF25" i="18"/>
  <c r="AE25" i="18"/>
  <c r="O46" i="6"/>
  <c r="N57" i="6"/>
  <c r="P57" i="6" s="1"/>
  <c r="S46" i="6"/>
  <c r="P46" i="6"/>
  <c r="AE37" i="18"/>
  <c r="AF37" i="18"/>
  <c r="AI37" i="18"/>
  <c r="BR38" i="9"/>
  <c r="O47" i="18"/>
  <c r="P47" i="18"/>
  <c r="S47" i="18"/>
  <c r="AA46" i="5"/>
  <c r="W46" i="5"/>
  <c r="V57" i="5"/>
  <c r="X57" i="5" s="1"/>
  <c r="AA40" i="6"/>
  <c r="X40" i="6"/>
  <c r="W40" i="6"/>
  <c r="K22" i="18"/>
  <c r="H22" i="18"/>
  <c r="G22" i="18"/>
  <c r="AA35" i="14"/>
  <c r="X35" i="14"/>
  <c r="H35" i="14"/>
  <c r="K35" i="14"/>
  <c r="X44" i="4"/>
  <c r="W44" i="4"/>
  <c r="AA44" i="4"/>
  <c r="AN44" i="4"/>
  <c r="AV44" i="4" s="1"/>
  <c r="X43" i="6"/>
  <c r="W43" i="6"/>
  <c r="AA43" i="6"/>
  <c r="AN56" i="6"/>
  <c r="AM56" i="6"/>
  <c r="AQ56" i="6"/>
  <c r="AV56" i="9"/>
  <c r="AU56" i="9"/>
  <c r="AY56" i="9"/>
  <c r="P47" i="6"/>
  <c r="S47" i="6"/>
  <c r="O47" i="6"/>
  <c r="K46" i="4"/>
  <c r="G46" i="4"/>
  <c r="AF9" i="4"/>
  <c r="AI9" i="4"/>
  <c r="AE9" i="4"/>
  <c r="AQ53" i="18"/>
  <c r="AM53" i="18"/>
  <c r="BR53" i="9"/>
  <c r="AA6" i="14"/>
  <c r="X6" i="14"/>
  <c r="BR55" i="9"/>
  <c r="O26" i="9"/>
  <c r="S26" i="9"/>
  <c r="P26" i="9"/>
  <c r="AA6" i="9"/>
  <c r="X6" i="9"/>
  <c r="W6" i="9"/>
  <c r="H55" i="5"/>
  <c r="K55" i="5"/>
  <c r="G55" i="5"/>
  <c r="S55" i="17"/>
  <c r="O55" i="17"/>
  <c r="V55" i="17"/>
  <c r="AD55" i="17" s="1"/>
  <c r="P55" i="17"/>
  <c r="AF6" i="9"/>
  <c r="AI6" i="9"/>
  <c r="AE6" i="9"/>
  <c r="K26" i="5"/>
  <c r="H26" i="5"/>
  <c r="G26" i="5"/>
  <c r="AQ53" i="6"/>
  <c r="AM53" i="6"/>
  <c r="AN53" i="6"/>
  <c r="H16" i="4"/>
  <c r="G16" i="4"/>
  <c r="K16" i="4"/>
  <c r="BR18" i="9"/>
  <c r="AE24" i="4"/>
  <c r="AF24" i="4"/>
  <c r="AI24" i="4"/>
  <c r="G26" i="9"/>
  <c r="H26" i="9"/>
  <c r="K26" i="9"/>
  <c r="BR28" i="9"/>
  <c r="X36" i="6"/>
  <c r="AA36" i="6"/>
  <c r="W36" i="6"/>
  <c r="H19" i="14"/>
  <c r="K19" i="14"/>
  <c r="G24" i="6"/>
  <c r="K24" i="6"/>
  <c r="H24" i="6"/>
  <c r="AI26" i="18"/>
  <c r="AE26" i="18"/>
  <c r="AF26" i="18"/>
  <c r="F26" i="4"/>
  <c r="AN26" i="4" s="1"/>
  <c r="AV26" i="4" s="1"/>
  <c r="K32" i="14"/>
  <c r="H32" i="14"/>
  <c r="AT15" i="6"/>
  <c r="W24" i="18"/>
  <c r="X24" i="18"/>
  <c r="AA24" i="18"/>
  <c r="AD24" i="5"/>
  <c r="AM24" i="5" s="1"/>
  <c r="AU24" i="5" s="1"/>
  <c r="S28" i="9"/>
  <c r="O28" i="9"/>
  <c r="AN29" i="6"/>
  <c r="AQ29" i="6"/>
  <c r="AM29" i="6"/>
  <c r="AI26" i="9"/>
  <c r="AE26" i="9"/>
  <c r="AF26" i="9"/>
  <c r="AE27" i="9"/>
  <c r="AF27" i="9"/>
  <c r="AI27" i="9"/>
  <c r="G28" i="5"/>
  <c r="K28" i="5"/>
  <c r="W38" i="9"/>
  <c r="X38" i="9"/>
  <c r="AA38" i="9"/>
  <c r="S19" i="5"/>
  <c r="O19" i="5"/>
  <c r="P19" i="5"/>
  <c r="BC15" i="9"/>
  <c r="BG15" i="9"/>
  <c r="BJ15" i="9"/>
  <c r="O12" i="6"/>
  <c r="S12" i="6"/>
  <c r="P12" i="6"/>
  <c r="BJ10" i="9"/>
  <c r="AV10" i="9"/>
  <c r="AU10" i="9"/>
  <c r="AY10" i="9"/>
  <c r="AQ10" i="9"/>
  <c r="AN10" i="9"/>
  <c r="AM10" i="9"/>
  <c r="AV55" i="9"/>
  <c r="AY55" i="9"/>
  <c r="AU55" i="9"/>
  <c r="BR15" i="9"/>
  <c r="AF22" i="6"/>
  <c r="AE22" i="6"/>
  <c r="AI22" i="6"/>
  <c r="G22" i="4"/>
  <c r="K22" i="4"/>
  <c r="H22" i="4"/>
  <c r="AI22" i="9"/>
  <c r="AE22" i="9"/>
  <c r="AF22" i="9"/>
  <c r="AI54" i="6"/>
  <c r="AF54" i="6"/>
  <c r="AE54" i="6"/>
  <c r="H47" i="4"/>
  <c r="G47" i="4"/>
  <c r="K47" i="4"/>
  <c r="X43" i="5"/>
  <c r="AA43" i="5"/>
  <c r="W43" i="5"/>
  <c r="AA49" i="5"/>
  <c r="W49" i="5"/>
  <c r="AI48" i="4"/>
  <c r="AE48" i="4"/>
  <c r="P48" i="14"/>
  <c r="S48" i="14"/>
  <c r="AI12" i="18"/>
  <c r="AE12" i="18"/>
  <c r="AF12" i="18"/>
  <c r="S10" i="14"/>
  <c r="P10" i="14"/>
  <c r="AT54" i="6"/>
  <c r="G49" i="4"/>
  <c r="K49" i="4"/>
  <c r="W49" i="4"/>
  <c r="AA49" i="4"/>
  <c r="BC6" i="9"/>
  <c r="BG6" i="9"/>
  <c r="BD6" i="9"/>
  <c r="BJ6" i="9"/>
  <c r="X15" i="9"/>
  <c r="AA15" i="9"/>
  <c r="W15" i="9"/>
  <c r="AM28" i="6"/>
  <c r="AN28" i="6"/>
  <c r="AQ28" i="6"/>
  <c r="K36" i="14"/>
  <c r="H36" i="14"/>
  <c r="O46" i="5"/>
  <c r="S46" i="5"/>
  <c r="N57" i="5"/>
  <c r="P57" i="5" s="1"/>
  <c r="G51" i="18"/>
  <c r="H51" i="18"/>
  <c r="K51" i="18"/>
  <c r="AT51" i="18"/>
  <c r="BB51" i="18" s="1"/>
  <c r="AM14" i="18"/>
  <c r="AQ14" i="18"/>
  <c r="AA51" i="5"/>
  <c r="X51" i="5"/>
  <c r="W51" i="5"/>
  <c r="W48" i="4"/>
  <c r="AA48" i="4"/>
  <c r="AN48" i="4"/>
  <c r="AV48" i="4" s="1"/>
  <c r="AF33" i="6"/>
  <c r="AE33" i="6"/>
  <c r="AI33" i="6"/>
  <c r="G11" i="18"/>
  <c r="AT11" i="18"/>
  <c r="BB11" i="18" s="1"/>
  <c r="K11" i="18"/>
  <c r="H11" i="18"/>
  <c r="K29" i="4"/>
  <c r="H29" i="4"/>
  <c r="G29" i="4"/>
  <c r="AT40" i="6"/>
  <c r="AI33" i="18"/>
  <c r="AF33" i="18"/>
  <c r="AE33" i="18"/>
  <c r="BD32" i="9"/>
  <c r="BG32" i="9"/>
  <c r="BC32" i="9"/>
  <c r="BG18" i="9"/>
  <c r="BC18" i="9"/>
  <c r="AM8" i="18"/>
  <c r="AQ8" i="18"/>
  <c r="AN8" i="18"/>
  <c r="AQ9" i="6"/>
  <c r="AN9" i="6"/>
  <c r="AM9" i="6"/>
  <c r="AD8" i="5"/>
  <c r="H28" i="14"/>
  <c r="K28" i="14"/>
  <c r="AA9" i="6"/>
  <c r="X9" i="6"/>
  <c r="W9" i="6"/>
  <c r="AF10" i="9"/>
  <c r="AI10" i="9"/>
  <c r="AE10" i="9"/>
  <c r="K49" i="14"/>
  <c r="AE14" i="6"/>
  <c r="AF14" i="6"/>
  <c r="AD17" i="6"/>
  <c r="AF17" i="6" s="1"/>
  <c r="F31" i="15" s="1"/>
  <c r="AI14" i="6"/>
  <c r="X40" i="4"/>
  <c r="W40" i="4"/>
  <c r="AA40" i="4"/>
  <c r="AM25" i="6"/>
  <c r="AN25" i="6"/>
  <c r="AQ25" i="6"/>
  <c r="H33" i="4"/>
  <c r="K33" i="4"/>
  <c r="G33" i="4"/>
  <c r="AM38" i="6"/>
  <c r="AQ38" i="6"/>
  <c r="AN38" i="6"/>
  <c r="AF52" i="18"/>
  <c r="AE52" i="18"/>
  <c r="AI52" i="18"/>
  <c r="O29" i="18"/>
  <c r="S29" i="18"/>
  <c r="P29" i="18"/>
  <c r="P52" i="4"/>
  <c r="O52" i="4"/>
  <c r="S52" i="4"/>
  <c r="AT55" i="6"/>
  <c r="K25" i="14"/>
  <c r="H25" i="14"/>
  <c r="AU22" i="9"/>
  <c r="AV22" i="9"/>
  <c r="AY22" i="9"/>
  <c r="K54" i="18"/>
  <c r="H54" i="18"/>
  <c r="G54" i="18"/>
  <c r="AE48" i="9"/>
  <c r="AI48" i="9"/>
  <c r="AM11" i="6"/>
  <c r="AN11" i="6"/>
  <c r="AQ11" i="6"/>
  <c r="AD40" i="4"/>
  <c r="AN40" i="4" s="1"/>
  <c r="AV40" i="4" s="1"/>
  <c r="S37" i="14"/>
  <c r="P37" i="14"/>
  <c r="AY9" i="9"/>
  <c r="AV9" i="9"/>
  <c r="AU9" i="9"/>
  <c r="W49" i="18"/>
  <c r="AA49" i="18"/>
  <c r="X49" i="18"/>
  <c r="AF9" i="9"/>
  <c r="AI9" i="9"/>
  <c r="AE9" i="9"/>
  <c r="G54" i="17"/>
  <c r="K54" i="17"/>
  <c r="H54" i="17"/>
  <c r="S9" i="4"/>
  <c r="P9" i="4"/>
  <c r="O9" i="4"/>
  <c r="AD11" i="5"/>
  <c r="AM11" i="5" s="1"/>
  <c r="AU11" i="5" s="1"/>
  <c r="P51" i="18"/>
  <c r="S51" i="18"/>
  <c r="O51" i="18"/>
  <c r="AT9" i="6"/>
  <c r="P56" i="17"/>
  <c r="S56" i="17"/>
  <c r="V56" i="17"/>
  <c r="AD56" i="17" s="1"/>
  <c r="O56" i="17"/>
  <c r="S46" i="18"/>
  <c r="P46" i="18"/>
  <c r="O46" i="18"/>
  <c r="N57" i="18"/>
  <c r="P57" i="18" s="1"/>
  <c r="K50" i="18"/>
  <c r="H50" i="18"/>
  <c r="AT50" i="18"/>
  <c r="BB50" i="18" s="1"/>
  <c r="G50" i="18"/>
  <c r="X50" i="9"/>
  <c r="W50" i="9"/>
  <c r="AA50" i="9"/>
  <c r="AI52" i="6"/>
  <c r="AE52" i="6"/>
  <c r="AF52" i="6"/>
  <c r="O51" i="4"/>
  <c r="S51" i="4"/>
  <c r="P51" i="4"/>
  <c r="N14" i="18"/>
  <c r="AD35" i="5"/>
  <c r="AM35" i="5" s="1"/>
  <c r="AU35" i="5" s="1"/>
  <c r="BR56" i="9"/>
  <c r="AD56" i="5"/>
  <c r="AM56" i="5" s="1"/>
  <c r="AU56" i="5" s="1"/>
  <c r="AD47" i="5"/>
  <c r="AN46" i="4"/>
  <c r="AV46" i="4" s="1"/>
  <c r="AA46" i="4"/>
  <c r="W46" i="4"/>
  <c r="V57" i="4"/>
  <c r="X57" i="4" s="1"/>
  <c r="H50" i="9"/>
  <c r="K50" i="9"/>
  <c r="G50" i="9"/>
  <c r="AF26" i="4"/>
  <c r="AE26" i="4"/>
  <c r="AI26" i="4"/>
  <c r="K27" i="18"/>
  <c r="G27" i="18"/>
  <c r="AT27" i="18"/>
  <c r="BB27" i="18" s="1"/>
  <c r="H27" i="18"/>
  <c r="X27" i="4"/>
  <c r="AA27" i="4"/>
  <c r="W27" i="4"/>
  <c r="AN27" i="4"/>
  <c r="AV27" i="4" s="1"/>
  <c r="O48" i="5"/>
  <c r="S48" i="5"/>
  <c r="AL23" i="18"/>
  <c r="AL30" i="18" s="1"/>
  <c r="AN30" i="18" s="1"/>
  <c r="H23" i="5"/>
  <c r="K23" i="5"/>
  <c r="G23" i="5"/>
  <c r="S25" i="14"/>
  <c r="P25" i="14"/>
  <c r="G25" i="18"/>
  <c r="K25" i="18"/>
  <c r="H25" i="18"/>
  <c r="AT25" i="18"/>
  <c r="BB25" i="18" s="1"/>
  <c r="W25" i="9"/>
  <c r="X25" i="9"/>
  <c r="AA25" i="9"/>
  <c r="AL18" i="18"/>
  <c r="AT18" i="18" s="1"/>
  <c r="BB18" i="18" s="1"/>
  <c r="H27" i="4"/>
  <c r="G27" i="4"/>
  <c r="K27" i="4"/>
  <c r="BR16" i="9"/>
  <c r="AF44" i="4"/>
  <c r="AI44" i="4"/>
  <c r="AE44" i="4"/>
  <c r="W16" i="18"/>
  <c r="AA16" i="18"/>
  <c r="AM43" i="18"/>
  <c r="AQ43" i="18"/>
  <c r="X43" i="4"/>
  <c r="AA43" i="4"/>
  <c r="W43" i="4"/>
  <c r="AN43" i="4"/>
  <c r="AV43" i="4" s="1"/>
  <c r="N31" i="17"/>
  <c r="P32" i="17"/>
  <c r="S32" i="17"/>
  <c r="O32" i="17"/>
  <c r="V32" i="17"/>
  <c r="AD32" i="17" s="1"/>
  <c r="G56" i="9"/>
  <c r="H56" i="9"/>
  <c r="K56" i="9"/>
  <c r="H33" i="5"/>
  <c r="G33" i="5"/>
  <c r="K33" i="5"/>
  <c r="S33" i="17"/>
  <c r="O33" i="17"/>
  <c r="V33" i="17"/>
  <c r="AD33" i="17" s="1"/>
  <c r="P33" i="17"/>
  <c r="AY33" i="9"/>
  <c r="AU33" i="9"/>
  <c r="AV33" i="9"/>
  <c r="G35" i="5"/>
  <c r="H35" i="5"/>
  <c r="K35" i="5"/>
  <c r="P35" i="17"/>
  <c r="S35" i="17"/>
  <c r="O35" i="17"/>
  <c r="V35" i="17"/>
  <c r="AD35" i="17" s="1"/>
  <c r="V37" i="6"/>
  <c r="H38" i="6"/>
  <c r="G38" i="6"/>
  <c r="K38" i="6"/>
  <c r="S38" i="9"/>
  <c r="P38" i="9"/>
  <c r="O38" i="9"/>
  <c r="AI11" i="9"/>
  <c r="AF11" i="9"/>
  <c r="AE11" i="9"/>
  <c r="S11" i="4"/>
  <c r="P11" i="4"/>
  <c r="O11" i="4"/>
  <c r="AF44" i="18"/>
  <c r="AE44" i="18"/>
  <c r="AI44" i="18"/>
  <c r="AU44" i="9"/>
  <c r="AV44" i="9"/>
  <c r="AY44" i="9"/>
  <c r="H43" i="4"/>
  <c r="K43" i="4"/>
  <c r="G43" i="4"/>
  <c r="O47" i="17"/>
  <c r="P47" i="17"/>
  <c r="S47" i="17"/>
  <c r="V47" i="17"/>
  <c r="AD47" i="17" s="1"/>
  <c r="G40" i="4"/>
  <c r="H40" i="4"/>
  <c r="K40" i="4"/>
  <c r="H40" i="14"/>
  <c r="K40" i="14"/>
  <c r="AQ40" i="18"/>
  <c r="AM40" i="18"/>
  <c r="P40" i="9"/>
  <c r="O40" i="9"/>
  <c r="S40" i="9"/>
  <c r="AI40" i="6"/>
  <c r="AF40" i="6"/>
  <c r="AE40" i="6"/>
  <c r="K41" i="5"/>
  <c r="G41" i="5"/>
  <c r="H41" i="5"/>
  <c r="AA41" i="4"/>
  <c r="X41" i="4"/>
  <c r="W41" i="4"/>
  <c r="AN41" i="4"/>
  <c r="AV41" i="4" s="1"/>
  <c r="X41" i="14"/>
  <c r="AA41" i="14"/>
  <c r="BJ41" i="9"/>
  <c r="AY41" i="9"/>
  <c r="AU41" i="9"/>
  <c r="AV41" i="9"/>
  <c r="K41" i="18"/>
  <c r="G41" i="18"/>
  <c r="H41" i="18"/>
  <c r="AT41" i="18"/>
  <c r="BB41" i="18" s="1"/>
  <c r="AA28" i="14"/>
  <c r="X28" i="14"/>
  <c r="G54" i="6"/>
  <c r="K54" i="6"/>
  <c r="H54" i="6"/>
  <c r="W48" i="6"/>
  <c r="X48" i="6"/>
  <c r="AA48" i="6"/>
  <c r="K33" i="17"/>
  <c r="H33" i="17"/>
  <c r="G33" i="17"/>
  <c r="BJ35" i="9"/>
  <c r="AU35" i="9"/>
  <c r="AY35" i="9"/>
  <c r="AV35" i="9"/>
  <c r="X37" i="4"/>
  <c r="W37" i="4"/>
  <c r="AA37" i="4"/>
  <c r="AN37" i="4"/>
  <c r="AV37" i="4" s="1"/>
  <c r="AE43" i="6"/>
  <c r="AF43" i="6"/>
  <c r="AI43" i="6"/>
  <c r="P43" i="14"/>
  <c r="S43" i="14"/>
  <c r="AE47" i="6"/>
  <c r="AF47" i="6"/>
  <c r="AI47" i="6"/>
  <c r="AM47" i="9"/>
  <c r="AN47" i="9"/>
  <c r="AQ47" i="9"/>
  <c r="W46" i="6"/>
  <c r="V57" i="6"/>
  <c r="X57" i="6" s="1"/>
  <c r="X46" i="6"/>
  <c r="AA46" i="6"/>
  <c r="AI50" i="6"/>
  <c r="AF50" i="6"/>
  <c r="AE50" i="6"/>
  <c r="G37" i="6"/>
  <c r="H37" i="6"/>
  <c r="K37" i="6"/>
  <c r="O15" i="4"/>
  <c r="P15" i="4"/>
  <c r="S15" i="4"/>
  <c r="AI5" i="4"/>
  <c r="AE5" i="4"/>
  <c r="AF5" i="4"/>
  <c r="X7" i="4"/>
  <c r="W7" i="4"/>
  <c r="AA7" i="4"/>
  <c r="AN7" i="4"/>
  <c r="AV7" i="4" s="1"/>
  <c r="G7" i="4"/>
  <c r="H7" i="4"/>
  <c r="K7" i="4"/>
  <c r="AQ26" i="18"/>
  <c r="AM26" i="18"/>
  <c r="G5" i="17"/>
  <c r="H5" i="17"/>
  <c r="K5" i="17"/>
  <c r="F13" i="17"/>
  <c r="H13" i="17" s="1"/>
  <c r="X10" i="4"/>
  <c r="AA10" i="4"/>
  <c r="W10" i="4"/>
  <c r="AN10" i="4"/>
  <c r="AV10" i="4" s="1"/>
  <c r="AN7" i="6"/>
  <c r="AQ7" i="6"/>
  <c r="AM7" i="6"/>
  <c r="S7" i="14"/>
  <c r="P7" i="14"/>
  <c r="W53" i="5"/>
  <c r="AA53" i="5"/>
  <c r="X53" i="5"/>
  <c r="P15" i="6"/>
  <c r="S15" i="6"/>
  <c r="O15" i="6"/>
  <c r="P7" i="6"/>
  <c r="S7" i="6"/>
  <c r="O7" i="6"/>
  <c r="AU46" i="9"/>
  <c r="AY46" i="9"/>
  <c r="AT57" i="9"/>
  <c r="AV57" i="9" s="1"/>
  <c r="O35" i="9"/>
  <c r="P35" i="9"/>
  <c r="S35" i="9"/>
  <c r="AM55" i="18"/>
  <c r="AQ55" i="18"/>
  <c r="W19" i="9"/>
  <c r="X19" i="9"/>
  <c r="AA19" i="9"/>
  <c r="AA14" i="5"/>
  <c r="X14" i="5"/>
  <c r="W14" i="5"/>
  <c r="G15" i="17"/>
  <c r="K15" i="17"/>
  <c r="H15" i="17"/>
  <c r="N18" i="5"/>
  <c r="AT22" i="6"/>
  <c r="X28" i="6"/>
  <c r="AA28" i="6"/>
  <c r="W28" i="6"/>
  <c r="X43" i="14"/>
  <c r="AA43" i="14"/>
  <c r="P19" i="6"/>
  <c r="O19" i="6"/>
  <c r="S19" i="6"/>
  <c r="AT24" i="6"/>
  <c r="X27" i="14"/>
  <c r="AA27" i="14"/>
  <c r="S43" i="6"/>
  <c r="O43" i="6"/>
  <c r="P43" i="6"/>
  <c r="AV24" i="9"/>
  <c r="AU24" i="9"/>
  <c r="AY24" i="9"/>
  <c r="AA26" i="9"/>
  <c r="X26" i="9"/>
  <c r="W26" i="9"/>
  <c r="S27" i="6"/>
  <c r="P27" i="6"/>
  <c r="O27" i="6"/>
  <c r="AE28" i="18"/>
  <c r="AI28" i="18"/>
  <c r="AF28" i="18"/>
  <c r="AE19" i="9"/>
  <c r="AF19" i="9"/>
  <c r="AI19" i="9"/>
  <c r="AI18" i="18"/>
  <c r="AE18" i="18"/>
  <c r="K22" i="5"/>
  <c r="H22" i="5"/>
  <c r="G22" i="5"/>
  <c r="H28" i="18"/>
  <c r="AT28" i="18"/>
  <c r="BB28" i="18" s="1"/>
  <c r="G28" i="18"/>
  <c r="K28" i="18"/>
  <c r="W19" i="5"/>
  <c r="X19" i="5"/>
  <c r="AA19" i="5"/>
  <c r="K19" i="5"/>
  <c r="H19" i="5"/>
  <c r="G19" i="5"/>
  <c r="P14" i="4"/>
  <c r="O14" i="4"/>
  <c r="S14" i="4"/>
  <c r="N17" i="4"/>
  <c r="P17" i="4" s="1"/>
  <c r="AE24" i="18"/>
  <c r="AI24" i="18"/>
  <c r="AF24" i="18"/>
  <c r="H27" i="14"/>
  <c r="K27" i="14"/>
  <c r="AE28" i="9"/>
  <c r="AF28" i="9"/>
  <c r="AI28" i="9"/>
  <c r="AA35" i="9"/>
  <c r="W35" i="9"/>
  <c r="X35" i="9"/>
  <c r="BG52" i="9"/>
  <c r="BC52" i="9"/>
  <c r="BJ52" i="9"/>
  <c r="BG25" i="9"/>
  <c r="BC25" i="9"/>
  <c r="BD25" i="9"/>
  <c r="BC55" i="9"/>
  <c r="BD55" i="9"/>
  <c r="BG55" i="9"/>
  <c r="BJ55" i="9"/>
  <c r="AV53" i="9"/>
  <c r="AY53" i="9"/>
  <c r="AU53" i="9"/>
  <c r="AF10" i="6"/>
  <c r="AE10" i="6"/>
  <c r="AI10" i="6"/>
  <c r="S10" i="6"/>
  <c r="O10" i="6"/>
  <c r="P10" i="6"/>
  <c r="AA18" i="6"/>
  <c r="X18" i="6"/>
  <c r="W18" i="6"/>
  <c r="G22" i="9"/>
  <c r="K22" i="9"/>
  <c r="H22" i="9"/>
  <c r="G22" i="6"/>
  <c r="H22" i="6"/>
  <c r="K22" i="6"/>
  <c r="O22" i="9"/>
  <c r="S22" i="9"/>
  <c r="P22" i="9"/>
  <c r="H54" i="9"/>
  <c r="K54" i="9"/>
  <c r="G54" i="9"/>
  <c r="G12" i="17"/>
  <c r="H12" i="17"/>
  <c r="K12" i="17"/>
  <c r="G48" i="4"/>
  <c r="H48" i="4"/>
  <c r="K48" i="4"/>
  <c r="AD48" i="5"/>
  <c r="AF12" i="4"/>
  <c r="AE12" i="4"/>
  <c r="AI12" i="4"/>
  <c r="AF10" i="18"/>
  <c r="AE10" i="18"/>
  <c r="AI10" i="18"/>
  <c r="O12" i="4"/>
  <c r="S12" i="4"/>
  <c r="P12" i="4"/>
  <c r="BR12" i="9"/>
  <c r="O12" i="18"/>
  <c r="P12" i="18"/>
  <c r="S12" i="18"/>
  <c r="H10" i="14"/>
  <c r="K10" i="14"/>
  <c r="G49" i="17"/>
  <c r="K49" i="17"/>
  <c r="S49" i="6"/>
  <c r="O49" i="6"/>
  <c r="V19" i="6"/>
  <c r="V20" i="6" s="1"/>
  <c r="AM9" i="9"/>
  <c r="AN9" i="9"/>
  <c r="AQ9" i="9"/>
  <c r="P5" i="18"/>
  <c r="O5" i="18"/>
  <c r="S5" i="18"/>
  <c r="X52" i="6"/>
  <c r="W52" i="6"/>
  <c r="AA52" i="6"/>
  <c r="AI23" i="18"/>
  <c r="AE23" i="18"/>
  <c r="AF23" i="18"/>
  <c r="AT56" i="6"/>
  <c r="AA46" i="14"/>
  <c r="V57" i="14"/>
  <c r="X57" i="14" s="1"/>
  <c r="X46" i="14"/>
  <c r="AD46" i="5"/>
  <c r="AD50" i="5"/>
  <c r="AM50" i="5" s="1"/>
  <c r="AU50" i="5" s="1"/>
  <c r="AA50" i="4"/>
  <c r="AN50" i="4"/>
  <c r="AV50" i="4" s="1"/>
  <c r="W50" i="4"/>
  <c r="X50" i="4"/>
  <c r="AV50" i="9"/>
  <c r="AY50" i="9"/>
  <c r="AU50" i="9"/>
  <c r="BR26" i="9"/>
  <c r="P26" i="6"/>
  <c r="O26" i="6"/>
  <c r="S26" i="6"/>
  <c r="AI27" i="4"/>
  <c r="AF27" i="4"/>
  <c r="AE27" i="4"/>
  <c r="AN27" i="9"/>
  <c r="AQ27" i="9"/>
  <c r="AM27" i="9"/>
  <c r="AQ49" i="18"/>
  <c r="AM49" i="18"/>
  <c r="AA29" i="14"/>
  <c r="X29" i="14"/>
  <c r="X25" i="14"/>
  <c r="AA25" i="14"/>
  <c r="X25" i="18"/>
  <c r="W25" i="18"/>
  <c r="AA25" i="18"/>
  <c r="AA25" i="6"/>
  <c r="X25" i="6"/>
  <c r="W25" i="6"/>
  <c r="AD37" i="5"/>
  <c r="AM37" i="5" s="1"/>
  <c r="AU37" i="5" s="1"/>
  <c r="AD18" i="5"/>
  <c r="BR27" i="9"/>
  <c r="AN28" i="18"/>
  <c r="AQ28" i="18"/>
  <c r="AM28" i="18"/>
  <c r="AT25" i="6"/>
  <c r="AN43" i="6"/>
  <c r="AQ43" i="6"/>
  <c r="AM43" i="6"/>
  <c r="AA56" i="14"/>
  <c r="X56" i="14"/>
  <c r="AF46" i="9"/>
  <c r="AI46" i="9"/>
  <c r="AD57" i="9"/>
  <c r="AF57" i="9" s="1"/>
  <c r="AE46" i="9"/>
  <c r="AF32" i="9"/>
  <c r="AE32" i="9"/>
  <c r="AI32" i="9"/>
  <c r="X32" i="18"/>
  <c r="W32" i="18"/>
  <c r="AA32" i="18"/>
  <c r="X36" i="5"/>
  <c r="AA36" i="5"/>
  <c r="W36" i="5"/>
  <c r="P33" i="14"/>
  <c r="S33" i="14"/>
  <c r="P33" i="6"/>
  <c r="O33" i="6"/>
  <c r="S33" i="6"/>
  <c r="W33" i="5"/>
  <c r="AA33" i="5"/>
  <c r="X33" i="5"/>
  <c r="AI35" i="4"/>
  <c r="AF35" i="4"/>
  <c r="AE35" i="4"/>
  <c r="AE37" i="6"/>
  <c r="AF37" i="6"/>
  <c r="AI37" i="6"/>
  <c r="AF37" i="4"/>
  <c r="AI37" i="4"/>
  <c r="AE37" i="4"/>
  <c r="H37" i="14"/>
  <c r="K37" i="14"/>
  <c r="H38" i="14"/>
  <c r="K38" i="14"/>
  <c r="H38" i="5"/>
  <c r="K38" i="5"/>
  <c r="G38" i="5"/>
  <c r="AA11" i="6"/>
  <c r="X11" i="6"/>
  <c r="W11" i="6"/>
  <c r="AF11" i="4"/>
  <c r="AI11" i="4"/>
  <c r="AE11" i="4"/>
  <c r="G56" i="18"/>
  <c r="H56" i="18"/>
  <c r="K56" i="18"/>
  <c r="W9" i="4"/>
  <c r="AA9" i="4"/>
  <c r="X9" i="4"/>
  <c r="AT44" i="18"/>
  <c r="BB44" i="18" s="1"/>
  <c r="K44" i="18"/>
  <c r="G44" i="18"/>
  <c r="H44" i="18"/>
  <c r="BR43" i="9"/>
  <c r="AT50" i="6"/>
  <c r="AA44" i="18"/>
  <c r="X44" i="18"/>
  <c r="W44" i="18"/>
  <c r="AI56" i="18"/>
  <c r="AF56" i="18"/>
  <c r="AE56" i="18"/>
  <c r="H40" i="6"/>
  <c r="K40" i="6"/>
  <c r="G40" i="6"/>
  <c r="N40" i="17"/>
  <c r="G40" i="9"/>
  <c r="K40" i="9"/>
  <c r="H40" i="9"/>
  <c r="H44" i="4"/>
  <c r="G44" i="4"/>
  <c r="K44" i="4"/>
  <c r="AD28" i="5"/>
  <c r="AM28" i="5" s="1"/>
  <c r="AU28" i="5" s="1"/>
  <c r="AD49" i="5"/>
  <c r="AM49" i="5" s="1"/>
  <c r="AU49" i="5" s="1"/>
  <c r="V48" i="17"/>
  <c r="AD48" i="17" s="1"/>
  <c r="S48" i="17"/>
  <c r="O48" i="17"/>
  <c r="AI48" i="6"/>
  <c r="AF48" i="6"/>
  <c r="AE48" i="6"/>
  <c r="H33" i="6"/>
  <c r="K33" i="6"/>
  <c r="G33" i="6"/>
  <c r="AQ35" i="6"/>
  <c r="AM35" i="6"/>
  <c r="AN35" i="6"/>
  <c r="G38" i="9"/>
  <c r="H38" i="9"/>
  <c r="K38" i="9"/>
  <c r="H43" i="9"/>
  <c r="G43" i="9"/>
  <c r="K43" i="9"/>
  <c r="H56" i="4"/>
  <c r="G56" i="4"/>
  <c r="K56" i="4"/>
  <c r="S56" i="9"/>
  <c r="O56" i="9"/>
  <c r="AA56" i="5"/>
  <c r="W56" i="5"/>
  <c r="K47" i="9"/>
  <c r="G47" i="9"/>
  <c r="H47" i="9"/>
  <c r="AE47" i="9"/>
  <c r="AI47" i="9"/>
  <c r="AF47" i="9"/>
  <c r="AI46" i="6"/>
  <c r="AD57" i="6"/>
  <c r="AF57" i="6" s="1"/>
  <c r="AF46" i="6"/>
  <c r="AE46" i="6"/>
  <c r="AQ46" i="6"/>
  <c r="AN46" i="6"/>
  <c r="AL57" i="6"/>
  <c r="AN57" i="6" s="1"/>
  <c r="AM46" i="6"/>
  <c r="X50" i="5"/>
  <c r="W50" i="5"/>
  <c r="AA50" i="5"/>
  <c r="W7" i="18"/>
  <c r="X7" i="18"/>
  <c r="AA7" i="18"/>
  <c r="AN33" i="6"/>
  <c r="AQ33" i="6"/>
  <c r="AM33" i="6"/>
  <c r="P5" i="6"/>
  <c r="S5" i="6"/>
  <c r="O5" i="6"/>
  <c r="AE6" i="4"/>
  <c r="AI6" i="4"/>
  <c r="AF6" i="4"/>
  <c r="AM55" i="9"/>
  <c r="AN55" i="9"/>
  <c r="AQ55" i="9"/>
  <c r="AQ6" i="6"/>
  <c r="AN6" i="6"/>
  <c r="AM6" i="6"/>
  <c r="K53" i="17"/>
  <c r="H53" i="17"/>
  <c r="G53" i="17"/>
  <c r="W5" i="4"/>
  <c r="X5" i="4"/>
  <c r="AA5" i="4"/>
  <c r="S7" i="5"/>
  <c r="O7" i="5"/>
  <c r="P7" i="5"/>
  <c r="O53" i="4"/>
  <c r="P53" i="4"/>
  <c r="S53" i="4"/>
  <c r="AA12" i="4"/>
  <c r="X12" i="4"/>
  <c r="W12" i="4"/>
  <c r="X10" i="5"/>
  <c r="AA10" i="5"/>
  <c r="W10" i="5"/>
  <c r="AM5" i="18"/>
  <c r="AQ5" i="18"/>
  <c r="AL13" i="18"/>
  <c r="AN13" i="18" s="1"/>
  <c r="S26" i="14"/>
  <c r="P26" i="14"/>
  <c r="BG53" i="9"/>
  <c r="BC53" i="9"/>
  <c r="BJ53" i="9"/>
  <c r="AA6" i="6"/>
  <c r="W6" i="6"/>
  <c r="X6" i="6"/>
  <c r="K53" i="6"/>
  <c r="H53" i="6"/>
  <c r="G53" i="6"/>
  <c r="P6" i="14"/>
  <c r="S6" i="14"/>
  <c r="S6" i="6"/>
  <c r="P6" i="6"/>
  <c r="O6" i="6"/>
  <c r="P55" i="9"/>
  <c r="O55" i="9"/>
  <c r="S55" i="9"/>
  <c r="F26" i="6"/>
  <c r="AA54" i="5"/>
  <c r="W54" i="5"/>
  <c r="AK19" i="4"/>
  <c r="AK20" i="4" s="1"/>
  <c r="P24" i="5"/>
  <c r="S24" i="5"/>
  <c r="O24" i="5"/>
  <c r="H26" i="17"/>
  <c r="G26" i="17"/>
  <c r="K26" i="17"/>
  <c r="AA32" i="4"/>
  <c r="W32" i="4"/>
  <c r="X32" i="4"/>
  <c r="AN32" i="4"/>
  <c r="AV32" i="4" s="1"/>
  <c r="AL19" i="18"/>
  <c r="AA19" i="14"/>
  <c r="X19" i="14"/>
  <c r="AD14" i="18"/>
  <c r="P26" i="17"/>
  <c r="S26" i="17"/>
  <c r="O26" i="17"/>
  <c r="V26" i="17"/>
  <c r="AD26" i="17" s="1"/>
  <c r="AY28" i="9"/>
  <c r="AU28" i="9"/>
  <c r="AQ19" i="6"/>
  <c r="AN19" i="6"/>
  <c r="AM19" i="6"/>
  <c r="AN26" i="9"/>
  <c r="AM26" i="9"/>
  <c r="AQ26" i="9"/>
  <c r="AA28" i="18"/>
  <c r="X28" i="18"/>
  <c r="W28" i="18"/>
  <c r="X25" i="4"/>
  <c r="W25" i="4"/>
  <c r="AA25" i="4"/>
  <c r="AN25" i="4"/>
  <c r="AV25" i="4" s="1"/>
  <c r="AA33" i="18"/>
  <c r="W33" i="18"/>
  <c r="X33" i="18"/>
  <c r="F19" i="4"/>
  <c r="G18" i="17"/>
  <c r="F20" i="17"/>
  <c r="H18" i="17"/>
  <c r="K18" i="17"/>
  <c r="W24" i="5"/>
  <c r="X24" i="5"/>
  <c r="AA24" i="5"/>
  <c r="P26" i="4"/>
  <c r="O26" i="4"/>
  <c r="S26" i="4"/>
  <c r="G28" i="17"/>
  <c r="H28" i="17"/>
  <c r="K28" i="17"/>
  <c r="X24" i="9"/>
  <c r="AA24" i="9"/>
  <c r="W24" i="9"/>
  <c r="S22" i="5"/>
  <c r="O22" i="5"/>
  <c r="P22" i="5"/>
  <c r="AN26" i="6"/>
  <c r="AQ26" i="6"/>
  <c r="AM26" i="6"/>
  <c r="BG50" i="9"/>
  <c r="BC50" i="9"/>
  <c r="BJ50" i="9"/>
  <c r="K53" i="9"/>
  <c r="H53" i="9"/>
  <c r="G53" i="9"/>
  <c r="AM15" i="18"/>
  <c r="AQ15" i="18"/>
  <c r="AI18" i="6"/>
  <c r="AF18" i="6"/>
  <c r="AE18" i="6"/>
  <c r="AA22" i="9"/>
  <c r="W22" i="9"/>
  <c r="X22" i="9"/>
  <c r="X22" i="14"/>
  <c r="AA22" i="14"/>
  <c r="S28" i="18"/>
  <c r="O28" i="18"/>
  <c r="P28" i="18"/>
  <c r="AU54" i="9"/>
  <c r="AV54" i="9"/>
  <c r="AY54" i="9"/>
  <c r="S49" i="18"/>
  <c r="P49" i="18"/>
  <c r="O49" i="18"/>
  <c r="V54" i="17"/>
  <c r="AD54" i="17" s="1"/>
  <c r="P54" i="17"/>
  <c r="O54" i="17"/>
  <c r="S54" i="17"/>
  <c r="K48" i="17"/>
  <c r="G48" i="17"/>
  <c r="G10" i="4"/>
  <c r="K10" i="4"/>
  <c r="H10" i="4"/>
  <c r="AF12" i="6"/>
  <c r="AE12" i="6"/>
  <c r="AI12" i="6"/>
  <c r="H10" i="18"/>
  <c r="K10" i="18"/>
  <c r="G10" i="18"/>
  <c r="AT10" i="18"/>
  <c r="BB10" i="18" s="1"/>
  <c r="K54" i="5"/>
  <c r="G54" i="5"/>
  <c r="G49" i="6"/>
  <c r="K49" i="6"/>
  <c r="AQ49" i="9"/>
  <c r="AM49" i="9"/>
  <c r="BD44" i="9"/>
  <c r="BG44" i="9"/>
  <c r="BC44" i="9"/>
  <c r="BJ44" i="9"/>
  <c r="AQ25" i="18"/>
  <c r="AM25" i="18"/>
  <c r="H47" i="6"/>
  <c r="G47" i="6"/>
  <c r="K47" i="6"/>
  <c r="X56" i="4"/>
  <c r="W56" i="4"/>
  <c r="AA56" i="4"/>
  <c r="AN56" i="4"/>
  <c r="AV56" i="4" s="1"/>
  <c r="G49" i="9"/>
  <c r="K49" i="9"/>
  <c r="S40" i="14"/>
  <c r="P40" i="14"/>
  <c r="X50" i="6"/>
  <c r="AA50" i="6"/>
  <c r="W50" i="6"/>
  <c r="H56" i="17"/>
  <c r="K56" i="17"/>
  <c r="G56" i="17"/>
  <c r="H47" i="17"/>
  <c r="K47" i="17"/>
  <c r="G47" i="17"/>
  <c r="S56" i="18"/>
  <c r="P56" i="18"/>
  <c r="O56" i="18"/>
  <c r="K38" i="17"/>
  <c r="G38" i="17"/>
  <c r="H38" i="17"/>
  <c r="S50" i="4"/>
  <c r="O50" i="4"/>
  <c r="P50" i="4"/>
  <c r="H41" i="9"/>
  <c r="G41" i="9"/>
  <c r="K41" i="9"/>
  <c r="AA53" i="6"/>
  <c r="X53" i="6"/>
  <c r="W53" i="6"/>
  <c r="AF16" i="6"/>
  <c r="AI16" i="6"/>
  <c r="AE16" i="6"/>
  <c r="BJ38" i="9"/>
  <c r="AY38" i="9"/>
  <c r="AV38" i="9"/>
  <c r="AU38" i="9"/>
  <c r="K52" i="6"/>
  <c r="G52" i="6"/>
  <c r="H52" i="6"/>
  <c r="V34" i="5"/>
  <c r="AE35" i="6"/>
  <c r="AF35" i="6"/>
  <c r="AI35" i="6"/>
  <c r="O9" i="17"/>
  <c r="V9" i="17"/>
  <c r="AD9" i="17" s="1"/>
  <c r="S9" i="17"/>
  <c r="P9" i="17"/>
  <c r="AE49" i="6"/>
  <c r="AI49" i="6"/>
  <c r="S43" i="4"/>
  <c r="O43" i="4"/>
  <c r="P43" i="4"/>
  <c r="S56" i="5"/>
  <c r="O56" i="5"/>
  <c r="BR50" i="9"/>
  <c r="BD7" i="9"/>
  <c r="BC7" i="9"/>
  <c r="BG7" i="9"/>
  <c r="AQ24" i="9"/>
  <c r="AN24" i="9"/>
  <c r="AM24" i="9"/>
  <c r="H35" i="9"/>
  <c r="K35" i="9"/>
  <c r="G35" i="9"/>
  <c r="G52" i="5"/>
  <c r="K52" i="5"/>
  <c r="H52" i="5"/>
  <c r="X52" i="9"/>
  <c r="AA52" i="9"/>
  <c r="W52" i="9"/>
  <c r="AQ52" i="18"/>
  <c r="AM52" i="18"/>
  <c r="AT52" i="6"/>
  <c r="N5" i="5"/>
  <c r="N8" i="4"/>
  <c r="AA12" i="9"/>
  <c r="W12" i="9"/>
  <c r="X12" i="9"/>
  <c r="AM56" i="9"/>
  <c r="AQ56" i="9"/>
  <c r="AN56" i="9"/>
  <c r="AD43" i="5"/>
  <c r="AM43" i="5" s="1"/>
  <c r="AU43" i="5" s="1"/>
  <c r="AA52" i="14"/>
  <c r="X52" i="14"/>
  <c r="S51" i="14"/>
  <c r="P51" i="14"/>
  <c r="AM9" i="18"/>
  <c r="AQ9" i="18"/>
  <c r="S47" i="9"/>
  <c r="P47" i="9"/>
  <c r="O47" i="9"/>
  <c r="G14" i="6"/>
  <c r="H14" i="6"/>
  <c r="K14" i="6"/>
  <c r="AA14" i="6"/>
  <c r="X14" i="6"/>
  <c r="W14" i="6"/>
  <c r="H36" i="17"/>
  <c r="G36" i="17"/>
  <c r="K36" i="17"/>
  <c r="H50" i="17"/>
  <c r="K50" i="17"/>
  <c r="G50" i="17"/>
  <c r="K50" i="14"/>
  <c r="H50" i="14"/>
  <c r="BR51" i="9"/>
  <c r="G51" i="5"/>
  <c r="H51" i="5"/>
  <c r="K51" i="5"/>
  <c r="AD33" i="5"/>
  <c r="AM33" i="5" s="1"/>
  <c r="AU33" i="5" s="1"/>
  <c r="AT46" i="6"/>
  <c r="AQ50" i="6"/>
  <c r="AM50" i="6"/>
  <c r="K51" i="4"/>
  <c r="G51" i="4"/>
  <c r="H51" i="4"/>
  <c r="O48" i="4"/>
  <c r="S48" i="4"/>
  <c r="P25" i="17"/>
  <c r="S25" i="17"/>
  <c r="O25" i="17"/>
  <c r="V25" i="17"/>
  <c r="AD25" i="17" s="1"/>
  <c r="AF25" i="6"/>
  <c r="AE25" i="6"/>
  <c r="AI25" i="6"/>
  <c r="AD5" i="5"/>
  <c r="AQ24" i="18"/>
  <c r="AM24" i="18"/>
  <c r="P48" i="18"/>
  <c r="O48" i="18"/>
  <c r="S48" i="18"/>
  <c r="AT43" i="6"/>
  <c r="AN43" i="9"/>
  <c r="AM43" i="9"/>
  <c r="AQ43" i="9"/>
  <c r="AE56" i="6"/>
  <c r="AI56" i="6"/>
  <c r="AF56" i="6"/>
  <c r="P47" i="14"/>
  <c r="S47" i="14"/>
  <c r="AM32" i="18"/>
  <c r="AQ32" i="18"/>
  <c r="S46" i="14"/>
  <c r="P46" i="14"/>
  <c r="N57" i="14"/>
  <c r="P57" i="14" s="1"/>
  <c r="AF33" i="9"/>
  <c r="AI33" i="9"/>
  <c r="AE33" i="9"/>
  <c r="W33" i="4"/>
  <c r="AA33" i="4"/>
  <c r="X33" i="4"/>
  <c r="AN33" i="4"/>
  <c r="AV33" i="4" s="1"/>
  <c r="P35" i="6"/>
  <c r="S35" i="6"/>
  <c r="O35" i="6"/>
  <c r="G35" i="4"/>
  <c r="K35" i="4"/>
  <c r="H35" i="4"/>
  <c r="W37" i="18"/>
  <c r="AA37" i="18"/>
  <c r="X37" i="18"/>
  <c r="H37" i="9"/>
  <c r="K37" i="9"/>
  <c r="G37" i="9"/>
  <c r="K37" i="4"/>
  <c r="G37" i="4"/>
  <c r="H37" i="4"/>
  <c r="AT37" i="6"/>
  <c r="P38" i="14"/>
  <c r="S38" i="14"/>
  <c r="H11" i="9"/>
  <c r="K11" i="9"/>
  <c r="G11" i="9"/>
  <c r="V44" i="17"/>
  <c r="AD44" i="17" s="1"/>
  <c r="O44" i="17"/>
  <c r="P44" i="17"/>
  <c r="S44" i="17"/>
  <c r="AM44" i="6"/>
  <c r="AN44" i="6"/>
  <c r="AQ44" i="6"/>
  <c r="BR46" i="9"/>
  <c r="AF44" i="6"/>
  <c r="AE44" i="6"/>
  <c r="AI44" i="6"/>
  <c r="AT11" i="6"/>
  <c r="H40" i="5"/>
  <c r="K40" i="5"/>
  <c r="G40" i="5"/>
  <c r="O40" i="6"/>
  <c r="S40" i="6"/>
  <c r="P40" i="6"/>
  <c r="N45" i="6"/>
  <c r="P45" i="6" s="1"/>
  <c r="X40" i="18"/>
  <c r="W40" i="18"/>
  <c r="AA40" i="18"/>
  <c r="AY40" i="9"/>
  <c r="AV40" i="9"/>
  <c r="AU40" i="9"/>
  <c r="AD41" i="5"/>
  <c r="P41" i="17"/>
  <c r="S41" i="17"/>
  <c r="O41" i="17"/>
  <c r="V41" i="17"/>
  <c r="AD41" i="17" s="1"/>
  <c r="AA41" i="5"/>
  <c r="X41" i="5"/>
  <c r="W41" i="5"/>
  <c r="AE41" i="4"/>
  <c r="AI41" i="4"/>
  <c r="AF41" i="4"/>
  <c r="W44" i="9"/>
  <c r="AA44" i="9"/>
  <c r="X44" i="9"/>
  <c r="O50" i="18"/>
  <c r="S50" i="18"/>
  <c r="P50" i="18"/>
  <c r="AD22" i="5"/>
  <c r="AM22" i="5" s="1"/>
  <c r="AU22" i="5" s="1"/>
  <c r="BR54" i="9"/>
  <c r="O48" i="6"/>
  <c r="S48" i="6"/>
  <c r="P48" i="6"/>
  <c r="H48" i="9"/>
  <c r="G48" i="9"/>
  <c r="K48" i="9"/>
  <c r="X35" i="4"/>
  <c r="W35" i="4"/>
  <c r="AA35" i="4"/>
  <c r="AN35" i="4"/>
  <c r="AV35" i="4" s="1"/>
  <c r="AA35" i="5"/>
  <c r="W35" i="5"/>
  <c r="X35" i="5"/>
  <c r="AF35" i="18"/>
  <c r="AE35" i="18"/>
  <c r="AI35" i="18"/>
  <c r="P37" i="17"/>
  <c r="O37" i="17"/>
  <c r="V37" i="17"/>
  <c r="AD37" i="17" s="1"/>
  <c r="S37" i="17"/>
  <c r="BJ43" i="9"/>
  <c r="AY43" i="9"/>
  <c r="AU43" i="9"/>
  <c r="AV43" i="9"/>
  <c r="G56" i="6"/>
  <c r="H56" i="6"/>
  <c r="K56" i="6"/>
  <c r="S56" i="14"/>
  <c r="P56" i="14"/>
  <c r="BJ47" i="9"/>
  <c r="AU47" i="9"/>
  <c r="AY47" i="9"/>
  <c r="AV47" i="9"/>
  <c r="K46" i="9"/>
  <c r="G46" i="9"/>
  <c r="F57" i="9"/>
  <c r="H57" i="9" s="1"/>
  <c r="X28" i="4"/>
  <c r="W28" i="4"/>
  <c r="AA28" i="4"/>
  <c r="AN28" i="4"/>
  <c r="AV28" i="4" s="1"/>
  <c r="V13" i="9"/>
  <c r="X13" i="9" s="1"/>
  <c r="X5" i="9"/>
  <c r="W5" i="9"/>
  <c r="AA5" i="9"/>
  <c r="P10" i="18"/>
  <c r="S10" i="18"/>
  <c r="O10" i="18"/>
  <c r="S6" i="5"/>
  <c r="P6" i="5"/>
  <c r="O6" i="5"/>
  <c r="K6" i="14"/>
  <c r="H6" i="14"/>
  <c r="G55" i="4"/>
  <c r="H55" i="4"/>
  <c r="K55" i="4"/>
  <c r="X55" i="5"/>
  <c r="W55" i="5"/>
  <c r="AA55" i="5"/>
  <c r="K53" i="4"/>
  <c r="G53" i="4"/>
  <c r="H53" i="4"/>
  <c r="P53" i="5"/>
  <c r="S53" i="5"/>
  <c r="O53" i="5"/>
  <c r="AT26" i="6"/>
  <c r="AI6" i="6"/>
  <c r="AE6" i="6"/>
  <c r="AF6" i="6"/>
  <c r="AE7" i="9"/>
  <c r="AI7" i="9"/>
  <c r="AF7" i="9"/>
  <c r="AF55" i="9"/>
  <c r="AI55" i="9"/>
  <c r="AE55" i="9"/>
  <c r="K7" i="18"/>
  <c r="G7" i="18"/>
  <c r="H7" i="18"/>
  <c r="AT7" i="18"/>
  <c r="BB7" i="18" s="1"/>
  <c r="BC38" i="9"/>
  <c r="BD38" i="9"/>
  <c r="BG38" i="9"/>
  <c r="BJ7" i="9"/>
  <c r="AY7" i="9"/>
  <c r="AU7" i="9"/>
  <c r="AV7" i="9"/>
  <c r="P12" i="17"/>
  <c r="S12" i="17"/>
  <c r="O12" i="17"/>
  <c r="V12" i="17"/>
  <c r="AD12" i="17" s="1"/>
  <c r="AN14" i="9"/>
  <c r="AM14" i="9"/>
  <c r="AQ14" i="9"/>
  <c r="K6" i="9"/>
  <c r="H6" i="9"/>
  <c r="G6" i="9"/>
  <c r="S7" i="4"/>
  <c r="O7" i="4"/>
  <c r="P7" i="4"/>
  <c r="G5" i="5"/>
  <c r="H5" i="5"/>
  <c r="K5" i="5"/>
  <c r="F13" i="5"/>
  <c r="H13" i="5" s="1"/>
  <c r="X6" i="5"/>
  <c r="AA6" i="5"/>
  <c r="W6" i="5"/>
  <c r="AN7" i="9"/>
  <c r="AM7" i="9"/>
  <c r="AQ7" i="9"/>
  <c r="H55" i="17"/>
  <c r="G55" i="17"/>
  <c r="K55" i="17"/>
  <c r="H7" i="6"/>
  <c r="G7" i="6"/>
  <c r="K7" i="6"/>
  <c r="P55" i="14"/>
  <c r="S55" i="14"/>
  <c r="AE53" i="18"/>
  <c r="AI53" i="18"/>
  <c r="AA7" i="5"/>
  <c r="X7" i="5"/>
  <c r="W7" i="5"/>
  <c r="O14" i="9"/>
  <c r="S14" i="9"/>
  <c r="P14" i="9"/>
  <c r="P55" i="5"/>
  <c r="O55" i="5"/>
  <c r="S55" i="5"/>
  <c r="G37" i="18"/>
  <c r="K37" i="18"/>
  <c r="H37" i="18"/>
  <c r="AT37" i="18"/>
  <c r="BB37" i="18" s="1"/>
  <c r="K15" i="9"/>
  <c r="G15" i="9"/>
  <c r="H15" i="9"/>
  <c r="BR6" i="9"/>
  <c r="H55" i="18"/>
  <c r="G55" i="18"/>
  <c r="K55" i="18"/>
  <c r="P33" i="18"/>
  <c r="O33" i="18"/>
  <c r="S33" i="18"/>
  <c r="H15" i="5"/>
  <c r="G15" i="5"/>
  <c r="K15" i="5"/>
  <c r="AM24" i="6"/>
  <c r="AN24" i="6"/>
  <c r="AQ24" i="6"/>
  <c r="AA26" i="14"/>
  <c r="X26" i="14"/>
  <c r="G27" i="5"/>
  <c r="H27" i="5"/>
  <c r="K27" i="5"/>
  <c r="AT28" i="6"/>
  <c r="O32" i="9"/>
  <c r="S32" i="9"/>
  <c r="P32" i="9"/>
  <c r="K33" i="9"/>
  <c r="G33" i="9"/>
  <c r="H33" i="9"/>
  <c r="V20" i="4"/>
  <c r="X18" i="4"/>
  <c r="W18" i="4"/>
  <c r="AA18" i="4"/>
  <c r="BJ25" i="9"/>
  <c r="AY25" i="9"/>
  <c r="AU25" i="9"/>
  <c r="AV25" i="9"/>
  <c r="K32" i="9"/>
  <c r="G32" i="9"/>
  <c r="H32" i="9"/>
  <c r="AI15" i="4"/>
  <c r="AF15" i="4"/>
  <c r="AE15" i="4"/>
  <c r="H26" i="18"/>
  <c r="G26" i="18"/>
  <c r="K26" i="18"/>
  <c r="AT26" i="18"/>
  <c r="BB26" i="18" s="1"/>
  <c r="G28" i="9"/>
  <c r="K28" i="9"/>
  <c r="H28" i="9"/>
  <c r="X32" i="5"/>
  <c r="AA32" i="5"/>
  <c r="W32" i="5"/>
  <c r="AQ27" i="6"/>
  <c r="AM27" i="6"/>
  <c r="AN27" i="6"/>
  <c r="AI32" i="4"/>
  <c r="AE32" i="4"/>
  <c r="AF32" i="4"/>
  <c r="AA15" i="18"/>
  <c r="W15" i="18"/>
  <c r="P53" i="9"/>
  <c r="S53" i="9"/>
  <c r="O53" i="9"/>
  <c r="BG46" i="9"/>
  <c r="BC46" i="9"/>
  <c r="BB57" i="9"/>
  <c r="BD57" i="9" s="1"/>
  <c r="BD46" i="9"/>
  <c r="BJ46" i="9"/>
  <c r="AI53" i="6"/>
  <c r="AE53" i="6"/>
  <c r="AF53" i="6"/>
  <c r="H12" i="5"/>
  <c r="G12" i="5"/>
  <c r="K12" i="5"/>
  <c r="K15" i="14"/>
  <c r="H15" i="14"/>
  <c r="AM18" i="6"/>
  <c r="AL20" i="6"/>
  <c r="AQ18" i="6"/>
  <c r="AN18" i="6"/>
  <c r="G18" i="9"/>
  <c r="K18" i="9"/>
  <c r="F20" i="9"/>
  <c r="H18" i="9"/>
  <c r="H22" i="14"/>
  <c r="K22" i="14"/>
  <c r="S49" i="4"/>
  <c r="O49" i="4"/>
  <c r="AM54" i="9"/>
  <c r="AN54" i="9"/>
  <c r="AQ54" i="9"/>
  <c r="K48" i="6"/>
  <c r="H48" i="6"/>
  <c r="G48" i="6"/>
  <c r="AT48" i="6"/>
  <c r="X12" i="5"/>
  <c r="W12" i="5"/>
  <c r="AA12" i="5"/>
  <c r="K12" i="14"/>
  <c r="H12" i="14"/>
  <c r="K12" i="9"/>
  <c r="H12" i="9"/>
  <c r="G12" i="9"/>
  <c r="K10" i="17"/>
  <c r="H10" i="17"/>
  <c r="G10" i="17"/>
  <c r="AM54" i="18"/>
  <c r="AQ54" i="18"/>
  <c r="AI49" i="9"/>
  <c r="AE49" i="9"/>
  <c r="BC40" i="9"/>
  <c r="BG40" i="9"/>
  <c r="BD40" i="9"/>
  <c r="BJ40" i="9"/>
  <c r="X6" i="4"/>
  <c r="AA6" i="4"/>
  <c r="W6" i="4"/>
  <c r="AN6" i="4"/>
  <c r="AV6" i="4" s="1"/>
  <c r="AQ31" i="9"/>
  <c r="AM31" i="9"/>
  <c r="AN31" i="9"/>
  <c r="K38" i="4"/>
  <c r="G38" i="4"/>
  <c r="H38" i="4"/>
  <c r="K32" i="6"/>
  <c r="H32" i="6"/>
  <c r="G32" i="6"/>
  <c r="F11" i="4"/>
  <c r="AN11" i="4" s="1"/>
  <c r="AV11" i="4" s="1"/>
  <c r="G46" i="17"/>
  <c r="K46" i="17"/>
  <c r="H46" i="17"/>
  <c r="F57" i="17"/>
  <c r="H57" i="17" s="1"/>
  <c r="AE51" i="9"/>
  <c r="AI51" i="9"/>
  <c r="AF51" i="9"/>
  <c r="H27" i="17"/>
  <c r="G27" i="17"/>
  <c r="K27" i="17"/>
  <c r="P37" i="4"/>
  <c r="O37" i="4"/>
  <c r="S37" i="4"/>
  <c r="X44" i="6"/>
  <c r="AA44" i="6"/>
  <c r="W44" i="6"/>
  <c r="X40" i="14"/>
  <c r="AA40" i="14"/>
  <c r="S44" i="4"/>
  <c r="P44" i="4"/>
  <c r="O44" i="4"/>
  <c r="F57" i="4"/>
  <c r="H57" i="4" s="1"/>
  <c r="G54" i="4"/>
  <c r="K54" i="4"/>
  <c r="AN10" i="6"/>
  <c r="AQ10" i="6"/>
  <c r="AM10" i="6"/>
  <c r="AA22" i="6"/>
  <c r="W22" i="6"/>
  <c r="X22" i="6"/>
  <c r="AE51" i="4"/>
  <c r="AI51" i="4"/>
  <c r="AF51" i="4"/>
  <c r="AM48" i="6"/>
  <c r="AQ48" i="6"/>
  <c r="AN48" i="6"/>
  <c r="X54" i="9"/>
  <c r="W54" i="9"/>
  <c r="AA54" i="9"/>
  <c r="AT34" i="6"/>
  <c r="H40" i="17"/>
  <c r="K40" i="17"/>
  <c r="G40" i="17"/>
  <c r="AA53" i="9"/>
  <c r="X53" i="9"/>
  <c r="W53" i="9"/>
  <c r="BD24" i="9"/>
  <c r="BC24" i="9"/>
  <c r="BG24" i="9"/>
  <c r="BJ24" i="9"/>
  <c r="BR5" i="9"/>
  <c r="P15" i="14"/>
  <c r="S15" i="14"/>
  <c r="G10" i="9"/>
  <c r="H10" i="9"/>
  <c r="K10" i="9"/>
  <c r="H9" i="5"/>
  <c r="K9" i="5"/>
  <c r="G9" i="5"/>
  <c r="P19" i="18"/>
  <c r="O19" i="18"/>
  <c r="S19" i="18"/>
  <c r="AD26" i="6"/>
  <c r="X24" i="6"/>
  <c r="W24" i="6"/>
  <c r="AA24" i="6"/>
  <c r="S22" i="14"/>
  <c r="P22" i="14"/>
  <c r="X47" i="6"/>
  <c r="W47" i="6"/>
  <c r="AA47" i="6"/>
  <c r="P50" i="17"/>
  <c r="O50" i="17"/>
  <c r="S50" i="17"/>
  <c r="V50" i="17"/>
  <c r="AD50" i="17" s="1"/>
  <c r="G52" i="9"/>
  <c r="H52" i="9"/>
  <c r="K52" i="9"/>
  <c r="AT31" i="6"/>
  <c r="AD20" i="9"/>
  <c r="AI18" i="9"/>
  <c r="AE18" i="9"/>
  <c r="AF18" i="9"/>
  <c r="AK12" i="4"/>
  <c r="AN12" i="4" s="1"/>
  <c r="AV12" i="4" s="1"/>
  <c r="AF24" i="9"/>
  <c r="AE24" i="9"/>
  <c r="AI24" i="9"/>
  <c r="BR22" i="9"/>
  <c r="AN35" i="9"/>
  <c r="AM35" i="9"/>
  <c r="AQ35" i="9"/>
  <c r="V42" i="6"/>
  <c r="W9" i="9"/>
  <c r="AA9" i="9"/>
  <c r="X9" i="9"/>
  <c r="BG49" i="9"/>
  <c r="BC49" i="9"/>
  <c r="BC41" i="9"/>
  <c r="BG41" i="9"/>
  <c r="BD41" i="9"/>
  <c r="P9" i="5"/>
  <c r="O9" i="5"/>
  <c r="S9" i="5"/>
  <c r="O54" i="6"/>
  <c r="P54" i="6"/>
  <c r="S54" i="6"/>
  <c r="AL29" i="9"/>
  <c r="AA14" i="4"/>
  <c r="W14" i="4"/>
  <c r="X14" i="4"/>
  <c r="P51" i="5"/>
  <c r="O51" i="5"/>
  <c r="S51" i="5"/>
  <c r="O50" i="5"/>
  <c r="S50" i="5"/>
  <c r="P50" i="5"/>
  <c r="AN51" i="6"/>
  <c r="AM51" i="6"/>
  <c r="AQ51" i="6"/>
  <c r="AT51" i="6"/>
  <c r="X51" i="9"/>
  <c r="AA51" i="9"/>
  <c r="W51" i="9"/>
  <c r="AT47" i="18"/>
  <c r="BB47" i="18" s="1"/>
  <c r="AQ47" i="18"/>
  <c r="AM47" i="18"/>
  <c r="K47" i="14"/>
  <c r="H47" i="14"/>
  <c r="S50" i="9"/>
  <c r="P50" i="9"/>
  <c r="O50" i="9"/>
  <c r="S50" i="6"/>
  <c r="P50" i="6"/>
  <c r="O50" i="6"/>
  <c r="G51" i="17"/>
  <c r="K51" i="17"/>
  <c r="H51" i="17"/>
  <c r="S24" i="18"/>
  <c r="P24" i="18"/>
  <c r="O24" i="18"/>
  <c r="S27" i="18"/>
  <c r="O27" i="18"/>
  <c r="P27" i="18"/>
  <c r="S27" i="5"/>
  <c r="O27" i="5"/>
  <c r="P27" i="5"/>
  <c r="AM29" i="18"/>
  <c r="AQ29" i="18"/>
  <c r="S23" i="4"/>
  <c r="P23" i="4"/>
  <c r="O23" i="4"/>
  <c r="AD25" i="5"/>
  <c r="AM25" i="5" s="1"/>
  <c r="AU25" i="5" s="1"/>
  <c r="S25" i="6"/>
  <c r="O25" i="6"/>
  <c r="P25" i="6"/>
  <c r="P25" i="18"/>
  <c r="S25" i="18"/>
  <c r="O25" i="18"/>
  <c r="AI25" i="4"/>
  <c r="AF25" i="4"/>
  <c r="AE25" i="4"/>
  <c r="AD9" i="5"/>
  <c r="AM9" i="5" s="1"/>
  <c r="AU9" i="5" s="1"/>
  <c r="AE38" i="18"/>
  <c r="AF38" i="18"/>
  <c r="AI38" i="18"/>
  <c r="K29" i="18"/>
  <c r="H29" i="18"/>
  <c r="G29" i="18"/>
  <c r="AF29" i="6"/>
  <c r="AE29" i="6"/>
  <c r="AI29" i="6"/>
  <c r="BR25" i="9"/>
  <c r="P44" i="14"/>
  <c r="S44" i="14"/>
  <c r="O43" i="9"/>
  <c r="P43" i="9"/>
  <c r="S43" i="9"/>
  <c r="AF43" i="9"/>
  <c r="AI43" i="9"/>
  <c r="AE43" i="9"/>
  <c r="P32" i="5"/>
  <c r="O32" i="5"/>
  <c r="S32" i="5"/>
  <c r="P32" i="4"/>
  <c r="S32" i="4"/>
  <c r="O32" i="4"/>
  <c r="AD32" i="5"/>
  <c r="AM32" i="5" s="1"/>
  <c r="AU32" i="5" s="1"/>
  <c r="AQ47" i="6"/>
  <c r="AN47" i="6"/>
  <c r="AM47" i="6"/>
  <c r="BJ37" i="9"/>
  <c r="AU37" i="9"/>
  <c r="AV37" i="9"/>
  <c r="AY37" i="9"/>
  <c r="H37" i="17"/>
  <c r="G37" i="17"/>
  <c r="K37" i="17"/>
  <c r="AQ38" i="18"/>
  <c r="AM38" i="18"/>
  <c r="O38" i="6"/>
  <c r="P38" i="6"/>
  <c r="S38" i="6"/>
  <c r="W38" i="18"/>
  <c r="X38" i="18"/>
  <c r="AA38" i="18"/>
  <c r="S11" i="5"/>
  <c r="O11" i="5"/>
  <c r="AY11" i="9"/>
  <c r="AU11" i="9"/>
  <c r="AV11" i="9"/>
  <c r="G11" i="17"/>
  <c r="H11" i="17"/>
  <c r="K11" i="17"/>
  <c r="H44" i="9"/>
  <c r="G44" i="9"/>
  <c r="K44" i="9"/>
  <c r="H44" i="6"/>
  <c r="K44" i="6"/>
  <c r="G44" i="6"/>
  <c r="S52" i="6"/>
  <c r="P52" i="6"/>
  <c r="O52" i="6"/>
  <c r="G43" i="17"/>
  <c r="H43" i="17"/>
  <c r="K43" i="17"/>
  <c r="AI11" i="6"/>
  <c r="AE11" i="6"/>
  <c r="AF11" i="6"/>
  <c r="X40" i="9"/>
  <c r="W40" i="9"/>
  <c r="AA40" i="9"/>
  <c r="AD40" i="5"/>
  <c r="AM40" i="5" s="1"/>
  <c r="AU40" i="5" s="1"/>
  <c r="AM40" i="9"/>
  <c r="AN40" i="9"/>
  <c r="AQ40" i="9"/>
  <c r="S41" i="14"/>
  <c r="P41" i="14"/>
  <c r="K41" i="17"/>
  <c r="H41" i="17"/>
  <c r="G41" i="17"/>
  <c r="AF56" i="4"/>
  <c r="AI56" i="4"/>
  <c r="AE56" i="4"/>
  <c r="AQ22" i="6"/>
  <c r="AN22" i="6"/>
  <c r="AL30" i="6"/>
  <c r="AN30" i="6" s="1"/>
  <c r="AM22" i="6"/>
  <c r="AQ49" i="6"/>
  <c r="AM49" i="6"/>
  <c r="AQ48" i="9"/>
  <c r="AM48" i="9"/>
  <c r="BJ48" i="9"/>
  <c r="AU48" i="9"/>
  <c r="AY48" i="9"/>
  <c r="AV48" i="9"/>
  <c r="X33" i="9"/>
  <c r="W33" i="9"/>
  <c r="AA33" i="9"/>
  <c r="S35" i="14"/>
  <c r="P35" i="14"/>
  <c r="G35" i="18"/>
  <c r="H35" i="18"/>
  <c r="AT35" i="18"/>
  <c r="BB35" i="18" s="1"/>
  <c r="K35" i="18"/>
  <c r="AM37" i="6"/>
  <c r="AQ37" i="6"/>
  <c r="AN37" i="6"/>
  <c r="AN37" i="9"/>
  <c r="AM37" i="9"/>
  <c r="AQ37" i="9"/>
  <c r="AA41" i="18"/>
  <c r="W41" i="18"/>
  <c r="X41" i="18"/>
  <c r="W56" i="9"/>
  <c r="X56" i="9"/>
  <c r="AA56" i="9"/>
  <c r="O47" i="5"/>
  <c r="P47" i="5"/>
  <c r="S47" i="5"/>
  <c r="K46" i="6"/>
  <c r="G46" i="6"/>
  <c r="H46" i="6"/>
  <c r="F57" i="6"/>
  <c r="H57" i="6" s="1"/>
  <c r="AM50" i="18"/>
  <c r="AQ50" i="18"/>
  <c r="G14" i="18"/>
  <c r="H14" i="18"/>
  <c r="K14" i="18"/>
  <c r="N7" i="17"/>
  <c r="K55" i="14"/>
  <c r="H55" i="14"/>
  <c r="S53" i="14"/>
  <c r="P53" i="14"/>
  <c r="N15" i="5"/>
  <c r="O15" i="18"/>
  <c r="P15" i="18"/>
  <c r="S15" i="18"/>
  <c r="O5" i="17"/>
  <c r="V5" i="17"/>
  <c r="AD5" i="17" s="1"/>
  <c r="S5" i="17"/>
  <c r="P5" i="17"/>
  <c r="O55" i="18"/>
  <c r="S55" i="18"/>
  <c r="P55" i="18"/>
  <c r="AT12" i="6"/>
  <c r="P10" i="5"/>
  <c r="O10" i="5"/>
  <c r="S10" i="5"/>
  <c r="AT53" i="6"/>
  <c r="AV53" i="6" s="1"/>
  <c r="O10" i="4"/>
  <c r="S10" i="4"/>
  <c r="P10" i="4"/>
  <c r="P6" i="9"/>
  <c r="S6" i="9"/>
  <c r="O6" i="9"/>
  <c r="AF15" i="9"/>
  <c r="AI15" i="9"/>
  <c r="AE15" i="9"/>
  <c r="P5" i="14"/>
  <c r="S5" i="14"/>
  <c r="AY6" i="9"/>
  <c r="AU6" i="9"/>
  <c r="AV6" i="9"/>
  <c r="X53" i="14"/>
  <c r="AA53" i="14"/>
  <c r="O7" i="18"/>
  <c r="P7" i="18"/>
  <c r="S7" i="18"/>
  <c r="P14" i="5"/>
  <c r="O14" i="5"/>
  <c r="S14" i="5"/>
  <c r="X6" i="18"/>
  <c r="AA6" i="18"/>
  <c r="W6" i="18"/>
  <c r="G14" i="17"/>
  <c r="K14" i="17"/>
  <c r="H14" i="17"/>
  <c r="AA26" i="4"/>
  <c r="X26" i="4"/>
  <c r="W26" i="4"/>
  <c r="P32" i="6"/>
  <c r="S32" i="6"/>
  <c r="O32" i="6"/>
  <c r="AF33" i="4"/>
  <c r="AI33" i="4"/>
  <c r="AE33" i="4"/>
  <c r="AT19" i="6"/>
  <c r="F18" i="5"/>
  <c r="H28" i="4"/>
  <c r="G28" i="4"/>
  <c r="K28" i="4"/>
  <c r="AD19" i="6"/>
  <c r="AD19" i="5"/>
  <c r="N20" i="17"/>
  <c r="O18" i="17"/>
  <c r="V18" i="17"/>
  <c r="AD18" i="17" s="1"/>
  <c r="P18" i="17"/>
  <c r="S18" i="17"/>
  <c r="W27" i="18"/>
  <c r="AA27" i="18"/>
  <c r="X27" i="18"/>
  <c r="P28" i="5"/>
  <c r="S28" i="5"/>
  <c r="O28" i="5"/>
  <c r="AA54" i="18"/>
  <c r="W54" i="18"/>
  <c r="X54" i="18"/>
  <c r="AD19" i="18"/>
  <c r="AD20" i="18" s="1"/>
  <c r="W27" i="5"/>
  <c r="X27" i="5"/>
  <c r="AA27" i="5"/>
  <c r="G24" i="18"/>
  <c r="AT24" i="18"/>
  <c r="BB24" i="18" s="1"/>
  <c r="H24" i="18"/>
  <c r="K24" i="18"/>
  <c r="S24" i="14"/>
  <c r="P24" i="14"/>
  <c r="P22" i="4"/>
  <c r="S22" i="4"/>
  <c r="O22" i="4"/>
  <c r="N30" i="4"/>
  <c r="P30" i="4" s="1"/>
  <c r="V28" i="17"/>
  <c r="AD28" i="17" s="1"/>
  <c r="P28" i="17"/>
  <c r="S28" i="17"/>
  <c r="O28" i="17"/>
  <c r="AK49" i="4"/>
  <c r="AN49" i="4" s="1"/>
  <c r="AV49" i="4" s="1"/>
  <c r="F20" i="18"/>
  <c r="K19" i="18"/>
  <c r="H19" i="18"/>
  <c r="G19" i="18"/>
  <c r="H18" i="18"/>
  <c r="K18" i="18"/>
  <c r="G18" i="18"/>
  <c r="H14" i="4"/>
  <c r="G14" i="4"/>
  <c r="F17" i="4"/>
  <c r="H17" i="4" s="1"/>
  <c r="F8" i="15" s="1"/>
  <c r="K14" i="4"/>
  <c r="H26" i="14"/>
  <c r="K26" i="14"/>
  <c r="S28" i="14"/>
  <c r="P28" i="14"/>
  <c r="BG47" i="9"/>
  <c r="BD47" i="9"/>
  <c r="BC47" i="9"/>
  <c r="BC26" i="9"/>
  <c r="BD26" i="9"/>
  <c r="BG26" i="9"/>
  <c r="P12" i="9"/>
  <c r="S12" i="9"/>
  <c r="O12" i="9"/>
  <c r="X55" i="18"/>
  <c r="W55" i="18"/>
  <c r="AA55" i="18"/>
  <c r="P18" i="9"/>
  <c r="O18" i="9"/>
  <c r="S18" i="9"/>
  <c r="S54" i="5"/>
  <c r="O54" i="5"/>
  <c r="AF54" i="9"/>
  <c r="AI54" i="9"/>
  <c r="AE54" i="9"/>
  <c r="S48" i="9"/>
  <c r="O48" i="9"/>
  <c r="G12" i="4"/>
  <c r="H12" i="4"/>
  <c r="K12" i="4"/>
  <c r="G10" i="6"/>
  <c r="H10" i="6"/>
  <c r="K10" i="6"/>
  <c r="S54" i="14"/>
  <c r="P54" i="14"/>
  <c r="W49" i="9"/>
  <c r="AA49" i="9"/>
  <c r="S49" i="5"/>
  <c r="O49" i="5"/>
  <c r="X28" i="5"/>
  <c r="AA28" i="5"/>
  <c r="W28" i="5"/>
  <c r="BG10" i="9"/>
  <c r="BD10" i="9"/>
  <c r="BC10" i="9"/>
  <c r="K8" i="17"/>
  <c r="G8" i="17"/>
  <c r="H8" i="17"/>
  <c r="AI50" i="18"/>
  <c r="AE50" i="18"/>
  <c r="AF50" i="18"/>
  <c r="P46" i="17"/>
  <c r="O46" i="17"/>
  <c r="S46" i="17"/>
  <c r="V46" i="17"/>
  <c r="AD46" i="17" s="1"/>
  <c r="N57" i="17"/>
  <c r="P57" i="17" s="1"/>
  <c r="AA36" i="4"/>
  <c r="X36" i="4"/>
  <c r="W36" i="4"/>
  <c r="AM11" i="9"/>
  <c r="AQ11" i="9"/>
  <c r="AN11" i="9"/>
  <c r="AQ11" i="18"/>
  <c r="AM11" i="18"/>
  <c r="P41" i="9"/>
  <c r="O41" i="9"/>
  <c r="S41" i="9"/>
  <c r="AT44" i="6"/>
  <c r="AA53" i="4"/>
  <c r="AN53" i="4"/>
  <c r="AV53" i="4" s="1"/>
  <c r="X53" i="4"/>
  <c r="W53" i="4"/>
  <c r="W8" i="6"/>
  <c r="X8" i="6"/>
  <c r="AA8" i="6"/>
  <c r="S9" i="9"/>
  <c r="P9" i="9"/>
  <c r="O9" i="9"/>
  <c r="AA48" i="14"/>
  <c r="S12" i="14"/>
  <c r="P12" i="14"/>
  <c r="AA9" i="14"/>
  <c r="X9" i="14"/>
  <c r="AT47" i="6"/>
  <c r="BC11" i="9"/>
  <c r="BG11" i="9"/>
  <c r="BJ11" i="9"/>
  <c r="BG14" i="9"/>
  <c r="BC14" i="9"/>
  <c r="BB17" i="9"/>
  <c r="BD17" i="9" s="1"/>
  <c r="AL5" i="6"/>
  <c r="AE55" i="6"/>
  <c r="AI55" i="6"/>
  <c r="AF55" i="6"/>
  <c r="AE7" i="6"/>
  <c r="AI7" i="6"/>
  <c r="AF7" i="6"/>
  <c r="AA12" i="6"/>
  <c r="X12" i="6"/>
  <c r="W12" i="6"/>
  <c r="N20" i="14"/>
  <c r="H24" i="9"/>
  <c r="G24" i="9"/>
  <c r="K24" i="9"/>
  <c r="AQ32" i="6"/>
  <c r="AM32" i="6"/>
  <c r="AN32" i="6"/>
  <c r="V42" i="4"/>
  <c r="V45" i="4" s="1"/>
  <c r="X45" i="4" s="1"/>
  <c r="AI31" i="6"/>
  <c r="AF31" i="6"/>
  <c r="AE31" i="6"/>
  <c r="AQ51" i="18"/>
  <c r="AM51" i="18"/>
  <c r="G44" i="5"/>
  <c r="K44" i="5"/>
  <c r="H44" i="5"/>
  <c r="P52" i="14"/>
  <c r="S52" i="14"/>
  <c r="BR52" i="9"/>
  <c r="G52" i="18"/>
  <c r="H52" i="18"/>
  <c r="AT52" i="18"/>
  <c r="BB52" i="18" s="1"/>
  <c r="K52" i="18"/>
  <c r="BD27" i="9"/>
  <c r="BG27" i="9"/>
  <c r="BC27" i="9"/>
  <c r="BJ27" i="9"/>
  <c r="BD35" i="9"/>
  <c r="BC35" i="9"/>
  <c r="BG35" i="9"/>
  <c r="W10" i="6"/>
  <c r="X10" i="6"/>
  <c r="AA10" i="6"/>
  <c r="N9" i="18"/>
  <c r="AE9" i="6"/>
  <c r="AF9" i="6"/>
  <c r="AI9" i="6"/>
  <c r="X36" i="9"/>
  <c r="AA36" i="9"/>
  <c r="W36" i="9"/>
  <c r="AQ44" i="18"/>
  <c r="AM44" i="18"/>
  <c r="N41" i="5"/>
  <c r="H51" i="14"/>
  <c r="K51" i="14"/>
  <c r="AN52" i="6"/>
  <c r="AQ52" i="6"/>
  <c r="AM52" i="6"/>
  <c r="AQ36" i="18"/>
  <c r="AM36" i="18"/>
  <c r="P14" i="17"/>
  <c r="O14" i="17"/>
  <c r="S14" i="17"/>
  <c r="V14" i="17"/>
  <c r="AD14" i="17" s="1"/>
  <c r="H9" i="18"/>
  <c r="K9" i="18"/>
  <c r="G9" i="18"/>
  <c r="X54" i="14"/>
  <c r="AA54" i="14"/>
  <c r="AN23" i="6"/>
  <c r="AM23" i="6"/>
  <c r="AQ23" i="6"/>
  <c r="AN16" i="6"/>
  <c r="AM16" i="6"/>
  <c r="AQ16" i="6"/>
  <c r="H9" i="9"/>
  <c r="K9" i="9"/>
  <c r="G9" i="9"/>
  <c r="P8" i="18"/>
  <c r="O8" i="18"/>
  <c r="S8" i="18"/>
  <c r="K16" i="9"/>
  <c r="G16" i="9"/>
  <c r="H16" i="9"/>
  <c r="K46" i="5"/>
  <c r="G46" i="5"/>
  <c r="F57" i="5"/>
  <c r="H57" i="5" s="1"/>
  <c r="AA51" i="18"/>
  <c r="W51" i="18"/>
  <c r="P52" i="17"/>
  <c r="O52" i="17"/>
  <c r="S52" i="17"/>
  <c r="V52" i="17"/>
  <c r="AD52" i="17" s="1"/>
  <c r="AI51" i="18"/>
  <c r="AE51" i="18"/>
  <c r="S51" i="6"/>
  <c r="O51" i="6"/>
  <c r="P51" i="6"/>
  <c r="AA46" i="18"/>
  <c r="X46" i="18"/>
  <c r="W46" i="18"/>
  <c r="V57" i="18"/>
  <c r="X57" i="18" s="1"/>
  <c r="AN50" i="9"/>
  <c r="AQ50" i="9"/>
  <c r="AM50" i="9"/>
  <c r="F18" i="4"/>
  <c r="AN18" i="4" s="1"/>
  <c r="AV18" i="4" s="1"/>
  <c r="AD27" i="5"/>
  <c r="H23" i="17"/>
  <c r="K23" i="17"/>
  <c r="G23" i="17"/>
  <c r="K23" i="4"/>
  <c r="G23" i="4"/>
  <c r="H23" i="4"/>
  <c r="P25" i="9"/>
  <c r="O25" i="9"/>
  <c r="S25" i="9"/>
  <c r="AM25" i="9"/>
  <c r="AN25" i="9"/>
  <c r="AQ25" i="9"/>
  <c r="W25" i="5"/>
  <c r="X25" i="5"/>
  <c r="AA25" i="5"/>
  <c r="G25" i="4"/>
  <c r="H25" i="4"/>
  <c r="K25" i="4"/>
  <c r="AD55" i="5"/>
  <c r="K35" i="17"/>
  <c r="H35" i="17"/>
  <c r="G35" i="17"/>
  <c r="AD26" i="5"/>
  <c r="AM26" i="5" s="1"/>
  <c r="AU26" i="5" s="1"/>
  <c r="AD29" i="4"/>
  <c r="AV29" i="9"/>
  <c r="AY29" i="9"/>
  <c r="AU29" i="9"/>
  <c r="P43" i="5"/>
  <c r="S43" i="5"/>
  <c r="O43" i="5"/>
  <c r="AA32" i="14"/>
  <c r="X32" i="14"/>
  <c r="AF32" i="18"/>
  <c r="AI32" i="18"/>
  <c r="AE32" i="18"/>
  <c r="K32" i="5"/>
  <c r="H32" i="5"/>
  <c r="G32" i="5"/>
  <c r="S34" i="18"/>
  <c r="P34" i="18"/>
  <c r="O34" i="18"/>
  <c r="H36" i="4"/>
  <c r="K36" i="4"/>
  <c r="G36" i="4"/>
  <c r="P36" i="4"/>
  <c r="S36" i="4"/>
  <c r="O36" i="4"/>
  <c r="S33" i="4"/>
  <c r="P33" i="4"/>
  <c r="O33" i="4"/>
  <c r="P35" i="5"/>
  <c r="O35" i="5"/>
  <c r="S35" i="5"/>
  <c r="P37" i="18"/>
  <c r="S37" i="18"/>
  <c r="O37" i="18"/>
  <c r="K37" i="5"/>
  <c r="G37" i="5"/>
  <c r="P37" i="5"/>
  <c r="O37" i="5"/>
  <c r="S37" i="5"/>
  <c r="AM38" i="9"/>
  <c r="AQ38" i="9"/>
  <c r="AN38" i="9"/>
  <c r="O38" i="4"/>
  <c r="P38" i="4"/>
  <c r="S38" i="4"/>
  <c r="X11" i="18"/>
  <c r="W11" i="18"/>
  <c r="AA11" i="18"/>
  <c r="H11" i="6"/>
  <c r="G11" i="6"/>
  <c r="K11" i="6"/>
  <c r="P43" i="18"/>
  <c r="O43" i="18"/>
  <c r="S43" i="18"/>
  <c r="AI44" i="9"/>
  <c r="AE44" i="9"/>
  <c r="AF44" i="9"/>
  <c r="K46" i="18"/>
  <c r="H46" i="18"/>
  <c r="G46" i="18"/>
  <c r="AT46" i="18"/>
  <c r="BB46" i="18" s="1"/>
  <c r="F57" i="18"/>
  <c r="H57" i="18" s="1"/>
  <c r="H11" i="14"/>
  <c r="K11" i="14"/>
  <c r="P11" i="9"/>
  <c r="S11" i="9"/>
  <c r="O11" i="9"/>
  <c r="AI40" i="18"/>
  <c r="AF40" i="18"/>
  <c r="AE40" i="18"/>
  <c r="BR40" i="9"/>
  <c r="AE40" i="9"/>
  <c r="AF40" i="9"/>
  <c r="AI40" i="9"/>
  <c r="S40" i="18"/>
  <c r="P40" i="18"/>
  <c r="O40" i="18"/>
  <c r="AA40" i="5"/>
  <c r="W40" i="5"/>
  <c r="X40" i="5"/>
  <c r="AM41" i="6"/>
  <c r="AN41" i="6"/>
  <c r="AQ41" i="6"/>
  <c r="O41" i="6"/>
  <c r="P41" i="6"/>
  <c r="S41" i="6"/>
  <c r="S41" i="18"/>
  <c r="O41" i="18"/>
  <c r="P41" i="18"/>
  <c r="K41" i="6"/>
  <c r="G41" i="6"/>
  <c r="H41" i="6"/>
  <c r="N23" i="6"/>
  <c r="K54" i="14"/>
  <c r="H54" i="14"/>
  <c r="BR33" i="9"/>
  <c r="S37" i="9"/>
  <c r="P37" i="9"/>
  <c r="O37" i="9"/>
  <c r="AF37" i="9"/>
  <c r="AI37" i="9"/>
  <c r="AE37" i="9"/>
  <c r="AA43" i="18"/>
  <c r="W43" i="18"/>
  <c r="S56" i="6"/>
  <c r="P56" i="6"/>
  <c r="O56" i="6"/>
  <c r="X47" i="18"/>
  <c r="AA47" i="18"/>
  <c r="W47" i="18"/>
  <c r="AA47" i="14"/>
  <c r="X47" i="14"/>
  <c r="AI5" i="18"/>
  <c r="AF5" i="18"/>
  <c r="AE5" i="18"/>
  <c r="P6" i="4"/>
  <c r="O6" i="4"/>
  <c r="S6" i="4"/>
  <c r="O53" i="17"/>
  <c r="V53" i="17"/>
  <c r="AD53" i="17" s="1"/>
  <c r="P53" i="17"/>
  <c r="S53" i="17"/>
  <c r="AF7" i="4"/>
  <c r="AI7" i="4"/>
  <c r="AE7" i="4"/>
  <c r="AF53" i="9"/>
  <c r="AI53" i="9"/>
  <c r="AE53" i="9"/>
  <c r="V15" i="5"/>
  <c r="AI6" i="18"/>
  <c r="AE6" i="18"/>
  <c r="AF6" i="18"/>
  <c r="AY15" i="9"/>
  <c r="AV15" i="9"/>
  <c r="AU15" i="9"/>
  <c r="AN6" i="18"/>
  <c r="AM6" i="18"/>
  <c r="AQ6" i="18"/>
  <c r="H53" i="14"/>
  <c r="K53" i="14"/>
  <c r="AQ6" i="9"/>
  <c r="AM6" i="9"/>
  <c r="AN6" i="9"/>
  <c r="K6" i="4"/>
  <c r="G6" i="4"/>
  <c r="H6" i="4"/>
  <c r="AQ53" i="9"/>
  <c r="AN53" i="9"/>
  <c r="AM53" i="9"/>
  <c r="AA15" i="14"/>
  <c r="X15" i="14"/>
  <c r="H7" i="17"/>
  <c r="K7" i="17"/>
  <c r="G7" i="17"/>
  <c r="K5" i="4"/>
  <c r="G5" i="4"/>
  <c r="H5" i="4"/>
  <c r="AD7" i="5"/>
  <c r="K55" i="6"/>
  <c r="G55" i="6"/>
  <c r="H55" i="6"/>
  <c r="P24" i="9"/>
  <c r="O24" i="9"/>
  <c r="S24" i="9"/>
  <c r="S26" i="5"/>
  <c r="P26" i="5"/>
  <c r="O26" i="5"/>
  <c r="O44" i="9"/>
  <c r="S44" i="9"/>
  <c r="P44" i="9"/>
  <c r="AF24" i="6"/>
  <c r="AI24" i="6"/>
  <c r="AE24" i="6"/>
  <c r="AI22" i="18"/>
  <c r="AF22" i="18"/>
  <c r="AE22" i="18"/>
  <c r="AA26" i="18"/>
  <c r="X26" i="18"/>
  <c r="W26" i="18"/>
  <c r="V27" i="17"/>
  <c r="AD27" i="17" s="1"/>
  <c r="S27" i="17"/>
  <c r="O27" i="17"/>
  <c r="P27" i="17"/>
  <c r="X28" i="9"/>
  <c r="W28" i="9"/>
  <c r="AA28" i="9"/>
  <c r="O54" i="18"/>
  <c r="P54" i="18"/>
  <c r="S54" i="18"/>
  <c r="P32" i="18"/>
  <c r="S32" i="18"/>
  <c r="O32" i="18"/>
  <c r="H15" i="18"/>
  <c r="AT15" i="18"/>
  <c r="BB15" i="18" s="1"/>
  <c r="K15" i="18"/>
  <c r="N19" i="9"/>
  <c r="N20" i="9" s="1"/>
  <c r="H24" i="4"/>
  <c r="G24" i="4"/>
  <c r="K24" i="4"/>
  <c r="P24" i="17"/>
  <c r="V24" i="17"/>
  <c r="AD24" i="17" s="1"/>
  <c r="O24" i="17"/>
  <c r="S24" i="17"/>
  <c r="W26" i="6"/>
  <c r="X26" i="6"/>
  <c r="AA26" i="6"/>
  <c r="AV27" i="9"/>
  <c r="AU27" i="9"/>
  <c r="AY27" i="9"/>
  <c r="O31" i="9"/>
  <c r="P31" i="9"/>
  <c r="S31" i="9"/>
  <c r="O37" i="6"/>
  <c r="S37" i="6"/>
  <c r="P37" i="6"/>
  <c r="G19" i="6"/>
  <c r="K19" i="6"/>
  <c r="H19" i="6"/>
  <c r="H24" i="17"/>
  <c r="K24" i="17"/>
  <c r="G24" i="17"/>
  <c r="BJ26" i="9"/>
  <c r="AY26" i="9"/>
  <c r="AV26" i="9"/>
  <c r="AU26" i="9"/>
  <c r="AA27" i="9"/>
  <c r="X27" i="9"/>
  <c r="W27" i="9"/>
  <c r="W32" i="9"/>
  <c r="AA32" i="9"/>
  <c r="X32" i="9"/>
  <c r="X26" i="5"/>
  <c r="AA26" i="5"/>
  <c r="W26" i="5"/>
  <c r="S27" i="14"/>
  <c r="P27" i="14"/>
  <c r="AI25" i="9"/>
  <c r="AF25" i="9"/>
  <c r="AE25" i="9"/>
  <c r="G35" i="6"/>
  <c r="H35" i="6"/>
  <c r="K35" i="6"/>
  <c r="AE15" i="18"/>
  <c r="AI15" i="18"/>
  <c r="BR19" i="9"/>
  <c r="BG56" i="9"/>
  <c r="BD56" i="9"/>
  <c r="BC56" i="9"/>
  <c r="BJ56" i="9"/>
  <c r="BG22" i="9"/>
  <c r="BC22" i="9"/>
  <c r="BD22" i="9"/>
  <c r="BJ22" i="9"/>
  <c r="S53" i="18"/>
  <c r="P53" i="18"/>
  <c r="O53" i="18"/>
  <c r="AM12" i="6"/>
  <c r="AN12" i="6"/>
  <c r="AQ12" i="6"/>
  <c r="AQ15" i="6"/>
  <c r="AN15" i="6"/>
  <c r="AM15" i="6"/>
  <c r="AM18" i="9"/>
  <c r="AN18" i="9"/>
  <c r="AQ18" i="9"/>
  <c r="AA47" i="9"/>
  <c r="W47" i="9"/>
  <c r="X47" i="9"/>
  <c r="S38" i="18"/>
  <c r="P38" i="18"/>
  <c r="O38" i="18"/>
  <c r="AA49" i="6"/>
  <c r="W49" i="6"/>
  <c r="X48" i="9"/>
  <c r="W48" i="9"/>
  <c r="AA48" i="9"/>
  <c r="X48" i="18"/>
  <c r="W48" i="18"/>
  <c r="AA48" i="18"/>
  <c r="AF49" i="18"/>
  <c r="AI49" i="18"/>
  <c r="AE49" i="18"/>
  <c r="BR49" i="9"/>
  <c r="BD48" i="9"/>
  <c r="BC48" i="9"/>
  <c r="BG48" i="9"/>
  <c r="H28" i="6"/>
  <c r="K28" i="6"/>
  <c r="G28" i="6"/>
  <c r="X32" i="6"/>
  <c r="AA32" i="6"/>
  <c r="W32" i="6"/>
  <c r="O56" i="4"/>
  <c r="P56" i="4"/>
  <c r="S56" i="4"/>
  <c r="BJ18" i="9"/>
  <c r="AY18" i="9"/>
  <c r="AU18" i="9"/>
  <c r="AV18" i="9"/>
  <c r="AT20" i="9"/>
  <c r="S46" i="9"/>
  <c r="O46" i="9"/>
  <c r="N57" i="9"/>
  <c r="P57" i="9" s="1"/>
  <c r="BG54" i="9"/>
  <c r="BC54" i="9"/>
  <c r="BD54" i="9"/>
  <c r="BJ54" i="9"/>
  <c r="O54" i="9"/>
  <c r="S54" i="9"/>
  <c r="P29" i="4"/>
  <c r="O29" i="4"/>
  <c r="S29" i="4"/>
  <c r="AT23" i="6"/>
  <c r="AA35" i="18"/>
  <c r="X35" i="18"/>
  <c r="W35" i="18"/>
  <c r="AI41" i="18"/>
  <c r="AE41" i="18"/>
  <c r="AF41" i="18"/>
  <c r="AM8" i="6"/>
  <c r="AN8" i="6"/>
  <c r="AQ8" i="6"/>
  <c r="AM10" i="18"/>
  <c r="AQ10" i="18"/>
  <c r="G14" i="9"/>
  <c r="H14" i="9"/>
  <c r="F17" i="9"/>
  <c r="H17" i="9" s="1"/>
  <c r="F34" i="15" s="1"/>
  <c r="K14" i="9"/>
  <c r="X38" i="14"/>
  <c r="AA38" i="14"/>
  <c r="X56" i="6"/>
  <c r="W56" i="6"/>
  <c r="AA56" i="6"/>
  <c r="S52" i="5"/>
  <c r="P52" i="5"/>
  <c r="O52" i="5"/>
  <c r="AF43" i="4"/>
  <c r="AI43" i="4"/>
  <c r="AE43" i="4"/>
  <c r="AA8" i="18"/>
  <c r="W8" i="18"/>
  <c r="X8" i="18"/>
  <c r="AM5" i="9"/>
  <c r="AQ5" i="9"/>
  <c r="AN5" i="9"/>
  <c r="X52" i="5"/>
  <c r="AA52" i="5"/>
  <c r="W52" i="5"/>
  <c r="AA5" i="18"/>
  <c r="W5" i="18"/>
  <c r="X5" i="18"/>
  <c r="BG37" i="9"/>
  <c r="BC37" i="9"/>
  <c r="BD37" i="9"/>
  <c r="BC28" i="9"/>
  <c r="BG28" i="9"/>
  <c r="BD28" i="9"/>
  <c r="BJ28" i="9"/>
  <c r="AM55" i="6"/>
  <c r="AN55" i="6"/>
  <c r="AQ55" i="6"/>
  <c r="AT7" i="6"/>
  <c r="K19" i="9"/>
  <c r="H19" i="9"/>
  <c r="G19" i="9"/>
  <c r="P16" i="5"/>
  <c r="O16" i="5"/>
  <c r="S16" i="5"/>
  <c r="K48" i="14"/>
  <c r="S31" i="6"/>
  <c r="O31" i="6"/>
  <c r="P31" i="6"/>
  <c r="K41" i="4"/>
  <c r="G41" i="4"/>
  <c r="H41" i="4"/>
  <c r="K32" i="4"/>
  <c r="H32" i="4"/>
  <c r="G32" i="4"/>
  <c r="K52" i="14"/>
  <c r="H52" i="14"/>
  <c r="AA9" i="5"/>
  <c r="W9" i="5"/>
  <c r="X9" i="5"/>
  <c r="AD44" i="5"/>
  <c r="AM44" i="5" s="1"/>
  <c r="AU44" i="5" s="1"/>
  <c r="H43" i="6"/>
  <c r="K43" i="6"/>
  <c r="G43" i="6"/>
  <c r="K47" i="5"/>
  <c r="G47" i="5"/>
  <c r="H47" i="5"/>
  <c r="P52" i="9"/>
  <c r="S52" i="9"/>
  <c r="O52" i="9"/>
  <c r="AE23" i="9"/>
  <c r="AF23" i="9"/>
  <c r="AI23" i="9"/>
  <c r="V22" i="18"/>
  <c r="AI8" i="6"/>
  <c r="AF8" i="6"/>
  <c r="AE8" i="6"/>
  <c r="P14" i="6"/>
  <c r="O14" i="6"/>
  <c r="S14" i="6"/>
  <c r="N17" i="9"/>
  <c r="P17" i="9" s="1"/>
  <c r="F35" i="15" s="1"/>
  <c r="P16" i="9"/>
  <c r="O16" i="9"/>
  <c r="S16" i="9"/>
  <c r="H18" i="14"/>
  <c r="F20" i="14"/>
  <c r="K18" i="14"/>
  <c r="AL54" i="14"/>
  <c r="S16" i="18"/>
  <c r="P16" i="18"/>
  <c r="O16" i="18"/>
  <c r="G9" i="17"/>
  <c r="H9" i="17"/>
  <c r="K9" i="17"/>
  <c r="AD14" i="4"/>
  <c r="AI47" i="4"/>
  <c r="AF47" i="4"/>
  <c r="AM46" i="18"/>
  <c r="AQ46" i="18"/>
  <c r="AN46" i="18"/>
  <c r="AL57" i="18"/>
  <c r="AN57" i="18" s="1"/>
  <c r="AE51" i="6"/>
  <c r="AI51" i="6"/>
  <c r="AF51" i="6"/>
  <c r="AN52" i="9"/>
  <c r="AQ52" i="9"/>
  <c r="AM52" i="9"/>
  <c r="AA51" i="14"/>
  <c r="X51" i="14"/>
  <c r="AQ51" i="9"/>
  <c r="AM51" i="9"/>
  <c r="AN51" i="9"/>
  <c r="S51" i="9"/>
  <c r="P51" i="9"/>
  <c r="O51" i="9"/>
  <c r="G50" i="5"/>
  <c r="K50" i="5"/>
  <c r="H50" i="5"/>
  <c r="AE50" i="9"/>
  <c r="AI50" i="9"/>
  <c r="AF50" i="9"/>
  <c r="K50" i="6"/>
  <c r="G50" i="6"/>
  <c r="H50" i="6"/>
  <c r="S27" i="9"/>
  <c r="O27" i="9"/>
  <c r="P27" i="9"/>
  <c r="G25" i="17"/>
  <c r="H25" i="17"/>
  <c r="K25" i="17"/>
  <c r="AD10" i="5"/>
  <c r="AD15" i="5"/>
  <c r="AT56" i="18"/>
  <c r="BB56" i="18" s="1"/>
  <c r="AA56" i="18"/>
  <c r="X56" i="18"/>
  <c r="W56" i="18"/>
  <c r="BR47" i="9"/>
  <c r="AI32" i="6"/>
  <c r="AE32" i="6"/>
  <c r="AF32" i="6"/>
  <c r="G32" i="17"/>
  <c r="K32" i="17"/>
  <c r="H32" i="17"/>
  <c r="AM33" i="18"/>
  <c r="AQ33" i="18"/>
  <c r="AT33" i="18"/>
  <c r="BB33" i="18" s="1"/>
  <c r="K33" i="18"/>
  <c r="G33" i="18"/>
  <c r="H33" i="18"/>
  <c r="S33" i="5"/>
  <c r="P33" i="5"/>
  <c r="O33" i="5"/>
  <c r="AT35" i="6"/>
  <c r="X37" i="5"/>
  <c r="W37" i="5"/>
  <c r="AA37" i="5"/>
  <c r="X37" i="9"/>
  <c r="AA37" i="9"/>
  <c r="W37" i="9"/>
  <c r="AQ37" i="18"/>
  <c r="AM37" i="18"/>
  <c r="AF38" i="9"/>
  <c r="AE38" i="9"/>
  <c r="AI38" i="9"/>
  <c r="X11" i="4"/>
  <c r="AA11" i="4"/>
  <c r="W11" i="4"/>
  <c r="S11" i="18"/>
  <c r="P11" i="18"/>
  <c r="O11" i="18"/>
  <c r="AE11" i="18"/>
  <c r="AF11" i="18"/>
  <c r="AI11" i="18"/>
  <c r="AA11" i="9"/>
  <c r="W11" i="9"/>
  <c r="X11" i="9"/>
  <c r="AA44" i="5"/>
  <c r="X44" i="5"/>
  <c r="W44" i="5"/>
  <c r="G56" i="5"/>
  <c r="H56" i="5"/>
  <c r="K56" i="5"/>
  <c r="S44" i="18"/>
  <c r="P44" i="18"/>
  <c r="O44" i="18"/>
  <c r="K47" i="18"/>
  <c r="H47" i="18"/>
  <c r="G47" i="18"/>
  <c r="O44" i="6"/>
  <c r="P44" i="6"/>
  <c r="S44" i="6"/>
  <c r="BR44" i="9"/>
  <c r="H11" i="5"/>
  <c r="K11" i="5"/>
  <c r="G11" i="5"/>
  <c r="P40" i="5"/>
  <c r="S40" i="5"/>
  <c r="O40" i="5"/>
  <c r="AN41" i="9"/>
  <c r="AM41" i="9"/>
  <c r="AQ41" i="9"/>
  <c r="X41" i="6"/>
  <c r="AA41" i="6"/>
  <c r="W41" i="6"/>
  <c r="AA41" i="9"/>
  <c r="X41" i="9"/>
  <c r="W41" i="9"/>
  <c r="AN44" i="9"/>
  <c r="AM44" i="9"/>
  <c r="AQ44" i="9"/>
  <c r="AT43" i="18"/>
  <c r="BB43" i="18" s="1"/>
  <c r="AE43" i="18"/>
  <c r="AI43" i="18"/>
  <c r="K44" i="17"/>
  <c r="H44" i="17"/>
  <c r="G44" i="17"/>
  <c r="S49" i="9"/>
  <c r="O49" i="9"/>
  <c r="AT54" i="18"/>
  <c r="BB54" i="18" s="1"/>
  <c r="AE54" i="18"/>
  <c r="AF54" i="18"/>
  <c r="AI54" i="18"/>
  <c r="H33" i="14"/>
  <c r="K33" i="14"/>
  <c r="AF35" i="9"/>
  <c r="AE35" i="9"/>
  <c r="AI35" i="9"/>
  <c r="S35" i="18"/>
  <c r="P35" i="18"/>
  <c r="O35" i="18"/>
  <c r="X47" i="4"/>
  <c r="AA47" i="4"/>
  <c r="AN47" i="4"/>
  <c r="AV47" i="4" s="1"/>
  <c r="BJ14" i="9"/>
  <c r="AU14" i="9"/>
  <c r="AY14" i="9"/>
  <c r="AT17" i="9"/>
  <c r="AV17" i="9" s="1"/>
  <c r="F39" i="15" s="1"/>
  <c r="AV14" i="9"/>
  <c r="H53" i="5"/>
  <c r="K53" i="5"/>
  <c r="G53" i="5"/>
  <c r="AA53" i="18"/>
  <c r="W53" i="18"/>
  <c r="AA15" i="4"/>
  <c r="W15" i="4"/>
  <c r="X15" i="4"/>
  <c r="AN15" i="4"/>
  <c r="AV15" i="4" s="1"/>
  <c r="O15" i="17"/>
  <c r="P15" i="17"/>
  <c r="S15" i="17"/>
  <c r="V15" i="17"/>
  <c r="AD15" i="17" s="1"/>
  <c r="H7" i="5"/>
  <c r="K7" i="5"/>
  <c r="G7" i="5"/>
  <c r="AI55" i="4"/>
  <c r="AE55" i="4"/>
  <c r="AF55" i="4"/>
  <c r="AT5" i="6"/>
  <c r="O6" i="17"/>
  <c r="P6" i="17"/>
  <c r="S6" i="17"/>
  <c r="V6" i="17"/>
  <c r="AD6" i="17" s="1"/>
  <c r="G6" i="6"/>
  <c r="H6" i="6"/>
  <c r="K6" i="6"/>
  <c r="AE53" i="4"/>
  <c r="AI53" i="4"/>
  <c r="AF53" i="4"/>
  <c r="AL15" i="9"/>
  <c r="AQ7" i="18"/>
  <c r="AN7" i="18"/>
  <c r="AM7" i="18"/>
  <c r="AD53" i="5"/>
  <c r="AM53" i="5" s="1"/>
  <c r="AU53" i="5" s="1"/>
  <c r="X15" i="6"/>
  <c r="W15" i="6"/>
  <c r="AA15" i="6"/>
  <c r="AT6" i="18"/>
  <c r="BB6" i="18" s="1"/>
  <c r="H6" i="18"/>
  <c r="G6" i="18"/>
  <c r="K6" i="18"/>
  <c r="P55" i="6"/>
  <c r="S55" i="6"/>
  <c r="O55" i="6"/>
  <c r="AN12" i="18"/>
  <c r="AM12" i="18"/>
  <c r="AQ12" i="18"/>
  <c r="X55" i="4"/>
  <c r="W55" i="4"/>
  <c r="AA55" i="4"/>
  <c r="AN55" i="4"/>
  <c r="AV55" i="4" s="1"/>
  <c r="S19" i="4"/>
  <c r="P19" i="4"/>
  <c r="O19" i="4"/>
  <c r="AL19" i="9"/>
  <c r="AL20" i="9" s="1"/>
  <c r="AF18" i="4"/>
  <c r="AI18" i="4"/>
  <c r="AE18" i="4"/>
  <c r="S22" i="18"/>
  <c r="O22" i="18"/>
  <c r="P22" i="18"/>
  <c r="AF27" i="18"/>
  <c r="AE27" i="18"/>
  <c r="AI27" i="18"/>
  <c r="O28" i="6"/>
  <c r="P28" i="6"/>
  <c r="S28" i="6"/>
  <c r="P18" i="4"/>
  <c r="O18" i="4"/>
  <c r="S18" i="4"/>
  <c r="N20" i="4"/>
  <c r="K27" i="9"/>
  <c r="H27" i="9"/>
  <c r="G27" i="9"/>
  <c r="S28" i="4"/>
  <c r="O28" i="4"/>
  <c r="P28" i="4"/>
  <c r="AA29" i="9"/>
  <c r="X29" i="9"/>
  <c r="W29" i="9"/>
  <c r="BJ32" i="9"/>
  <c r="AY32" i="9"/>
  <c r="AU32" i="9"/>
  <c r="AV32" i="9"/>
  <c r="AD20" i="4"/>
  <c r="AI19" i="4"/>
  <c r="AE19" i="4"/>
  <c r="AF19" i="4"/>
  <c r="AA24" i="14"/>
  <c r="X24" i="14"/>
  <c r="AE22" i="4"/>
  <c r="AF22" i="4"/>
  <c r="AI22" i="4"/>
  <c r="S11" i="6"/>
  <c r="O11" i="6"/>
  <c r="P11" i="6"/>
  <c r="W19" i="4"/>
  <c r="X19" i="4"/>
  <c r="AA19" i="4"/>
  <c r="AM27" i="18"/>
  <c r="AQ27" i="18"/>
  <c r="AT18" i="6"/>
  <c r="O24" i="6"/>
  <c r="P24" i="6"/>
  <c r="S24" i="6"/>
  <c r="X22" i="5"/>
  <c r="W22" i="5"/>
  <c r="AA22" i="5"/>
  <c r="AF27" i="6"/>
  <c r="AE27" i="6"/>
  <c r="AI27" i="6"/>
  <c r="AT32" i="18"/>
  <c r="BB32" i="18" s="1"/>
  <c r="K32" i="18"/>
  <c r="H32" i="18"/>
  <c r="G32" i="18"/>
  <c r="AA18" i="9"/>
  <c r="W18" i="9"/>
  <c r="V20" i="9"/>
  <c r="X18" i="9"/>
  <c r="H24" i="5"/>
  <c r="K24" i="5"/>
  <c r="G24" i="5"/>
  <c r="AQ32" i="9"/>
  <c r="AN32" i="9"/>
  <c r="AM32" i="9"/>
  <c r="BB23" i="9"/>
  <c r="X12" i="14"/>
  <c r="AA12" i="14"/>
  <c r="AD12" i="5"/>
  <c r="AM12" i="5" s="1"/>
  <c r="AU12" i="5" s="1"/>
  <c r="X10" i="14"/>
  <c r="AA10" i="14"/>
  <c r="O6" i="18"/>
  <c r="P6" i="18"/>
  <c r="S6" i="18"/>
  <c r="X55" i="14"/>
  <c r="AA55" i="14"/>
  <c r="AA55" i="6"/>
  <c r="X55" i="6"/>
  <c r="W55" i="6"/>
  <c r="P15" i="9"/>
  <c r="S15" i="9"/>
  <c r="O15" i="9"/>
  <c r="H15" i="4"/>
  <c r="K15" i="4"/>
  <c r="G15" i="4"/>
  <c r="S18" i="14"/>
  <c r="P18" i="14"/>
  <c r="P22" i="6"/>
  <c r="O22" i="6"/>
  <c r="S22" i="6"/>
  <c r="BJ49" i="9"/>
  <c r="AU49" i="9"/>
  <c r="AY49" i="9"/>
  <c r="AE48" i="18"/>
  <c r="AF48" i="18"/>
  <c r="AI48" i="18"/>
  <c r="BR48" i="9"/>
  <c r="AQ48" i="18"/>
  <c r="AM48" i="18"/>
  <c r="K48" i="5"/>
  <c r="G48" i="5"/>
  <c r="W12" i="18"/>
  <c r="X12" i="18"/>
  <c r="AA12" i="18"/>
  <c r="AF10" i="4"/>
  <c r="AI10" i="4"/>
  <c r="AE10" i="4"/>
  <c r="AT10" i="6"/>
  <c r="AA7" i="14"/>
  <c r="X7" i="14"/>
  <c r="S10" i="9"/>
  <c r="P10" i="9"/>
  <c r="O10" i="9"/>
  <c r="AT12" i="18"/>
  <c r="BB12" i="18" s="1"/>
  <c r="H12" i="18"/>
  <c r="K12" i="18"/>
  <c r="G12" i="18"/>
  <c r="X10" i="9"/>
  <c r="W10" i="9"/>
  <c r="AA10" i="9"/>
  <c r="AD54" i="5"/>
  <c r="AM54" i="5" s="1"/>
  <c r="AU54" i="5" s="1"/>
  <c r="W48" i="5"/>
  <c r="AA48" i="5"/>
  <c r="K49" i="18"/>
  <c r="H49" i="18"/>
  <c r="AT49" i="18"/>
  <c r="BB49" i="18" s="1"/>
  <c r="G49" i="18"/>
  <c r="AA49" i="14"/>
  <c r="BC51" i="9"/>
  <c r="BG51" i="9"/>
  <c r="K52" i="17"/>
  <c r="G52" i="17"/>
  <c r="H52" i="17"/>
  <c r="AT49" i="6"/>
  <c r="AM54" i="6"/>
  <c r="AN54" i="6"/>
  <c r="AQ54" i="6"/>
  <c r="P41" i="4"/>
  <c r="O41" i="4"/>
  <c r="S41" i="4"/>
  <c r="AT38" i="6"/>
  <c r="BR41" i="9"/>
  <c r="H43" i="14"/>
  <c r="K43" i="14"/>
  <c r="BD12" i="9"/>
  <c r="BC12" i="9"/>
  <c r="BG12" i="9"/>
  <c r="W7" i="6"/>
  <c r="AA7" i="6"/>
  <c r="X7" i="6"/>
  <c r="H25" i="9"/>
  <c r="G25" i="9"/>
  <c r="K25" i="9"/>
  <c r="AQ33" i="9"/>
  <c r="AM33" i="9"/>
  <c r="AN33" i="9"/>
  <c r="H14" i="14"/>
  <c r="K14" i="14"/>
  <c r="BJ16" i="9"/>
  <c r="AU16" i="9"/>
  <c r="AV16" i="9"/>
  <c r="AY16" i="9"/>
  <c r="BJ51" i="9"/>
  <c r="AV51" i="9"/>
  <c r="AY51" i="9"/>
  <c r="AU51" i="9"/>
  <c r="BC33" i="9"/>
  <c r="BG33" i="9"/>
  <c r="BD33" i="9"/>
  <c r="BJ33" i="9"/>
  <c r="BC36" i="9"/>
  <c r="BG36" i="9"/>
  <c r="BD36" i="9"/>
  <c r="BB19" i="9"/>
  <c r="BB20" i="9" s="1"/>
  <c r="AD13" i="6"/>
  <c r="AF13" i="6" s="1"/>
  <c r="AI5" i="6"/>
  <c r="AE5" i="6"/>
  <c r="AF5" i="6"/>
  <c r="G15" i="6"/>
  <c r="K15" i="6"/>
  <c r="H15" i="6"/>
  <c r="AN12" i="9"/>
  <c r="AQ12" i="9"/>
  <c r="AM12" i="9"/>
  <c r="G8" i="5"/>
  <c r="H8" i="5"/>
  <c r="K8" i="5"/>
  <c r="AQ28" i="9"/>
  <c r="AN28" i="9"/>
  <c r="AM28" i="9"/>
  <c r="H23" i="6"/>
  <c r="G23" i="6"/>
  <c r="K23" i="6"/>
  <c r="AA27" i="6"/>
  <c r="W27" i="6"/>
  <c r="X27" i="6"/>
  <c r="AI38" i="6"/>
  <c r="AE38" i="6"/>
  <c r="AF38" i="6"/>
  <c r="X38" i="6"/>
  <c r="AA38" i="6"/>
  <c r="W38" i="6"/>
  <c r="AN46" i="9"/>
  <c r="AL57" i="9"/>
  <c r="AN57" i="9" s="1"/>
  <c r="AQ46" i="9"/>
  <c r="AM46" i="9"/>
  <c r="O52" i="18"/>
  <c r="P52" i="18"/>
  <c r="S52" i="18"/>
  <c r="H52" i="4"/>
  <c r="K52" i="4"/>
  <c r="G52" i="4"/>
  <c r="AD52" i="5"/>
  <c r="AI52" i="4"/>
  <c r="AF52" i="4"/>
  <c r="AE52" i="4"/>
  <c r="BD5" i="9"/>
  <c r="BG5" i="9"/>
  <c r="BC5" i="9"/>
  <c r="BC16" i="9"/>
  <c r="BG16" i="9"/>
  <c r="F5" i="9"/>
  <c r="BR9" i="9"/>
  <c r="S18" i="6"/>
  <c r="N20" i="6"/>
  <c r="P18" i="6"/>
  <c r="O18" i="6"/>
  <c r="F20" i="6"/>
  <c r="H18" i="6"/>
  <c r="G18" i="6"/>
  <c r="K18" i="6"/>
  <c r="S49" i="17"/>
  <c r="O49" i="17"/>
  <c r="V49" i="17"/>
  <c r="AD49" i="17" s="1"/>
  <c r="H44" i="14"/>
  <c r="K44" i="14"/>
  <c r="K46" i="14"/>
  <c r="H46" i="14"/>
  <c r="F57" i="14"/>
  <c r="H57" i="14" s="1"/>
  <c r="AD51" i="5"/>
  <c r="AM51" i="5" s="1"/>
  <c r="AU51" i="5" s="1"/>
  <c r="AQ22" i="18"/>
  <c r="AM22" i="18"/>
  <c r="S49" i="14"/>
  <c r="AI9" i="18"/>
  <c r="AF9" i="18"/>
  <c r="AE9" i="18"/>
  <c r="BJ5" i="9"/>
  <c r="AT13" i="9"/>
  <c r="AV13" i="9" s="1"/>
  <c r="AV5" i="9"/>
  <c r="AY5" i="9"/>
  <c r="AU5" i="9"/>
  <c r="AA44" i="14"/>
  <c r="X44" i="14"/>
  <c r="X52" i="4"/>
  <c r="AA52" i="4"/>
  <c r="W52" i="4"/>
  <c r="AN52" i="4"/>
  <c r="AV52" i="4" s="1"/>
  <c r="AI52" i="9"/>
  <c r="AE52" i="9"/>
  <c r="AF52" i="9"/>
  <c r="K51" i="9"/>
  <c r="G51" i="9"/>
  <c r="H51" i="9"/>
  <c r="W51" i="6"/>
  <c r="AA51" i="6"/>
  <c r="X51" i="6"/>
  <c r="X52" i="18"/>
  <c r="W52" i="18"/>
  <c r="AA52" i="18"/>
  <c r="O51" i="17"/>
  <c r="P51" i="17"/>
  <c r="S51" i="17"/>
  <c r="V51" i="17"/>
  <c r="AD51" i="17" s="1"/>
  <c r="AM56" i="18"/>
  <c r="AQ56" i="18"/>
  <c r="AI47" i="18"/>
  <c r="AE47" i="18"/>
  <c r="AF47" i="18"/>
  <c r="AA46" i="9"/>
  <c r="X46" i="9"/>
  <c r="W46" i="9"/>
  <c r="V57" i="9"/>
  <c r="X57" i="9" s="1"/>
  <c r="S50" i="14"/>
  <c r="P50" i="14"/>
  <c r="X50" i="14"/>
  <c r="AA50" i="14"/>
  <c r="AY52" i="9"/>
  <c r="AU52" i="9"/>
  <c r="AV52" i="9"/>
  <c r="N22" i="17"/>
  <c r="O16" i="4"/>
  <c r="S16" i="4"/>
  <c r="P16" i="4"/>
  <c r="AI54" i="4"/>
  <c r="AE54" i="4"/>
  <c r="G25" i="5"/>
  <c r="H25" i="5"/>
  <c r="K25" i="5"/>
  <c r="S25" i="5"/>
  <c r="O25" i="5"/>
  <c r="P25" i="5"/>
  <c r="O25" i="4"/>
  <c r="P25" i="4"/>
  <c r="S25" i="4"/>
  <c r="K25" i="6"/>
  <c r="G25" i="6"/>
  <c r="H25" i="6"/>
  <c r="AN51" i="4"/>
  <c r="AV51" i="4" s="1"/>
  <c r="X51" i="4"/>
  <c r="AA51" i="4"/>
  <c r="W51" i="4"/>
  <c r="AE38" i="4"/>
  <c r="AI38" i="4"/>
  <c r="AF38" i="4"/>
  <c r="AI16" i="18"/>
  <c r="AE16" i="18"/>
  <c r="P27" i="4"/>
  <c r="O27" i="4"/>
  <c r="S27" i="4"/>
  <c r="S38" i="5"/>
  <c r="O38" i="5"/>
  <c r="P38" i="5"/>
  <c r="AA31" i="4"/>
  <c r="W31" i="4"/>
  <c r="X31" i="4"/>
  <c r="BR32" i="9"/>
  <c r="P32" i="14"/>
  <c r="S32" i="14"/>
  <c r="AI56" i="9"/>
  <c r="AF56" i="9"/>
  <c r="AE56" i="9"/>
  <c r="O46" i="4"/>
  <c r="S46" i="4"/>
  <c r="N57" i="4"/>
  <c r="P57" i="4" s="1"/>
  <c r="AI50" i="4"/>
  <c r="AE50" i="4"/>
  <c r="AF50" i="4"/>
  <c r="K36" i="6"/>
  <c r="H36" i="6"/>
  <c r="G36" i="6"/>
  <c r="O33" i="9"/>
  <c r="S33" i="9"/>
  <c r="P33" i="9"/>
  <c r="X33" i="6"/>
  <c r="W33" i="6"/>
  <c r="AA33" i="6"/>
  <c r="X38" i="4"/>
  <c r="W38" i="4"/>
  <c r="AA38" i="4"/>
  <c r="AN38" i="4"/>
  <c r="AV38" i="4" s="1"/>
  <c r="AA33" i="14"/>
  <c r="X33" i="14"/>
  <c r="BR37" i="9"/>
  <c r="K38" i="18"/>
  <c r="G38" i="18"/>
  <c r="H38" i="18"/>
  <c r="AT38" i="18"/>
  <c r="BB38" i="18" s="1"/>
  <c r="AA38" i="5"/>
  <c r="X38" i="5"/>
  <c r="W38" i="5"/>
  <c r="S11" i="17"/>
  <c r="P11" i="17"/>
  <c r="V11" i="17"/>
  <c r="AD11" i="17" s="1"/>
  <c r="O11" i="17"/>
  <c r="X11" i="14"/>
  <c r="AA11" i="14"/>
  <c r="AA11" i="5"/>
  <c r="W11" i="5"/>
  <c r="BR11" i="9"/>
  <c r="K43" i="18"/>
  <c r="H43" i="18"/>
  <c r="G43" i="18"/>
  <c r="AI46" i="4"/>
  <c r="AE46" i="4"/>
  <c r="AD57" i="4"/>
  <c r="AF57" i="4" s="1"/>
  <c r="W47" i="5"/>
  <c r="AA47" i="5"/>
  <c r="X47" i="5"/>
  <c r="O44" i="5"/>
  <c r="P44" i="5"/>
  <c r="S44" i="5"/>
  <c r="AF46" i="18"/>
  <c r="AE46" i="18"/>
  <c r="AI46" i="18"/>
  <c r="AD57" i="18"/>
  <c r="AF57" i="18" s="1"/>
  <c r="S11" i="14"/>
  <c r="P11" i="14"/>
  <c r="H40" i="18"/>
  <c r="K40" i="18"/>
  <c r="AT40" i="18"/>
  <c r="BB40" i="18" s="1"/>
  <c r="G40" i="18"/>
  <c r="AQ40" i="6"/>
  <c r="AM40" i="6"/>
  <c r="AN40" i="6"/>
  <c r="O40" i="4"/>
  <c r="P40" i="4"/>
  <c r="S40" i="4"/>
  <c r="AM41" i="18"/>
  <c r="AQ41" i="18"/>
  <c r="AT41" i="6"/>
  <c r="AF41" i="9"/>
  <c r="AI41" i="9"/>
  <c r="AE41" i="9"/>
  <c r="AE41" i="6"/>
  <c r="AF41" i="6"/>
  <c r="AI41" i="6"/>
  <c r="AA43" i="9"/>
  <c r="W43" i="9"/>
  <c r="X43" i="9"/>
  <c r="G49" i="5"/>
  <c r="K49" i="5"/>
  <c r="AF34" i="6"/>
  <c r="AI34" i="6"/>
  <c r="AE34" i="6"/>
  <c r="AM34" i="6"/>
  <c r="AN34" i="6"/>
  <c r="AQ34" i="6"/>
  <c r="AQ35" i="18"/>
  <c r="AN35" i="18"/>
  <c r="AM35" i="18"/>
  <c r="P35" i="4"/>
  <c r="O35" i="4"/>
  <c r="S35" i="4"/>
  <c r="BR35" i="9"/>
  <c r="X37" i="14"/>
  <c r="AA37" i="14"/>
  <c r="K43" i="5"/>
  <c r="G43" i="5"/>
  <c r="H56" i="14"/>
  <c r="K56" i="14"/>
  <c r="S47" i="4"/>
  <c r="P47" i="4"/>
  <c r="O47" i="4"/>
  <c r="W50" i="18"/>
  <c r="X50" i="18"/>
  <c r="AA50" i="18"/>
  <c r="H50" i="4"/>
  <c r="K50" i="4"/>
  <c r="G50" i="4"/>
  <c r="P53" i="6"/>
  <c r="O53" i="6"/>
  <c r="S53" i="6"/>
  <c r="AA7" i="9"/>
  <c r="W7" i="9"/>
  <c r="X7" i="9"/>
  <c r="S12" i="5"/>
  <c r="O12" i="5"/>
  <c r="P12" i="5"/>
  <c r="S10" i="17"/>
  <c r="P10" i="17"/>
  <c r="O10" i="17"/>
  <c r="V10" i="17"/>
  <c r="AD10" i="17" s="1"/>
  <c r="P55" i="4"/>
  <c r="S55" i="4"/>
  <c r="O55" i="4"/>
  <c r="H7" i="9"/>
  <c r="K7" i="9"/>
  <c r="G7" i="9"/>
  <c r="AT33" i="6"/>
  <c r="AI15" i="6"/>
  <c r="AF15" i="6"/>
  <c r="AE15" i="6"/>
  <c r="AT6" i="6"/>
  <c r="BR7" i="9"/>
  <c r="H6" i="17"/>
  <c r="G6" i="17"/>
  <c r="K6" i="17"/>
  <c r="K53" i="18"/>
  <c r="H53" i="18"/>
  <c r="G53" i="18"/>
  <c r="AT53" i="18"/>
  <c r="BB53" i="18" s="1"/>
  <c r="K6" i="5"/>
  <c r="G6" i="5"/>
  <c r="H6" i="5"/>
  <c r="AT55" i="18"/>
  <c r="BB55" i="18" s="1"/>
  <c r="AE55" i="18"/>
  <c r="AF55" i="18"/>
  <c r="AI55" i="18"/>
  <c r="H7" i="14"/>
  <c r="K7" i="14"/>
  <c r="AD6" i="5"/>
  <c r="AM6" i="5" s="1"/>
  <c r="AU6" i="5" s="1"/>
  <c r="S5" i="9"/>
  <c r="O5" i="9"/>
  <c r="P5" i="9"/>
  <c r="P7" i="9"/>
  <c r="O7" i="9"/>
  <c r="S7" i="9"/>
  <c r="X55" i="9"/>
  <c r="AA55" i="9"/>
  <c r="W55" i="9"/>
  <c r="AE7" i="18"/>
  <c r="AF7" i="18"/>
  <c r="AI7" i="18"/>
  <c r="W10" i="18"/>
  <c r="AA10" i="18"/>
  <c r="X10" i="18"/>
  <c r="AY19" i="9"/>
  <c r="AU19" i="9"/>
  <c r="AV19" i="9"/>
  <c r="K27" i="6"/>
  <c r="H27" i="6"/>
  <c r="G27" i="6"/>
  <c r="AE28" i="4"/>
  <c r="AF28" i="4"/>
  <c r="AI28" i="4"/>
  <c r="P54" i="4"/>
  <c r="S54" i="4"/>
  <c r="O54" i="4"/>
  <c r="AA19" i="18"/>
  <c r="W19" i="18"/>
  <c r="G19" i="17"/>
  <c r="K19" i="17"/>
  <c r="H19" i="17"/>
  <c r="V18" i="5"/>
  <c r="AA24" i="4"/>
  <c r="X24" i="4"/>
  <c r="W24" i="4"/>
  <c r="AN24" i="4"/>
  <c r="AV24" i="4" s="1"/>
  <c r="K22" i="17"/>
  <c r="H22" i="17"/>
  <c r="G22" i="17"/>
  <c r="AT32" i="6"/>
  <c r="O18" i="18"/>
  <c r="P18" i="18"/>
  <c r="S18" i="18"/>
  <c r="N20" i="18"/>
  <c r="K24" i="14"/>
  <c r="H24" i="14"/>
  <c r="AT27" i="6"/>
  <c r="W18" i="18"/>
  <c r="AA18" i="18"/>
  <c r="V20" i="18"/>
  <c r="BR14" i="9"/>
  <c r="S24" i="4"/>
  <c r="O24" i="4"/>
  <c r="P24" i="4"/>
  <c r="BR24" i="9"/>
  <c r="V19" i="17"/>
  <c r="AD19" i="17" s="1"/>
  <c r="S19" i="17"/>
  <c r="P19" i="17"/>
  <c r="O19" i="17"/>
  <c r="AA22" i="4"/>
  <c r="W22" i="4"/>
  <c r="X22" i="4"/>
  <c r="AN22" i="4"/>
  <c r="AV22" i="4" s="1"/>
  <c r="S26" i="18"/>
  <c r="P26" i="18"/>
  <c r="O26" i="18"/>
  <c r="AE28" i="6"/>
  <c r="AF28" i="6"/>
  <c r="AI28" i="6"/>
  <c r="V43" i="17"/>
  <c r="AD43" i="17" s="1"/>
  <c r="S43" i="17"/>
  <c r="O43" i="17"/>
  <c r="P43" i="17"/>
  <c r="AI12" i="9"/>
  <c r="AF12" i="9"/>
  <c r="AE12" i="9"/>
  <c r="H55" i="9"/>
  <c r="G55" i="9"/>
  <c r="K55" i="9"/>
  <c r="X18" i="14"/>
  <c r="AA18" i="14"/>
  <c r="V20" i="14"/>
  <c r="AQ22" i="9"/>
  <c r="AM22" i="9"/>
  <c r="AN22" i="9"/>
  <c r="AA54" i="6"/>
  <c r="W54" i="6"/>
  <c r="X54" i="6"/>
  <c r="H48" i="18"/>
  <c r="G48" i="18"/>
  <c r="K48" i="18"/>
  <c r="AT48" i="18"/>
  <c r="BB48" i="18" s="1"/>
  <c r="BJ12" i="9"/>
  <c r="AV12" i="9"/>
  <c r="AY12" i="9"/>
  <c r="AU12" i="9"/>
  <c r="G10" i="5"/>
  <c r="H10" i="5"/>
  <c r="K10" i="5"/>
  <c r="K12" i="6"/>
  <c r="G12" i="6"/>
  <c r="H12" i="6"/>
  <c r="BR10" i="9"/>
  <c r="AE49" i="4"/>
  <c r="AI49" i="4"/>
  <c r="X54" i="4"/>
  <c r="AA54" i="4"/>
  <c r="W54" i="4"/>
  <c r="AN54" i="4"/>
  <c r="AV54" i="4" s="1"/>
  <c r="AK31" i="4"/>
  <c r="F31" i="17"/>
  <c r="AL31" i="18"/>
  <c r="V31" i="9"/>
  <c r="AL31" i="6"/>
  <c r="N31" i="5"/>
  <c r="F31" i="6"/>
  <c r="V31" i="18"/>
  <c r="F31" i="18"/>
  <c r="N31" i="18"/>
  <c r="F31" i="5"/>
  <c r="N31" i="4"/>
  <c r="AD31" i="18"/>
  <c r="AD31" i="4"/>
  <c r="V31" i="5"/>
  <c r="BB31" i="9"/>
  <c r="F31" i="9"/>
  <c r="F31" i="4"/>
  <c r="AD31" i="9"/>
  <c r="AT31" i="9"/>
  <c r="N9" i="6"/>
  <c r="F36" i="5"/>
  <c r="AL16" i="18"/>
  <c r="V9" i="18"/>
  <c r="V13" i="18" s="1"/>
  <c r="X13" i="18" s="1"/>
  <c r="N23" i="17"/>
  <c r="N42" i="5"/>
  <c r="F8" i="6"/>
  <c r="F29" i="17"/>
  <c r="N34" i="4"/>
  <c r="V16" i="4"/>
  <c r="F17" i="14"/>
  <c r="H17" i="14" s="1"/>
  <c r="F24" i="15" s="1"/>
  <c r="N29" i="6"/>
  <c r="V8" i="5"/>
  <c r="N29" i="9"/>
  <c r="N30" i="9" s="1"/>
  <c r="P30" i="9" s="1"/>
  <c r="V23" i="9"/>
  <c r="AL34" i="9"/>
  <c r="F9" i="4"/>
  <c r="AN9" i="4" s="1"/>
  <c r="AV9" i="4" s="1"/>
  <c r="F5" i="6"/>
  <c r="AD8" i="9"/>
  <c r="F8" i="4"/>
  <c r="AK23" i="4"/>
  <c r="AD5" i="9"/>
  <c r="F34" i="9"/>
  <c r="N23" i="18"/>
  <c r="AD14" i="9"/>
  <c r="F34" i="6"/>
  <c r="AD29" i="9"/>
  <c r="AD30" i="9" s="1"/>
  <c r="AF30" i="9" s="1"/>
  <c r="AK36" i="4"/>
  <c r="V23" i="5"/>
  <c r="AL42" i="6"/>
  <c r="N42" i="18"/>
  <c r="AT34" i="9"/>
  <c r="BB9" i="9"/>
  <c r="AL42" i="9"/>
  <c r="AL45" i="9" s="1"/>
  <c r="AN45" i="9" s="1"/>
  <c r="N16" i="17"/>
  <c r="F42" i="4"/>
  <c r="N8" i="5"/>
  <c r="N42" i="9"/>
  <c r="N8" i="17"/>
  <c r="AL36" i="6"/>
  <c r="AD8" i="18"/>
  <c r="AD13" i="18" s="1"/>
  <c r="AF13" i="18" s="1"/>
  <c r="V23" i="6"/>
  <c r="N8" i="6"/>
  <c r="V29" i="6"/>
  <c r="F23" i="18"/>
  <c r="F30" i="18" s="1"/>
  <c r="H30" i="18" s="1"/>
  <c r="F16" i="5"/>
  <c r="AK34" i="4"/>
  <c r="N34" i="9"/>
  <c r="N34" i="5"/>
  <c r="F34" i="17"/>
  <c r="BB8" i="9"/>
  <c r="F16" i="6"/>
  <c r="F17" i="6" s="1"/>
  <c r="H17" i="6" s="1"/>
  <c r="F28" i="15" s="1"/>
  <c r="N29" i="17"/>
  <c r="V42" i="5"/>
  <c r="F16" i="17"/>
  <c r="AK42" i="4"/>
  <c r="AK45" i="4" s="1"/>
  <c r="N34" i="6"/>
  <c r="AL42" i="18"/>
  <c r="AL45" i="18" s="1"/>
  <c r="AN45" i="18" s="1"/>
  <c r="V29" i="18"/>
  <c r="AD16" i="9"/>
  <c r="AD29" i="18"/>
  <c r="AD30" i="18" s="1"/>
  <c r="AF30" i="18" s="1"/>
  <c r="N45" i="14"/>
  <c r="P45" i="14" s="1"/>
  <c r="AL34" i="18"/>
  <c r="AK29" i="4"/>
  <c r="F34" i="5"/>
  <c r="F42" i="18"/>
  <c r="F45" i="18" s="1"/>
  <c r="H45" i="18" s="1"/>
  <c r="V34" i="6"/>
  <c r="F34" i="18"/>
  <c r="AD34" i="18"/>
  <c r="N23" i="5"/>
  <c r="V29" i="4"/>
  <c r="V29" i="5"/>
  <c r="V42" i="18"/>
  <c r="V45" i="18" s="1"/>
  <c r="X45" i="18" s="1"/>
  <c r="BB34" i="9"/>
  <c r="N42" i="17"/>
  <c r="AD42" i="18"/>
  <c r="AD45" i="18" s="1"/>
  <c r="AF45" i="18" s="1"/>
  <c r="F42" i="17"/>
  <c r="F42" i="9"/>
  <c r="AD42" i="4"/>
  <c r="V23" i="18"/>
  <c r="N29" i="5"/>
  <c r="F29" i="5"/>
  <c r="F30" i="5" s="1"/>
  <c r="H30" i="5" s="1"/>
  <c r="F42" i="5"/>
  <c r="F45" i="5" s="1"/>
  <c r="H45" i="5" s="1"/>
  <c r="BB29" i="9"/>
  <c r="AL23" i="9"/>
  <c r="AD42" i="9"/>
  <c r="AD45" i="9" s="1"/>
  <c r="AF45" i="9" s="1"/>
  <c r="AD23" i="4"/>
  <c r="F34" i="4"/>
  <c r="V42" i="9"/>
  <c r="V45" i="9" s="1"/>
  <c r="X45" i="9" s="1"/>
  <c r="V34" i="9"/>
  <c r="F29" i="9"/>
  <c r="F42" i="6"/>
  <c r="AT23" i="9"/>
  <c r="AT30" i="9" s="1"/>
  <c r="AV30" i="9" s="1"/>
  <c r="AD23" i="6"/>
  <c r="N42" i="4"/>
  <c r="AD34" i="9"/>
  <c r="AD42" i="6"/>
  <c r="BB42" i="9"/>
  <c r="V34" i="18"/>
  <c r="V34" i="4"/>
  <c r="AT42" i="9"/>
  <c r="N34" i="17"/>
  <c r="F29" i="6"/>
  <c r="AK16" i="4"/>
  <c r="AK17" i="4" s="1"/>
  <c r="W20" i="18" l="1"/>
  <c r="BC17" i="9"/>
  <c r="BJ19" i="9"/>
  <c r="BK19" i="9" s="1"/>
  <c r="F13" i="4"/>
  <c r="H13" i="4" s="1"/>
  <c r="F30" i="4"/>
  <c r="H30" i="4" s="1"/>
  <c r="AM20" i="6"/>
  <c r="N45" i="5"/>
  <c r="P45" i="5" s="1"/>
  <c r="AN19" i="4"/>
  <c r="AV19" i="4" s="1"/>
  <c r="AK21" i="4"/>
  <c r="AD30" i="6"/>
  <c r="AF30" i="6" s="1"/>
  <c r="V39" i="6"/>
  <c r="X39" i="6" s="1"/>
  <c r="G20" i="6"/>
  <c r="AD30" i="4"/>
  <c r="AF30" i="4" s="1"/>
  <c r="AK30" i="4"/>
  <c r="W57" i="4"/>
  <c r="AK39" i="4"/>
  <c r="G57" i="4"/>
  <c r="F30" i="6"/>
  <c r="H30" i="6" s="1"/>
  <c r="N30" i="5"/>
  <c r="P30" i="5" s="1"/>
  <c r="AT19" i="18"/>
  <c r="BB19" i="18" s="1"/>
  <c r="AN31" i="4"/>
  <c r="AV31" i="4" s="1"/>
  <c r="AK57" i="4"/>
  <c r="G20" i="18"/>
  <c r="AK13" i="4"/>
  <c r="AE20" i="9"/>
  <c r="O17" i="9"/>
  <c r="G17" i="9"/>
  <c r="W20" i="9"/>
  <c r="W13" i="9"/>
  <c r="AE57" i="6"/>
  <c r="AM17" i="6"/>
  <c r="N30" i="6"/>
  <c r="P30" i="6" s="1"/>
  <c r="W20" i="14"/>
  <c r="G20" i="14"/>
  <c r="AN51" i="5"/>
  <c r="AR51" i="5"/>
  <c r="AO51" i="5"/>
  <c r="BD20" i="9"/>
  <c r="BB21" i="9"/>
  <c r="BD21" i="9" s="1"/>
  <c r="AP40" i="4"/>
  <c r="AO40" i="4"/>
  <c r="AS40" i="4"/>
  <c r="AN20" i="9"/>
  <c r="AR9" i="5"/>
  <c r="AO9" i="5"/>
  <c r="AN9" i="5"/>
  <c r="AN54" i="5"/>
  <c r="AR54" i="5"/>
  <c r="AO18" i="4"/>
  <c r="AS18" i="4"/>
  <c r="AP18" i="4"/>
  <c r="AR22" i="5"/>
  <c r="AO22" i="5"/>
  <c r="AN22" i="5"/>
  <c r="X20" i="6"/>
  <c r="AO49" i="4"/>
  <c r="AS49" i="4"/>
  <c r="AF20" i="18"/>
  <c r="AO53" i="5"/>
  <c r="AN53" i="5"/>
  <c r="AR53" i="5"/>
  <c r="AO12" i="4"/>
  <c r="AS12" i="4"/>
  <c r="AP12" i="4"/>
  <c r="AL56" i="14"/>
  <c r="AL33" i="14"/>
  <c r="AL47" i="14"/>
  <c r="W23" i="18"/>
  <c r="AA23" i="18"/>
  <c r="X23" i="18"/>
  <c r="X34" i="14"/>
  <c r="AA34" i="14"/>
  <c r="AY38" i="18"/>
  <c r="AV38" i="18"/>
  <c r="AU38" i="18"/>
  <c r="X51" i="17"/>
  <c r="AA51" i="17"/>
  <c r="W51" i="17"/>
  <c r="P20" i="9"/>
  <c r="N21" i="9"/>
  <c r="P21" i="9" s="1"/>
  <c r="AU37" i="6"/>
  <c r="AY37" i="6"/>
  <c r="AV37" i="6"/>
  <c r="BA37" i="6"/>
  <c r="AV46" i="6"/>
  <c r="AY46" i="6"/>
  <c r="AU46" i="6"/>
  <c r="BA46" i="6"/>
  <c r="AT57" i="6"/>
  <c r="AV57" i="6" s="1"/>
  <c r="AF47" i="5"/>
  <c r="AI47" i="5"/>
  <c r="AE47" i="5"/>
  <c r="AI36" i="4"/>
  <c r="AF36" i="4"/>
  <c r="AE36" i="4"/>
  <c r="AL24" i="14"/>
  <c r="BC42" i="9"/>
  <c r="BC45" i="9" s="1"/>
  <c r="BD42" i="9"/>
  <c r="BG42" i="9"/>
  <c r="AL7" i="14"/>
  <c r="AL50" i="14"/>
  <c r="H42" i="6"/>
  <c r="K42" i="6"/>
  <c r="G42" i="6"/>
  <c r="G45" i="6" s="1"/>
  <c r="AL40" i="14"/>
  <c r="AN23" i="9"/>
  <c r="AQ23" i="9"/>
  <c r="AM23" i="9"/>
  <c r="BC29" i="9"/>
  <c r="BG29" i="9"/>
  <c r="BD29" i="9"/>
  <c r="BJ29" i="9"/>
  <c r="G42" i="9"/>
  <c r="G45" i="9" s="1"/>
  <c r="K42" i="9"/>
  <c r="H42" i="9"/>
  <c r="AD8" i="4"/>
  <c r="N16" i="6"/>
  <c r="N36" i="9"/>
  <c r="N39" i="9" s="1"/>
  <c r="P39" i="9" s="1"/>
  <c r="S36" i="14"/>
  <c r="P36" i="14"/>
  <c r="BG8" i="9"/>
  <c r="BC8" i="9"/>
  <c r="BD8" i="9"/>
  <c r="P34" i="5"/>
  <c r="O34" i="5"/>
  <c r="S34" i="5"/>
  <c r="N36" i="17"/>
  <c r="N39" i="17" s="1"/>
  <c r="P39" i="17" s="1"/>
  <c r="V39" i="14"/>
  <c r="X39" i="14" s="1"/>
  <c r="P16" i="17"/>
  <c r="S16" i="17"/>
  <c r="O16" i="17"/>
  <c r="O17" i="17" s="1"/>
  <c r="V16" i="17"/>
  <c r="AL8" i="9"/>
  <c r="O23" i="18"/>
  <c r="O30" i="18" s="1"/>
  <c r="S23" i="18"/>
  <c r="P23" i="18"/>
  <c r="V5" i="5"/>
  <c r="AM5" i="5" s="1"/>
  <c r="AU5" i="5" s="1"/>
  <c r="H5" i="6"/>
  <c r="K5" i="6"/>
  <c r="G5" i="6"/>
  <c r="X23" i="9"/>
  <c r="W23" i="9"/>
  <c r="W30" i="9" s="1"/>
  <c r="AA23" i="9"/>
  <c r="BC31" i="9"/>
  <c r="BD31" i="9"/>
  <c r="BG31" i="9"/>
  <c r="BB39" i="9"/>
  <c r="BD39" i="9" s="1"/>
  <c r="G31" i="18"/>
  <c r="AT31" i="18"/>
  <c r="BB31" i="18" s="1"/>
  <c r="K31" i="18"/>
  <c r="H31" i="18"/>
  <c r="O31" i="5"/>
  <c r="S31" i="5"/>
  <c r="P31" i="5"/>
  <c r="AY32" i="6"/>
  <c r="AU32" i="6"/>
  <c r="BA32" i="6"/>
  <c r="AV32" i="6"/>
  <c r="AP24" i="4"/>
  <c r="AS24" i="4"/>
  <c r="AO24" i="4"/>
  <c r="AY6" i="6"/>
  <c r="AV6" i="6"/>
  <c r="AU6" i="6"/>
  <c r="BA6" i="6"/>
  <c r="X10" i="17"/>
  <c r="W10" i="17"/>
  <c r="AA10" i="17"/>
  <c r="AV40" i="18"/>
  <c r="AY40" i="18"/>
  <c r="AU40" i="18"/>
  <c r="BY11" i="9"/>
  <c r="BS11" i="9"/>
  <c r="BT11" i="9"/>
  <c r="BW11" i="9"/>
  <c r="AP38" i="4"/>
  <c r="AS38" i="4"/>
  <c r="AO38" i="4"/>
  <c r="AP51" i="4"/>
  <c r="AO51" i="4"/>
  <c r="AS51" i="4"/>
  <c r="O22" i="17"/>
  <c r="P22" i="17"/>
  <c r="S22" i="17"/>
  <c r="V22" i="17"/>
  <c r="AD22" i="17" s="1"/>
  <c r="N30" i="17"/>
  <c r="P30" i="17" s="1"/>
  <c r="AV10" i="6"/>
  <c r="AU10" i="6"/>
  <c r="AY10" i="6"/>
  <c r="BA10" i="6"/>
  <c r="AO11" i="4"/>
  <c r="AS11" i="4"/>
  <c r="AP11" i="4"/>
  <c r="AV20" i="9"/>
  <c r="AT21" i="9"/>
  <c r="AV21" i="9" s="1"/>
  <c r="BW40" i="9"/>
  <c r="BS40" i="9"/>
  <c r="BT40" i="9"/>
  <c r="BY40" i="9"/>
  <c r="W14" i="17"/>
  <c r="AA14" i="17"/>
  <c r="X14" i="17"/>
  <c r="S19" i="14"/>
  <c r="P19" i="14"/>
  <c r="O20" i="14"/>
  <c r="AF19" i="6"/>
  <c r="AE19" i="6"/>
  <c r="AE20" i="6" s="1"/>
  <c r="AI19" i="6"/>
  <c r="AY19" i="6"/>
  <c r="AV19" i="6"/>
  <c r="BA19" i="6"/>
  <c r="AU19" i="6"/>
  <c r="AS26" i="4"/>
  <c r="AP26" i="4"/>
  <c r="AO26" i="4"/>
  <c r="BA12" i="6"/>
  <c r="AU12" i="6"/>
  <c r="AV12" i="6"/>
  <c r="AY12" i="6"/>
  <c r="AM30" i="6"/>
  <c r="AE25" i="5"/>
  <c r="AI25" i="5"/>
  <c r="AV34" i="6"/>
  <c r="AU34" i="6"/>
  <c r="AY34" i="6"/>
  <c r="G20" i="9"/>
  <c r="BO46" i="9"/>
  <c r="BL46" i="9"/>
  <c r="BJ57" i="9"/>
  <c r="BL57" i="9" s="1"/>
  <c r="BK46" i="9"/>
  <c r="BA28" i="6"/>
  <c r="AU28" i="6"/>
  <c r="AV28" i="6"/>
  <c r="AY28" i="6"/>
  <c r="AU37" i="18"/>
  <c r="AV37" i="18"/>
  <c r="AY37" i="18"/>
  <c r="AY7" i="18"/>
  <c r="AV7" i="18"/>
  <c r="AU7" i="18"/>
  <c r="AA44" i="17"/>
  <c r="W44" i="17"/>
  <c r="X44" i="17"/>
  <c r="AS33" i="4"/>
  <c r="AP33" i="4"/>
  <c r="AO33" i="4"/>
  <c r="AY43" i="6"/>
  <c r="AU43" i="6"/>
  <c r="AV43" i="6"/>
  <c r="BA43" i="6"/>
  <c r="X25" i="17"/>
  <c r="AA25" i="17"/>
  <c r="W25" i="17"/>
  <c r="P5" i="5"/>
  <c r="S5" i="5"/>
  <c r="O5" i="5"/>
  <c r="AP25" i="4"/>
  <c r="AS25" i="4"/>
  <c r="AO25" i="4"/>
  <c r="AM19" i="18"/>
  <c r="AQ19" i="18"/>
  <c r="AI28" i="5"/>
  <c r="AE28" i="5"/>
  <c r="P40" i="17"/>
  <c r="O40" i="17"/>
  <c r="S40" i="17"/>
  <c r="V40" i="17"/>
  <c r="AD40" i="17" s="1"/>
  <c r="AD57" i="5"/>
  <c r="AF57" i="5" s="1"/>
  <c r="AI46" i="5"/>
  <c r="AE46" i="5"/>
  <c r="BO55" i="9"/>
  <c r="BL55" i="9"/>
  <c r="BK55" i="9"/>
  <c r="AS10" i="4"/>
  <c r="AP10" i="4"/>
  <c r="AO10" i="4"/>
  <c r="AM18" i="18"/>
  <c r="AQ18" i="18"/>
  <c r="AL20" i="18"/>
  <c r="AP27" i="4"/>
  <c r="AO27" i="4"/>
  <c r="AS27" i="4"/>
  <c r="AV11" i="18"/>
  <c r="AU11" i="18"/>
  <c r="AY11" i="18"/>
  <c r="AV51" i="18"/>
  <c r="AY51" i="18"/>
  <c r="AU51" i="18"/>
  <c r="BO15" i="9"/>
  <c r="BK15" i="9"/>
  <c r="BL15" i="9"/>
  <c r="BY38" i="9"/>
  <c r="BS38" i="9"/>
  <c r="BT38" i="9"/>
  <c r="BW38" i="9"/>
  <c r="BJ42" i="9"/>
  <c r="BJ45" i="9" s="1"/>
  <c r="BL45" i="9" s="1"/>
  <c r="AU42" i="9"/>
  <c r="AU45" i="9" s="1"/>
  <c r="AY42" i="9"/>
  <c r="AV42" i="9"/>
  <c r="AA42" i="14"/>
  <c r="X42" i="14"/>
  <c r="W45" i="14"/>
  <c r="BA27" i="6"/>
  <c r="AY27" i="6"/>
  <c r="AU27" i="6"/>
  <c r="AV27" i="6"/>
  <c r="AO25" i="5"/>
  <c r="AN25" i="5"/>
  <c r="AR25" i="5"/>
  <c r="BG23" i="9"/>
  <c r="BD23" i="9"/>
  <c r="BC23" i="9"/>
  <c r="AS47" i="4"/>
  <c r="AO47" i="4"/>
  <c r="AP47" i="4"/>
  <c r="AF7" i="5"/>
  <c r="AI7" i="5"/>
  <c r="AE7" i="5"/>
  <c r="BO37" i="9"/>
  <c r="BK37" i="9"/>
  <c r="BL37" i="9"/>
  <c r="AF20" i="9"/>
  <c r="BO25" i="9"/>
  <c r="BL25" i="9"/>
  <c r="BK25" i="9"/>
  <c r="BY27" i="9"/>
  <c r="BT27" i="9"/>
  <c r="BW27" i="9"/>
  <c r="BS27" i="9"/>
  <c r="AO43" i="4"/>
  <c r="AS43" i="4"/>
  <c r="AP43" i="4"/>
  <c r="W14" i="18"/>
  <c r="W17" i="18" s="1"/>
  <c r="AA14" i="18"/>
  <c r="V17" i="18"/>
  <c r="X17" i="18" s="1"/>
  <c r="V16" i="6"/>
  <c r="AL34" i="14"/>
  <c r="AI34" i="9"/>
  <c r="AE34" i="9"/>
  <c r="AF34" i="9"/>
  <c r="AL12" i="14"/>
  <c r="X34" i="9"/>
  <c r="AA34" i="9"/>
  <c r="W34" i="9"/>
  <c r="H42" i="5"/>
  <c r="K42" i="5"/>
  <c r="G42" i="5"/>
  <c r="G45" i="5" s="1"/>
  <c r="K29" i="5"/>
  <c r="G29" i="5"/>
  <c r="G30" i="5" s="1"/>
  <c r="N36" i="18"/>
  <c r="N39" i="18" s="1"/>
  <c r="P39" i="18" s="1"/>
  <c r="AI34" i="18"/>
  <c r="AE34" i="18"/>
  <c r="S9" i="14"/>
  <c r="P9" i="14"/>
  <c r="AT14" i="6"/>
  <c r="X23" i="14"/>
  <c r="W30" i="14"/>
  <c r="AA23" i="14"/>
  <c r="P8" i="14"/>
  <c r="S8" i="14"/>
  <c r="K16" i="17"/>
  <c r="H16" i="17"/>
  <c r="G16" i="17"/>
  <c r="G17" i="17" s="1"/>
  <c r="X42" i="5"/>
  <c r="AA42" i="5"/>
  <c r="W42" i="5"/>
  <c r="W45" i="5" s="1"/>
  <c r="F14" i="5"/>
  <c r="X29" i="6"/>
  <c r="AA29" i="6"/>
  <c r="W29" i="6"/>
  <c r="AD42" i="5"/>
  <c r="AD45" i="5" s="1"/>
  <c r="AF45" i="5" s="1"/>
  <c r="AT8" i="6"/>
  <c r="AT13" i="6" s="1"/>
  <c r="AV13" i="6" s="1"/>
  <c r="AM42" i="9"/>
  <c r="AM45" i="9" s="1"/>
  <c r="AN42" i="9"/>
  <c r="AQ42" i="9"/>
  <c r="AI5" i="9"/>
  <c r="AD13" i="9"/>
  <c r="AF13" i="9" s="1"/>
  <c r="AE5" i="9"/>
  <c r="AF5" i="9"/>
  <c r="AT16" i="6"/>
  <c r="P23" i="17"/>
  <c r="O23" i="17"/>
  <c r="S23" i="17"/>
  <c r="V23" i="17"/>
  <c r="AD23" i="17" s="1"/>
  <c r="AM16" i="18"/>
  <c r="AM17" i="18" s="1"/>
  <c r="AQ16" i="18"/>
  <c r="S31" i="4"/>
  <c r="N39" i="4"/>
  <c r="P39" i="4" s="1"/>
  <c r="P31" i="4"/>
  <c r="O31" i="4"/>
  <c r="AA31" i="18"/>
  <c r="W31" i="18"/>
  <c r="X31" i="18"/>
  <c r="AI6" i="5"/>
  <c r="AF6" i="5"/>
  <c r="AE6" i="5"/>
  <c r="AY33" i="6"/>
  <c r="BA33" i="6"/>
  <c r="AV33" i="6"/>
  <c r="AU33" i="6"/>
  <c r="AE57" i="18"/>
  <c r="W11" i="17"/>
  <c r="X11" i="17"/>
  <c r="AA11" i="17"/>
  <c r="BW9" i="9"/>
  <c r="BY9" i="9"/>
  <c r="BT9" i="9"/>
  <c r="BS9" i="9"/>
  <c r="AI52" i="5"/>
  <c r="AF52" i="5"/>
  <c r="AE52" i="5"/>
  <c r="BO16" i="9"/>
  <c r="BK16" i="9"/>
  <c r="BL16" i="9"/>
  <c r="AU12" i="18"/>
  <c r="AY12" i="18"/>
  <c r="AV12" i="18"/>
  <c r="AS15" i="4"/>
  <c r="AP15" i="4"/>
  <c r="AO15" i="4"/>
  <c r="AF10" i="5"/>
  <c r="AE10" i="5"/>
  <c r="AI10" i="5"/>
  <c r="AE14" i="4"/>
  <c r="AF14" i="4"/>
  <c r="AI14" i="4"/>
  <c r="AA22" i="18"/>
  <c r="W22" i="18"/>
  <c r="X22" i="18"/>
  <c r="V30" i="18"/>
  <c r="X30" i="18" s="1"/>
  <c r="BA7" i="6"/>
  <c r="AU7" i="6"/>
  <c r="AV7" i="6"/>
  <c r="AY7" i="6"/>
  <c r="BO54" i="9"/>
  <c r="BK54" i="9"/>
  <c r="BL54" i="9"/>
  <c r="BK22" i="9"/>
  <c r="BO22" i="9"/>
  <c r="BL22" i="9"/>
  <c r="V45" i="5"/>
  <c r="X45" i="5" s="1"/>
  <c r="G57" i="5"/>
  <c r="N17" i="17"/>
  <c r="P17" i="17" s="1"/>
  <c r="F14" i="15" s="1"/>
  <c r="AA46" i="17"/>
  <c r="W46" i="17"/>
  <c r="X46" i="17"/>
  <c r="V57" i="17"/>
  <c r="X57" i="17" s="1"/>
  <c r="AN49" i="5"/>
  <c r="AR49" i="5"/>
  <c r="G17" i="4"/>
  <c r="BA53" i="6"/>
  <c r="AU53" i="6"/>
  <c r="AY53" i="6"/>
  <c r="AT14" i="18"/>
  <c r="BB14" i="18" s="1"/>
  <c r="AF40" i="5"/>
  <c r="AI40" i="5"/>
  <c r="AE40" i="5"/>
  <c r="AU51" i="6"/>
  <c r="AV51" i="6"/>
  <c r="AY51" i="6"/>
  <c r="BA51" i="6"/>
  <c r="BO40" i="9"/>
  <c r="BK40" i="9"/>
  <c r="BL40" i="9"/>
  <c r="AY26" i="18"/>
  <c r="AV26" i="18"/>
  <c r="AU26" i="18"/>
  <c r="BO43" i="9"/>
  <c r="BK43" i="9"/>
  <c r="BL43" i="9"/>
  <c r="W41" i="17"/>
  <c r="X41" i="17"/>
  <c r="AA41" i="17"/>
  <c r="BY46" i="9"/>
  <c r="BW46" i="9"/>
  <c r="BT46" i="9"/>
  <c r="BS46" i="9"/>
  <c r="BR57" i="9"/>
  <c r="BT57" i="9" s="1"/>
  <c r="AF33" i="5"/>
  <c r="AE33" i="5"/>
  <c r="AI33" i="5"/>
  <c r="AE43" i="5"/>
  <c r="AI43" i="5"/>
  <c r="BO38" i="9"/>
  <c r="BL38" i="9"/>
  <c r="BK38" i="9"/>
  <c r="H20" i="17"/>
  <c r="AF18" i="5"/>
  <c r="AE18" i="5"/>
  <c r="AD20" i="5"/>
  <c r="AI18" i="5"/>
  <c r="W57" i="6"/>
  <c r="X35" i="17"/>
  <c r="W35" i="17"/>
  <c r="AA35" i="17"/>
  <c r="AO46" i="4"/>
  <c r="AS46" i="4"/>
  <c r="AN57" i="4"/>
  <c r="AP57" i="4" s="1"/>
  <c r="AI56" i="5"/>
  <c r="AE56" i="5"/>
  <c r="AY40" i="6"/>
  <c r="AU40" i="6"/>
  <c r="BA40" i="6"/>
  <c r="AV40" i="6"/>
  <c r="BO6" i="9"/>
  <c r="BK6" i="9"/>
  <c r="BL6" i="9"/>
  <c r="BO10" i="9"/>
  <c r="BK10" i="9"/>
  <c r="BL10" i="9"/>
  <c r="K26" i="4"/>
  <c r="G26" i="4"/>
  <c r="G30" i="4" s="1"/>
  <c r="H26" i="4"/>
  <c r="BY28" i="9"/>
  <c r="BT28" i="9"/>
  <c r="BS28" i="9"/>
  <c r="BW28" i="9"/>
  <c r="BR20" i="9"/>
  <c r="BY18" i="9"/>
  <c r="BS18" i="9"/>
  <c r="BW18" i="9"/>
  <c r="BT18" i="9"/>
  <c r="BY53" i="9"/>
  <c r="BT53" i="9"/>
  <c r="BS53" i="9"/>
  <c r="BW53" i="9"/>
  <c r="AT22" i="18"/>
  <c r="BB22" i="18" s="1"/>
  <c r="AQ31" i="6"/>
  <c r="AN31" i="6"/>
  <c r="AM31" i="6"/>
  <c r="AL39" i="6"/>
  <c r="AN39" i="6" s="1"/>
  <c r="AF15" i="5"/>
  <c r="AE15" i="5"/>
  <c r="AI15" i="5"/>
  <c r="BR8" i="9"/>
  <c r="BR13" i="9" s="1"/>
  <c r="BT13" i="9" s="1"/>
  <c r="AF19" i="5"/>
  <c r="AI19" i="5"/>
  <c r="AE19" i="5"/>
  <c r="O15" i="5"/>
  <c r="O17" i="5" s="1"/>
  <c r="S15" i="5"/>
  <c r="P15" i="5"/>
  <c r="AM15" i="5"/>
  <c r="AU15" i="5" s="1"/>
  <c r="N36" i="6"/>
  <c r="N39" i="6" s="1"/>
  <c r="P39" i="6" s="1"/>
  <c r="BA22" i="6"/>
  <c r="AU22" i="6"/>
  <c r="AV22" i="6"/>
  <c r="AY22" i="6"/>
  <c r="AL11" i="14"/>
  <c r="N30" i="14"/>
  <c r="P30" i="14" s="1"/>
  <c r="S29" i="14"/>
  <c r="P29" i="14"/>
  <c r="BR42" i="9"/>
  <c r="AL25" i="14"/>
  <c r="AF42" i="6"/>
  <c r="AE42" i="6"/>
  <c r="AE45" i="6" s="1"/>
  <c r="AI42" i="6"/>
  <c r="AI23" i="6"/>
  <c r="AE23" i="6"/>
  <c r="AF23" i="6"/>
  <c r="F8" i="9"/>
  <c r="F13" i="9" s="1"/>
  <c r="H13" i="9" s="1"/>
  <c r="K34" i="4"/>
  <c r="H34" i="4"/>
  <c r="G34" i="4"/>
  <c r="AI42" i="18"/>
  <c r="AF42" i="18"/>
  <c r="AE42" i="18"/>
  <c r="AE45" i="18" s="1"/>
  <c r="V36" i="18"/>
  <c r="X29" i="4"/>
  <c r="W29" i="4"/>
  <c r="AA29" i="4"/>
  <c r="AN29" i="4"/>
  <c r="AV29" i="4" s="1"/>
  <c r="V8" i="4"/>
  <c r="X29" i="18"/>
  <c r="W29" i="18"/>
  <c r="AA29" i="18"/>
  <c r="V16" i="5"/>
  <c r="V17" i="5" s="1"/>
  <c r="X17" i="5" s="1"/>
  <c r="F18" i="15" s="1"/>
  <c r="AD36" i="18"/>
  <c r="AD39" i="18" s="1"/>
  <c r="AF39" i="18" s="1"/>
  <c r="N36" i="5"/>
  <c r="S42" i="9"/>
  <c r="P42" i="9"/>
  <c r="O42" i="9"/>
  <c r="O45" i="9" s="1"/>
  <c r="AL36" i="9"/>
  <c r="S42" i="18"/>
  <c r="P42" i="18"/>
  <c r="O42" i="18"/>
  <c r="O45" i="18" s="1"/>
  <c r="AN42" i="6"/>
  <c r="AQ42" i="6"/>
  <c r="AM42" i="6"/>
  <c r="AM45" i="6" s="1"/>
  <c r="AA23" i="5"/>
  <c r="X23" i="5"/>
  <c r="W23" i="5"/>
  <c r="AF29" i="9"/>
  <c r="AI29" i="9"/>
  <c r="AE29" i="9"/>
  <c r="AE30" i="9" s="1"/>
  <c r="AD34" i="5"/>
  <c r="G8" i="4"/>
  <c r="H8" i="4"/>
  <c r="K8" i="4"/>
  <c r="V5" i="6"/>
  <c r="BA5" i="6" s="1"/>
  <c r="G29" i="17"/>
  <c r="G30" i="17" s="1"/>
  <c r="H29" i="17"/>
  <c r="K29" i="17"/>
  <c r="F39" i="5"/>
  <c r="H39" i="5" s="1"/>
  <c r="K36" i="5"/>
  <c r="G36" i="5"/>
  <c r="H36" i="5"/>
  <c r="S9" i="6"/>
  <c r="O9" i="6"/>
  <c r="P9" i="6"/>
  <c r="K31" i="4"/>
  <c r="H31" i="4"/>
  <c r="G31" i="4"/>
  <c r="F39" i="4"/>
  <c r="H39" i="4" s="1"/>
  <c r="AA31" i="5"/>
  <c r="W31" i="5"/>
  <c r="V39" i="5"/>
  <c r="X39" i="5" s="1"/>
  <c r="X31" i="5"/>
  <c r="BR31" i="9"/>
  <c r="AV48" i="18"/>
  <c r="AU48" i="18"/>
  <c r="AY48" i="18"/>
  <c r="BW35" i="9"/>
  <c r="BT35" i="9"/>
  <c r="BS35" i="9"/>
  <c r="AP52" i="4"/>
  <c r="AS52" i="4"/>
  <c r="AO52" i="4"/>
  <c r="AU13" i="9"/>
  <c r="AM57" i="9"/>
  <c r="BO51" i="9"/>
  <c r="BK51" i="9"/>
  <c r="BL51" i="9"/>
  <c r="AY49" i="6"/>
  <c r="AU49" i="6"/>
  <c r="BA49" i="6"/>
  <c r="AV49" i="6"/>
  <c r="AI54" i="5"/>
  <c r="AE54" i="5"/>
  <c r="BO32" i="9"/>
  <c r="BL32" i="9"/>
  <c r="BK32" i="9"/>
  <c r="AP55" i="4"/>
  <c r="AS55" i="4"/>
  <c r="AO55" i="4"/>
  <c r="AE53" i="5"/>
  <c r="AI53" i="5"/>
  <c r="AY5" i="6"/>
  <c r="AU5" i="6"/>
  <c r="AV5" i="6"/>
  <c r="AA15" i="17"/>
  <c r="W15" i="17"/>
  <c r="X15" i="17"/>
  <c r="AV35" i="6"/>
  <c r="AU35" i="6"/>
  <c r="AY35" i="6"/>
  <c r="BA35" i="6"/>
  <c r="AV56" i="18"/>
  <c r="AY56" i="18"/>
  <c r="AU56" i="18"/>
  <c r="BO28" i="9"/>
  <c r="BL28" i="9"/>
  <c r="BK28" i="9"/>
  <c r="AU23" i="6"/>
  <c r="AV23" i="6"/>
  <c r="AY23" i="6"/>
  <c r="BA23" i="6"/>
  <c r="AU20" i="9"/>
  <c r="BB30" i="9"/>
  <c r="BD30" i="9" s="1"/>
  <c r="P19" i="9"/>
  <c r="O19" i="9"/>
  <c r="O20" i="9" s="1"/>
  <c r="S19" i="9"/>
  <c r="W53" i="17"/>
  <c r="X53" i="17"/>
  <c r="AA53" i="17"/>
  <c r="X52" i="17"/>
  <c r="AA52" i="17"/>
  <c r="W52" i="17"/>
  <c r="S9" i="18"/>
  <c r="O9" i="18"/>
  <c r="O13" i="18" s="1"/>
  <c r="P9" i="18"/>
  <c r="AV44" i="6"/>
  <c r="AU44" i="6"/>
  <c r="BA44" i="6"/>
  <c r="AY44" i="6"/>
  <c r="AA28" i="17"/>
  <c r="W28" i="17"/>
  <c r="X28" i="17"/>
  <c r="G57" i="6"/>
  <c r="AY35" i="18"/>
  <c r="AV35" i="18"/>
  <c r="AU35" i="18"/>
  <c r="BO48" i="9"/>
  <c r="BK48" i="9"/>
  <c r="BL48" i="9"/>
  <c r="AR32" i="5"/>
  <c r="AO32" i="5"/>
  <c r="AN32" i="5"/>
  <c r="AT29" i="18"/>
  <c r="BB29" i="18" s="1"/>
  <c r="AE9" i="5"/>
  <c r="AF9" i="5"/>
  <c r="AI9" i="5"/>
  <c r="X42" i="6"/>
  <c r="W42" i="6"/>
  <c r="W45" i="6" s="1"/>
  <c r="AA42" i="6"/>
  <c r="X50" i="17"/>
  <c r="W50" i="17"/>
  <c r="AA50" i="17"/>
  <c r="O20" i="18"/>
  <c r="BT5" i="9"/>
  <c r="BS5" i="9"/>
  <c r="BW5" i="9"/>
  <c r="BY5" i="9"/>
  <c r="G13" i="5"/>
  <c r="G57" i="9"/>
  <c r="BY54" i="9"/>
  <c r="BW54" i="9"/>
  <c r="BS54" i="9"/>
  <c r="BT54" i="9"/>
  <c r="AF41" i="5"/>
  <c r="AE41" i="5"/>
  <c r="AI41" i="5"/>
  <c r="O57" i="14"/>
  <c r="W34" i="5"/>
  <c r="AA34" i="5"/>
  <c r="X34" i="5"/>
  <c r="AP56" i="4"/>
  <c r="AO56" i="4"/>
  <c r="AS56" i="4"/>
  <c r="V30" i="9"/>
  <c r="X30" i="9" s="1"/>
  <c r="G20" i="17"/>
  <c r="AS32" i="4"/>
  <c r="AO32" i="4"/>
  <c r="AP32" i="4"/>
  <c r="BO53" i="9"/>
  <c r="BL53" i="9"/>
  <c r="BK53" i="9"/>
  <c r="AM13" i="18"/>
  <c r="AM7" i="5"/>
  <c r="AU7" i="5" s="1"/>
  <c r="BA25" i="6"/>
  <c r="AV25" i="6"/>
  <c r="AY25" i="6"/>
  <c r="AU25" i="6"/>
  <c r="AI48" i="5"/>
  <c r="AE48" i="5"/>
  <c r="V45" i="14"/>
  <c r="X45" i="14" s="1"/>
  <c r="AD45" i="6"/>
  <c r="AF45" i="6" s="1"/>
  <c r="BT16" i="9"/>
  <c r="BS16" i="9"/>
  <c r="BW16" i="9"/>
  <c r="BY56" i="9"/>
  <c r="BT56" i="9"/>
  <c r="BS56" i="9"/>
  <c r="BW56" i="9"/>
  <c r="AU50" i="18"/>
  <c r="AY50" i="18"/>
  <c r="AV50" i="18"/>
  <c r="X56" i="17"/>
  <c r="W56" i="17"/>
  <c r="AA56" i="17"/>
  <c r="AE17" i="6"/>
  <c r="BA54" i="6"/>
  <c r="AV54" i="6"/>
  <c r="AU54" i="6"/>
  <c r="AY54" i="6"/>
  <c r="AI24" i="5"/>
  <c r="AE24" i="5"/>
  <c r="AF24" i="5"/>
  <c r="AY15" i="6"/>
  <c r="AU15" i="6"/>
  <c r="AV15" i="6"/>
  <c r="BA15" i="6"/>
  <c r="W57" i="5"/>
  <c r="K34" i="17"/>
  <c r="G34" i="17"/>
  <c r="H34" i="17"/>
  <c r="S8" i="6"/>
  <c r="O8" i="6"/>
  <c r="P8" i="6"/>
  <c r="AA8" i="5"/>
  <c r="W8" i="5"/>
  <c r="X8" i="5"/>
  <c r="P31" i="18"/>
  <c r="O31" i="18"/>
  <c r="S31" i="18"/>
  <c r="AY53" i="18"/>
  <c r="AV53" i="18"/>
  <c r="AU53" i="18"/>
  <c r="BO26" i="9"/>
  <c r="BK26" i="9"/>
  <c r="BL26" i="9"/>
  <c r="AL30" i="9"/>
  <c r="AN30" i="9" s="1"/>
  <c r="AQ29" i="9"/>
  <c r="AM29" i="9"/>
  <c r="AN29" i="9"/>
  <c r="BO47" i="9"/>
  <c r="BK47" i="9"/>
  <c r="BL47" i="9"/>
  <c r="N13" i="6"/>
  <c r="P13" i="6" s="1"/>
  <c r="AA32" i="17"/>
  <c r="X32" i="17"/>
  <c r="W32" i="17"/>
  <c r="O57" i="18"/>
  <c r="AA34" i="4"/>
  <c r="X34" i="4"/>
  <c r="W34" i="4"/>
  <c r="W39" i="4" s="1"/>
  <c r="AA34" i="18"/>
  <c r="W34" i="18"/>
  <c r="AL26" i="14"/>
  <c r="AL32" i="14"/>
  <c r="G29" i="9"/>
  <c r="G30" i="9" s="1"/>
  <c r="K29" i="9"/>
  <c r="H29" i="9"/>
  <c r="AL51" i="14"/>
  <c r="AL48" i="14"/>
  <c r="AL28" i="14"/>
  <c r="P29" i="5"/>
  <c r="O29" i="5"/>
  <c r="S29" i="5"/>
  <c r="F36" i="9"/>
  <c r="F39" i="9" s="1"/>
  <c r="H39" i="9" s="1"/>
  <c r="BC34" i="9"/>
  <c r="BG34" i="9"/>
  <c r="X29" i="5"/>
  <c r="W29" i="5"/>
  <c r="AA29" i="5"/>
  <c r="S23" i="5"/>
  <c r="O23" i="5"/>
  <c r="P23" i="5"/>
  <c r="H34" i="18"/>
  <c r="K34" i="18"/>
  <c r="G34" i="18"/>
  <c r="AT34" i="18"/>
  <c r="BB34" i="18" s="1"/>
  <c r="AA34" i="6"/>
  <c r="X34" i="6"/>
  <c r="W34" i="6"/>
  <c r="H42" i="18"/>
  <c r="G42" i="18"/>
  <c r="G45" i="18" s="1"/>
  <c r="K42" i="18"/>
  <c r="AT42" i="18"/>
  <c r="BB42" i="18" s="1"/>
  <c r="BR36" i="9"/>
  <c r="N5" i="4"/>
  <c r="AD16" i="4"/>
  <c r="AD17" i="4" s="1"/>
  <c r="AT29" i="6"/>
  <c r="AT30" i="6" s="1"/>
  <c r="AV30" i="6" s="1"/>
  <c r="AT42" i="6"/>
  <c r="AT45" i="6" s="1"/>
  <c r="AV45" i="6" s="1"/>
  <c r="P23" i="14"/>
  <c r="S23" i="14"/>
  <c r="AM36" i="6"/>
  <c r="AN36" i="6"/>
  <c r="AQ36" i="6"/>
  <c r="H42" i="14"/>
  <c r="K42" i="14"/>
  <c r="H9" i="14"/>
  <c r="K9" i="14"/>
  <c r="H23" i="14"/>
  <c r="K23" i="14"/>
  <c r="AA16" i="4"/>
  <c r="W16" i="4"/>
  <c r="W17" i="4" s="1"/>
  <c r="X16" i="4"/>
  <c r="O34" i="4"/>
  <c r="P34" i="4"/>
  <c r="S34" i="4"/>
  <c r="S16" i="14"/>
  <c r="P16" i="14"/>
  <c r="W9" i="18"/>
  <c r="W13" i="18" s="1"/>
  <c r="AA9" i="18"/>
  <c r="X9" i="18"/>
  <c r="G31" i="17"/>
  <c r="K31" i="17"/>
  <c r="H31" i="17"/>
  <c r="F39" i="17"/>
  <c r="H39" i="17" s="1"/>
  <c r="P31" i="14"/>
  <c r="S31" i="14"/>
  <c r="N39" i="14"/>
  <c r="P39" i="14" s="1"/>
  <c r="BW10" i="9"/>
  <c r="BS10" i="9"/>
  <c r="BT10" i="9"/>
  <c r="BT14" i="9"/>
  <c r="BS14" i="9"/>
  <c r="BW14" i="9"/>
  <c r="BR17" i="9"/>
  <c r="BT17" i="9" s="1"/>
  <c r="P20" i="18"/>
  <c r="AV55" i="18"/>
  <c r="AY55" i="18"/>
  <c r="AU55" i="18"/>
  <c r="AL45" i="6"/>
  <c r="AN45" i="6" s="1"/>
  <c r="AN44" i="5"/>
  <c r="AO44" i="5"/>
  <c r="AR44" i="5"/>
  <c r="AE57" i="4"/>
  <c r="BY37" i="9"/>
  <c r="BW37" i="9"/>
  <c r="BT37" i="9"/>
  <c r="BS37" i="9"/>
  <c r="BY32" i="9"/>
  <c r="BT32" i="9"/>
  <c r="BW32" i="9"/>
  <c r="BS32" i="9"/>
  <c r="V39" i="4"/>
  <c r="X39" i="4" s="1"/>
  <c r="O17" i="4"/>
  <c r="AF51" i="5"/>
  <c r="AE51" i="5"/>
  <c r="AI51" i="5"/>
  <c r="H20" i="6"/>
  <c r="F21" i="6"/>
  <c r="H21" i="6" s="1"/>
  <c r="BO33" i="9"/>
  <c r="BK33" i="9"/>
  <c r="BL33" i="9"/>
  <c r="AV38" i="6"/>
  <c r="AU38" i="6"/>
  <c r="AY38" i="6"/>
  <c r="BA38" i="6"/>
  <c r="AE12" i="5"/>
  <c r="AF12" i="5"/>
  <c r="AI12" i="5"/>
  <c r="AU18" i="6"/>
  <c r="AV18" i="6"/>
  <c r="AT20" i="6"/>
  <c r="BA18" i="6"/>
  <c r="AY18" i="6"/>
  <c r="BY44" i="9"/>
  <c r="BW44" i="9"/>
  <c r="BS44" i="9"/>
  <c r="BT44" i="9"/>
  <c r="AV33" i="18"/>
  <c r="AY33" i="18"/>
  <c r="AU33" i="18"/>
  <c r="H20" i="14"/>
  <c r="F21" i="14"/>
  <c r="H21" i="14" s="1"/>
  <c r="AF44" i="5"/>
  <c r="AI44" i="5"/>
  <c r="AE44" i="5"/>
  <c r="BY49" i="9"/>
  <c r="BS49" i="9"/>
  <c r="BW49" i="9"/>
  <c r="BT49" i="9"/>
  <c r="BS19" i="9"/>
  <c r="BW19" i="9"/>
  <c r="BT19" i="9"/>
  <c r="S23" i="6"/>
  <c r="O23" i="6"/>
  <c r="P23" i="6"/>
  <c r="AI55" i="5"/>
  <c r="AE55" i="5"/>
  <c r="AF55" i="5"/>
  <c r="AI27" i="5"/>
  <c r="AF27" i="5"/>
  <c r="AE27" i="5"/>
  <c r="AY52" i="18"/>
  <c r="AU52" i="18"/>
  <c r="AV52" i="18"/>
  <c r="AM5" i="6"/>
  <c r="AM13" i="6" s="1"/>
  <c r="AN5" i="6"/>
  <c r="AL13" i="6"/>
  <c r="AN13" i="6" s="1"/>
  <c r="AQ5" i="6"/>
  <c r="BO11" i="9"/>
  <c r="BK11" i="9"/>
  <c r="BL11" i="9"/>
  <c r="K41" i="14"/>
  <c r="H41" i="14"/>
  <c r="F45" i="14"/>
  <c r="H45" i="14" s="1"/>
  <c r="AN36" i="4"/>
  <c r="AV36" i="4" s="1"/>
  <c r="O57" i="17"/>
  <c r="AN14" i="4"/>
  <c r="AV14" i="4" s="1"/>
  <c r="W18" i="17"/>
  <c r="AA18" i="17"/>
  <c r="V20" i="17"/>
  <c r="X18" i="17"/>
  <c r="AM10" i="5"/>
  <c r="AU10" i="5" s="1"/>
  <c r="F30" i="14"/>
  <c r="AL21" i="6"/>
  <c r="AN21" i="6" s="1"/>
  <c r="AN20" i="6"/>
  <c r="BC57" i="9"/>
  <c r="W20" i="4"/>
  <c r="BY6" i="9"/>
  <c r="BT6" i="9"/>
  <c r="BW6" i="9"/>
  <c r="BS6" i="9"/>
  <c r="AA37" i="17"/>
  <c r="X37" i="17"/>
  <c r="W37" i="17"/>
  <c r="BA11" i="6"/>
  <c r="AY11" i="6"/>
  <c r="AV11" i="6"/>
  <c r="AU11" i="6"/>
  <c r="AE5" i="5"/>
  <c r="AI5" i="5"/>
  <c r="AD13" i="5"/>
  <c r="AF13" i="5" s="1"/>
  <c r="AF5" i="5"/>
  <c r="AU52" i="6"/>
  <c r="AY52" i="6"/>
  <c r="AV52" i="6"/>
  <c r="BA52" i="6"/>
  <c r="BO44" i="9"/>
  <c r="BK44" i="9"/>
  <c r="BL44" i="9"/>
  <c r="K19" i="4"/>
  <c r="G19" i="4"/>
  <c r="H19" i="4"/>
  <c r="AI14" i="18"/>
  <c r="AE14" i="18"/>
  <c r="AE17" i="18" s="1"/>
  <c r="AD17" i="18"/>
  <c r="AF17" i="18" s="1"/>
  <c r="F5" i="15" s="1"/>
  <c r="AR24" i="5"/>
  <c r="AO24" i="5"/>
  <c r="AN24" i="5"/>
  <c r="K26" i="6"/>
  <c r="G26" i="6"/>
  <c r="H26" i="6"/>
  <c r="AM57" i="6"/>
  <c r="AI37" i="5"/>
  <c r="AE37" i="5"/>
  <c r="AF37" i="5"/>
  <c r="AP50" i="4"/>
  <c r="AO50" i="4"/>
  <c r="AS50" i="4"/>
  <c r="AO41" i="4"/>
  <c r="AP41" i="4"/>
  <c r="AS41" i="4"/>
  <c r="AA47" i="17"/>
  <c r="W47" i="17"/>
  <c r="X47" i="17"/>
  <c r="P31" i="17"/>
  <c r="S31" i="17"/>
  <c r="O31" i="17"/>
  <c r="V31" i="17"/>
  <c r="AD31" i="17" s="1"/>
  <c r="AQ23" i="18"/>
  <c r="AM23" i="18"/>
  <c r="AM30" i="18" s="1"/>
  <c r="AI11" i="5"/>
  <c r="AE11" i="5"/>
  <c r="AF11" i="5"/>
  <c r="BY55" i="9"/>
  <c r="BT55" i="9"/>
  <c r="BW55" i="9"/>
  <c r="BS55" i="9"/>
  <c r="AA38" i="17"/>
  <c r="W38" i="17"/>
  <c r="X38" i="17"/>
  <c r="AL22" i="14"/>
  <c r="AD45" i="4"/>
  <c r="AF45" i="4" s="1"/>
  <c r="AF42" i="4"/>
  <c r="AE42" i="4"/>
  <c r="AE45" i="4" s="1"/>
  <c r="AI42" i="4"/>
  <c r="H31" i="9"/>
  <c r="G31" i="9"/>
  <c r="K31" i="9"/>
  <c r="BA47" i="6"/>
  <c r="AY47" i="6"/>
  <c r="AV47" i="6"/>
  <c r="AU47" i="6"/>
  <c r="AO53" i="4"/>
  <c r="AP53" i="4"/>
  <c r="AS53" i="4"/>
  <c r="AS9" i="4"/>
  <c r="AP9" i="4"/>
  <c r="AO9" i="4"/>
  <c r="S7" i="17"/>
  <c r="P7" i="17"/>
  <c r="O7" i="17"/>
  <c r="V7" i="17"/>
  <c r="AD7" i="17" s="1"/>
  <c r="AE26" i="6"/>
  <c r="AF26" i="6"/>
  <c r="AI26" i="6"/>
  <c r="AN6" i="5"/>
  <c r="AR6" i="5"/>
  <c r="AO6" i="5"/>
  <c r="S8" i="4"/>
  <c r="P8" i="4"/>
  <c r="O8" i="4"/>
  <c r="AO56" i="5"/>
  <c r="AN56" i="5"/>
  <c r="AR56" i="5"/>
  <c r="AV41" i="18"/>
  <c r="AY41" i="18"/>
  <c r="AU41" i="18"/>
  <c r="AF38" i="5"/>
  <c r="AE38" i="5"/>
  <c r="AI38" i="5"/>
  <c r="AL31" i="14"/>
  <c r="AL52" i="14"/>
  <c r="H29" i="6"/>
  <c r="K29" i="6"/>
  <c r="G29" i="6"/>
  <c r="AL15" i="14"/>
  <c r="AL27" i="14"/>
  <c r="AL44" i="14"/>
  <c r="O42" i="4"/>
  <c r="O45" i="4" s="1"/>
  <c r="S42" i="4"/>
  <c r="P42" i="4"/>
  <c r="AL55" i="14"/>
  <c r="AL35" i="14"/>
  <c r="AL43" i="14"/>
  <c r="AD36" i="6"/>
  <c r="G42" i="17"/>
  <c r="G45" i="17" s="1"/>
  <c r="H42" i="17"/>
  <c r="K42" i="17"/>
  <c r="AF29" i="18"/>
  <c r="AE29" i="18"/>
  <c r="AE30" i="18" s="1"/>
  <c r="AI29" i="18"/>
  <c r="AL16" i="9"/>
  <c r="BA34" i="6"/>
  <c r="S34" i="6"/>
  <c r="P34" i="6"/>
  <c r="O34" i="6"/>
  <c r="K16" i="6"/>
  <c r="G16" i="6"/>
  <c r="G17" i="6" s="1"/>
  <c r="H16" i="6"/>
  <c r="BR23" i="9"/>
  <c r="W23" i="6"/>
  <c r="AA23" i="6"/>
  <c r="X23" i="6"/>
  <c r="AD16" i="5"/>
  <c r="O8" i="17"/>
  <c r="S8" i="17"/>
  <c r="V8" i="17"/>
  <c r="P8" i="17"/>
  <c r="BJ34" i="9"/>
  <c r="AU34" i="9"/>
  <c r="AY34" i="9"/>
  <c r="AV34" i="9"/>
  <c r="K9" i="4"/>
  <c r="H9" i="4"/>
  <c r="G9" i="4"/>
  <c r="V14" i="9"/>
  <c r="BY14" i="9" s="1"/>
  <c r="P29" i="6"/>
  <c r="S29" i="6"/>
  <c r="O29" i="6"/>
  <c r="G8" i="6"/>
  <c r="K8" i="6"/>
  <c r="H8" i="6"/>
  <c r="BR34" i="9"/>
  <c r="AE31" i="18"/>
  <c r="AI31" i="18"/>
  <c r="AF31" i="18"/>
  <c r="H31" i="5"/>
  <c r="G31" i="5"/>
  <c r="K31" i="5"/>
  <c r="H31" i="6"/>
  <c r="G31" i="6"/>
  <c r="K31" i="6"/>
  <c r="F39" i="6"/>
  <c r="H39" i="6" s="1"/>
  <c r="AA31" i="9"/>
  <c r="W31" i="9"/>
  <c r="X31" i="9"/>
  <c r="V39" i="9"/>
  <c r="X39" i="9" s="1"/>
  <c r="F30" i="17"/>
  <c r="H30" i="17" s="1"/>
  <c r="V20" i="5"/>
  <c r="X18" i="5"/>
  <c r="W18" i="5"/>
  <c r="W20" i="5" s="1"/>
  <c r="AA18" i="5"/>
  <c r="AO12" i="5"/>
  <c r="AR12" i="5"/>
  <c r="AN12" i="5"/>
  <c r="O57" i="4"/>
  <c r="N45" i="4"/>
  <c r="P45" i="4" s="1"/>
  <c r="W57" i="9"/>
  <c r="O20" i="6"/>
  <c r="K5" i="9"/>
  <c r="G5" i="9"/>
  <c r="H5" i="9"/>
  <c r="BB13" i="9"/>
  <c r="BD13" i="9" s="1"/>
  <c r="AY49" i="18"/>
  <c r="AU49" i="18"/>
  <c r="AV49" i="18"/>
  <c r="AE20" i="4"/>
  <c r="P20" i="4"/>
  <c r="N21" i="4"/>
  <c r="P21" i="4" s="1"/>
  <c r="AU54" i="18"/>
  <c r="AV54" i="18"/>
  <c r="AY54" i="18"/>
  <c r="AV43" i="18"/>
  <c r="AU43" i="18"/>
  <c r="AY43" i="18"/>
  <c r="AR33" i="5"/>
  <c r="AO33" i="5"/>
  <c r="AN33" i="5"/>
  <c r="AN59" i="18"/>
  <c r="E6" i="15" s="1"/>
  <c r="BO18" i="9"/>
  <c r="BK18" i="9"/>
  <c r="BL18" i="9"/>
  <c r="W27" i="17"/>
  <c r="X27" i="17"/>
  <c r="AA27" i="17"/>
  <c r="AN26" i="5"/>
  <c r="AR26" i="5"/>
  <c r="AO26" i="5"/>
  <c r="G13" i="17"/>
  <c r="O45" i="6"/>
  <c r="N45" i="18"/>
  <c r="P45" i="18" s="1"/>
  <c r="AV46" i="18"/>
  <c r="AU46" i="18"/>
  <c r="AY46" i="18"/>
  <c r="AT57" i="18"/>
  <c r="AV57" i="18" s="1"/>
  <c r="AN35" i="5"/>
  <c r="AR35" i="5"/>
  <c r="AO35" i="5"/>
  <c r="AI29" i="4"/>
  <c r="AE29" i="4"/>
  <c r="AF29" i="4"/>
  <c r="G18" i="4"/>
  <c r="H18" i="4"/>
  <c r="K18" i="4"/>
  <c r="F20" i="4"/>
  <c r="AU18" i="18"/>
  <c r="AV18" i="18"/>
  <c r="AY18" i="18"/>
  <c r="H20" i="18"/>
  <c r="O30" i="4"/>
  <c r="AU24" i="18"/>
  <c r="AY24" i="18"/>
  <c r="AV24" i="18"/>
  <c r="AN28" i="5"/>
  <c r="AO28" i="5"/>
  <c r="AR28" i="5"/>
  <c r="O20" i="17"/>
  <c r="N17" i="5"/>
  <c r="P17" i="5" s="1"/>
  <c r="F17" i="15" s="1"/>
  <c r="P13" i="14"/>
  <c r="AI32" i="5"/>
  <c r="AF32" i="5"/>
  <c r="AE32" i="5"/>
  <c r="AM27" i="5"/>
  <c r="AU27" i="5" s="1"/>
  <c r="BY22" i="9"/>
  <c r="BW22" i="9"/>
  <c r="BS22" i="9"/>
  <c r="BT22" i="9"/>
  <c r="F45" i="17"/>
  <c r="H45" i="17" s="1"/>
  <c r="V30" i="6"/>
  <c r="X30" i="6" s="1"/>
  <c r="G57" i="17"/>
  <c r="BB45" i="9"/>
  <c r="BD45" i="9" s="1"/>
  <c r="AM55" i="5"/>
  <c r="AU55" i="5" s="1"/>
  <c r="BO7" i="9"/>
  <c r="BK7" i="9"/>
  <c r="BL7" i="9"/>
  <c r="AP35" i="4"/>
  <c r="AS35" i="4"/>
  <c r="AO35" i="4"/>
  <c r="AE22" i="5"/>
  <c r="AI22" i="5"/>
  <c r="AF22" i="5"/>
  <c r="W9" i="17"/>
  <c r="X9" i="17"/>
  <c r="AA9" i="17"/>
  <c r="V30" i="14"/>
  <c r="X30" i="14" s="1"/>
  <c r="X26" i="17"/>
  <c r="W26" i="17"/>
  <c r="AA26" i="17"/>
  <c r="W48" i="17"/>
  <c r="AA48" i="17"/>
  <c r="F45" i="9"/>
  <c r="H45" i="9" s="1"/>
  <c r="F45" i="6"/>
  <c r="H45" i="6" s="1"/>
  <c r="AV44" i="18"/>
  <c r="AU44" i="18"/>
  <c r="AY44" i="18"/>
  <c r="BY26" i="9"/>
  <c r="BW26" i="9"/>
  <c r="BS26" i="9"/>
  <c r="BT26" i="9"/>
  <c r="W57" i="14"/>
  <c r="AA19" i="6"/>
  <c r="W19" i="6"/>
  <c r="W20" i="6" s="1"/>
  <c r="X19" i="6"/>
  <c r="F30" i="9"/>
  <c r="H30" i="9" s="1"/>
  <c r="S18" i="5"/>
  <c r="N20" i="5"/>
  <c r="AM18" i="5"/>
  <c r="AU18" i="5" s="1"/>
  <c r="O18" i="5"/>
  <c r="O20" i="5" s="1"/>
  <c r="P18" i="5"/>
  <c r="BO35" i="9"/>
  <c r="BK35" i="9"/>
  <c r="BL35" i="9"/>
  <c r="W33" i="17"/>
  <c r="X33" i="17"/>
  <c r="AA33" i="17"/>
  <c r="AM48" i="5"/>
  <c r="AU48" i="5" s="1"/>
  <c r="AL17" i="18"/>
  <c r="AN17" i="18" s="1"/>
  <c r="F6" i="15" s="1"/>
  <c r="AL41" i="14"/>
  <c r="K8" i="14"/>
  <c r="H8" i="14"/>
  <c r="BS24" i="9"/>
  <c r="BY24" i="9"/>
  <c r="BW24" i="9"/>
  <c r="BT24" i="9"/>
  <c r="W57" i="18"/>
  <c r="BY43" i="9"/>
  <c r="BW43" i="9"/>
  <c r="BS43" i="9"/>
  <c r="BT43" i="9"/>
  <c r="O57" i="5"/>
  <c r="AL38" i="14"/>
  <c r="AL9" i="14"/>
  <c r="AL18" i="14"/>
  <c r="AL10" i="14"/>
  <c r="AL6" i="14"/>
  <c r="AL37" i="14"/>
  <c r="AL53" i="14"/>
  <c r="AL19" i="14"/>
  <c r="AD36" i="9"/>
  <c r="AD39" i="9" s="1"/>
  <c r="AF39" i="9" s="1"/>
  <c r="F5" i="18"/>
  <c r="G34" i="5"/>
  <c r="H34" i="5"/>
  <c r="K34" i="5"/>
  <c r="AQ34" i="18"/>
  <c r="AM34" i="18"/>
  <c r="AQ42" i="18"/>
  <c r="AM42" i="18"/>
  <c r="AM45" i="18" s="1"/>
  <c r="P29" i="17"/>
  <c r="V29" i="17"/>
  <c r="AD29" i="17" s="1"/>
  <c r="S29" i="17"/>
  <c r="O29" i="17"/>
  <c r="H16" i="5"/>
  <c r="G16" i="5"/>
  <c r="K16" i="5"/>
  <c r="F9" i="6"/>
  <c r="BA9" i="6" s="1"/>
  <c r="AT36" i="9"/>
  <c r="AT39" i="9" s="1"/>
  <c r="AV39" i="9" s="1"/>
  <c r="N8" i="9"/>
  <c r="N13" i="5"/>
  <c r="P13" i="5" s="1"/>
  <c r="S8" i="5"/>
  <c r="O8" i="5"/>
  <c r="P8" i="5"/>
  <c r="AM8" i="5"/>
  <c r="AU8" i="5" s="1"/>
  <c r="F45" i="4"/>
  <c r="H45" i="4" s="1"/>
  <c r="K42" i="4"/>
  <c r="H42" i="4"/>
  <c r="G42" i="4"/>
  <c r="G45" i="4" s="1"/>
  <c r="P34" i="14"/>
  <c r="S34" i="14"/>
  <c r="AD14" i="5"/>
  <c r="G17" i="14"/>
  <c r="H16" i="14"/>
  <c r="K16" i="14"/>
  <c r="BJ31" i="9"/>
  <c r="AV31" i="9"/>
  <c r="AY31" i="9"/>
  <c r="AU31" i="9"/>
  <c r="AF31" i="4"/>
  <c r="AE31" i="4"/>
  <c r="AI31" i="4"/>
  <c r="K31" i="14"/>
  <c r="H31" i="14"/>
  <c r="AQ31" i="18"/>
  <c r="AM31" i="18"/>
  <c r="AL39" i="18"/>
  <c r="AN39" i="18" s="1"/>
  <c r="AP54" i="4"/>
  <c r="AS54" i="4"/>
  <c r="AO54" i="4"/>
  <c r="AA43" i="17"/>
  <c r="W43" i="17"/>
  <c r="X43" i="17"/>
  <c r="AA19" i="17"/>
  <c r="W19" i="17"/>
  <c r="X19" i="17"/>
  <c r="X20" i="18"/>
  <c r="AM38" i="5"/>
  <c r="AU38" i="5" s="1"/>
  <c r="G57" i="14"/>
  <c r="AA49" i="17"/>
  <c r="W49" i="17"/>
  <c r="AD36" i="5"/>
  <c r="P20" i="14"/>
  <c r="AU32" i="18"/>
  <c r="AY32" i="18"/>
  <c r="AV32" i="18"/>
  <c r="V30" i="5"/>
  <c r="X30" i="5" s="1"/>
  <c r="BY19" i="9"/>
  <c r="AN19" i="9"/>
  <c r="AM19" i="9"/>
  <c r="AM20" i="9" s="1"/>
  <c r="AQ19" i="9"/>
  <c r="AY6" i="18"/>
  <c r="AU6" i="18"/>
  <c r="AV6" i="18"/>
  <c r="AU17" i="9"/>
  <c r="AI54" i="14"/>
  <c r="AF54" i="14"/>
  <c r="AE54" i="14"/>
  <c r="X24" i="17"/>
  <c r="W24" i="17"/>
  <c r="AA24" i="17"/>
  <c r="G57" i="18"/>
  <c r="AO37" i="5"/>
  <c r="AN37" i="5"/>
  <c r="AR37" i="5"/>
  <c r="O41" i="5"/>
  <c r="S41" i="5"/>
  <c r="P41" i="5"/>
  <c r="AM41" i="5"/>
  <c r="AU41" i="5" s="1"/>
  <c r="AI19" i="18"/>
  <c r="AE19" i="18"/>
  <c r="AE20" i="18" s="1"/>
  <c r="P20" i="17"/>
  <c r="AR11" i="5"/>
  <c r="AO11" i="5"/>
  <c r="AN11" i="5"/>
  <c r="BY25" i="9"/>
  <c r="BS25" i="9"/>
  <c r="BW25" i="9"/>
  <c r="BT25" i="9"/>
  <c r="AV47" i="18"/>
  <c r="AU47" i="18"/>
  <c r="AY47" i="18"/>
  <c r="AV31" i="6"/>
  <c r="AU31" i="6"/>
  <c r="BA31" i="6"/>
  <c r="AY31" i="6"/>
  <c r="BO24" i="9"/>
  <c r="BK24" i="9"/>
  <c r="BL24" i="9"/>
  <c r="G11" i="4"/>
  <c r="K11" i="4"/>
  <c r="H11" i="4"/>
  <c r="AP6" i="4"/>
  <c r="AO6" i="4"/>
  <c r="AS6" i="4"/>
  <c r="AV48" i="6"/>
  <c r="AY48" i="6"/>
  <c r="BA48" i="6"/>
  <c r="AU48" i="6"/>
  <c r="X20" i="4"/>
  <c r="X12" i="17"/>
  <c r="W12" i="17"/>
  <c r="AA12" i="17"/>
  <c r="AP28" i="4"/>
  <c r="AO28" i="4"/>
  <c r="AS28" i="4"/>
  <c r="AT45" i="9"/>
  <c r="AV45" i="9" s="1"/>
  <c r="BY51" i="9"/>
  <c r="BT51" i="9"/>
  <c r="BS51" i="9"/>
  <c r="BW51" i="9"/>
  <c r="BY50" i="9"/>
  <c r="BS50" i="9"/>
  <c r="BT50" i="9"/>
  <c r="BW50" i="9"/>
  <c r="AV10" i="18"/>
  <c r="AY10" i="18"/>
  <c r="AU10" i="18"/>
  <c r="BO50" i="9"/>
  <c r="BK50" i="9"/>
  <c r="BL50" i="9"/>
  <c r="AU56" i="6"/>
  <c r="AY56" i="6"/>
  <c r="BA56" i="6"/>
  <c r="AV56" i="6"/>
  <c r="N13" i="18"/>
  <c r="P13" i="18" s="1"/>
  <c r="BY12" i="9"/>
  <c r="BT12" i="9"/>
  <c r="BS12" i="9"/>
  <c r="BW12" i="9"/>
  <c r="BY35" i="9"/>
  <c r="AV28" i="18"/>
  <c r="AU28" i="18"/>
  <c r="AY28" i="18"/>
  <c r="BA24" i="6"/>
  <c r="AY24" i="6"/>
  <c r="AV24" i="6"/>
  <c r="AU24" i="6"/>
  <c r="AS7" i="4"/>
  <c r="AP7" i="4"/>
  <c r="AO7" i="4"/>
  <c r="AP37" i="4"/>
  <c r="AS37" i="4"/>
  <c r="AO37" i="4"/>
  <c r="AU27" i="18"/>
  <c r="AV27" i="18"/>
  <c r="AY27" i="18"/>
  <c r="AI35" i="5"/>
  <c r="AE35" i="5"/>
  <c r="AF35" i="5"/>
  <c r="AI40" i="4"/>
  <c r="AE40" i="4"/>
  <c r="AF40" i="4"/>
  <c r="AO48" i="4"/>
  <c r="AP48" i="4"/>
  <c r="AS48" i="4"/>
  <c r="AM46" i="5"/>
  <c r="BY15" i="9"/>
  <c r="BT15" i="9"/>
  <c r="BW15" i="9"/>
  <c r="BS15" i="9"/>
  <c r="BY10" i="9"/>
  <c r="AM19" i="5"/>
  <c r="AU19" i="5" s="1"/>
  <c r="BJ8" i="9"/>
  <c r="F36" i="18"/>
  <c r="F39" i="18" s="1"/>
  <c r="H39" i="18" s="1"/>
  <c r="S29" i="9"/>
  <c r="O29" i="9"/>
  <c r="O30" i="9" s="1"/>
  <c r="K29" i="14"/>
  <c r="H29" i="14"/>
  <c r="AD31" i="5"/>
  <c r="X20" i="14"/>
  <c r="BY48" i="9"/>
  <c r="BT48" i="9"/>
  <c r="BS48" i="9"/>
  <c r="BW48" i="9"/>
  <c r="X20" i="9"/>
  <c r="W15" i="5"/>
  <c r="X15" i="5"/>
  <c r="AA15" i="5"/>
  <c r="AA5" i="17"/>
  <c r="W5" i="17"/>
  <c r="X5" i="17"/>
  <c r="AA54" i="17"/>
  <c r="W54" i="17"/>
  <c r="X54" i="17"/>
  <c r="BO52" i="9"/>
  <c r="BK52" i="9"/>
  <c r="BL52" i="9"/>
  <c r="X37" i="6"/>
  <c r="W37" i="6"/>
  <c r="AA37" i="6"/>
  <c r="AF8" i="5"/>
  <c r="AI8" i="5"/>
  <c r="AE8" i="5"/>
  <c r="AA55" i="17"/>
  <c r="W55" i="17"/>
  <c r="X55" i="17"/>
  <c r="O57" i="6"/>
  <c r="P34" i="17"/>
  <c r="S34" i="17"/>
  <c r="O34" i="17"/>
  <c r="V34" i="17"/>
  <c r="AD34" i="17" s="1"/>
  <c r="AL46" i="14"/>
  <c r="BJ23" i="9"/>
  <c r="AY23" i="9"/>
  <c r="AV23" i="9"/>
  <c r="AU23" i="9"/>
  <c r="AU30" i="9" s="1"/>
  <c r="AD29" i="5"/>
  <c r="X42" i="9"/>
  <c r="W42" i="9"/>
  <c r="W45" i="9" s="1"/>
  <c r="AA42" i="9"/>
  <c r="AI23" i="4"/>
  <c r="AF23" i="4"/>
  <c r="AE23" i="4"/>
  <c r="AF42" i="9"/>
  <c r="AI42" i="9"/>
  <c r="AE42" i="9"/>
  <c r="AE45" i="9" s="1"/>
  <c r="AD23" i="5"/>
  <c r="N45" i="17"/>
  <c r="P45" i="17" s="1"/>
  <c r="V42" i="17"/>
  <c r="AD42" i="17" s="1"/>
  <c r="O42" i="17"/>
  <c r="O45" i="17" s="1"/>
  <c r="P42" i="17"/>
  <c r="S42" i="17"/>
  <c r="W42" i="18"/>
  <c r="W45" i="18" s="1"/>
  <c r="AA42" i="18"/>
  <c r="X42" i="18"/>
  <c r="F8" i="18"/>
  <c r="O45" i="14"/>
  <c r="S42" i="14"/>
  <c r="P42" i="14"/>
  <c r="AE16" i="9"/>
  <c r="AI16" i="9"/>
  <c r="AF16" i="9"/>
  <c r="K34" i="14"/>
  <c r="H34" i="14"/>
  <c r="P34" i="9"/>
  <c r="S34" i="9"/>
  <c r="O34" i="9"/>
  <c r="F16" i="18"/>
  <c r="H23" i="18"/>
  <c r="K23" i="18"/>
  <c r="G23" i="18"/>
  <c r="G30" i="18" s="1"/>
  <c r="AT23" i="18"/>
  <c r="BB23" i="18" s="1"/>
  <c r="AE8" i="18"/>
  <c r="AE13" i="18" s="1"/>
  <c r="AF8" i="18"/>
  <c r="AI8" i="18"/>
  <c r="BG9" i="9"/>
  <c r="BD9" i="9"/>
  <c r="BC9" i="9"/>
  <c r="BJ9" i="9"/>
  <c r="H34" i="6"/>
  <c r="K34" i="6"/>
  <c r="G34" i="6"/>
  <c r="AF14" i="9"/>
  <c r="AE14" i="9"/>
  <c r="AD17" i="9"/>
  <c r="AF17" i="9" s="1"/>
  <c r="F37" i="15" s="1"/>
  <c r="AI14" i="9"/>
  <c r="AT36" i="6"/>
  <c r="H34" i="9"/>
  <c r="G34" i="9"/>
  <c r="K34" i="9"/>
  <c r="AE8" i="9"/>
  <c r="AF8" i="9"/>
  <c r="AI8" i="9"/>
  <c r="BR29" i="9"/>
  <c r="AQ34" i="9"/>
  <c r="AM34" i="9"/>
  <c r="AN34" i="9"/>
  <c r="AA16" i="14"/>
  <c r="X16" i="14"/>
  <c r="P42" i="5"/>
  <c r="S42" i="5"/>
  <c r="O42" i="5"/>
  <c r="AE31" i="9"/>
  <c r="AF31" i="9"/>
  <c r="AI31" i="9"/>
  <c r="BO12" i="9"/>
  <c r="BL12" i="9"/>
  <c r="BK12" i="9"/>
  <c r="AS22" i="4"/>
  <c r="AP22" i="4"/>
  <c r="AO22" i="4"/>
  <c r="BY7" i="9"/>
  <c r="BT7" i="9"/>
  <c r="BS7" i="9"/>
  <c r="BW7" i="9"/>
  <c r="AU41" i="6"/>
  <c r="AY41" i="6"/>
  <c r="AV41" i="6"/>
  <c r="BA41" i="6"/>
  <c r="BO5" i="9"/>
  <c r="BK5" i="9"/>
  <c r="BL5" i="9"/>
  <c r="P20" i="6"/>
  <c r="AA31" i="14"/>
  <c r="X31" i="14"/>
  <c r="AE13" i="6"/>
  <c r="BG19" i="9"/>
  <c r="BC19" i="9"/>
  <c r="BC20" i="9" s="1"/>
  <c r="BY41" i="9"/>
  <c r="BT41" i="9"/>
  <c r="BW41" i="9"/>
  <c r="BS41" i="9"/>
  <c r="BO49" i="9"/>
  <c r="BK49" i="9"/>
  <c r="AF20" i="4"/>
  <c r="O20" i="4"/>
  <c r="N30" i="18"/>
  <c r="P30" i="18" s="1"/>
  <c r="AN15" i="9"/>
  <c r="AM15" i="9"/>
  <c r="AQ15" i="9"/>
  <c r="X6" i="17"/>
  <c r="W6" i="17"/>
  <c r="AA6" i="17"/>
  <c r="BO14" i="9"/>
  <c r="BJ17" i="9"/>
  <c r="BK14" i="9"/>
  <c r="BL14" i="9"/>
  <c r="AO40" i="5"/>
  <c r="AR40" i="5"/>
  <c r="AN40" i="5"/>
  <c r="BY47" i="9"/>
  <c r="BW47" i="9"/>
  <c r="BT47" i="9"/>
  <c r="BS47" i="9"/>
  <c r="AM57" i="18"/>
  <c r="AM52" i="5"/>
  <c r="AU52" i="5" s="1"/>
  <c r="O57" i="9"/>
  <c r="BO56" i="9"/>
  <c r="BK56" i="9"/>
  <c r="BL56" i="9"/>
  <c r="AU15" i="18"/>
  <c r="AV15" i="18"/>
  <c r="AY15" i="18"/>
  <c r="BY33" i="9"/>
  <c r="BT33" i="9"/>
  <c r="BW33" i="9"/>
  <c r="BS33" i="9"/>
  <c r="AR43" i="5"/>
  <c r="AN43" i="5"/>
  <c r="AO43" i="5"/>
  <c r="AF26" i="5"/>
  <c r="AI26" i="5"/>
  <c r="AE26" i="5"/>
  <c r="AT9" i="18"/>
  <c r="BB9" i="18" s="1"/>
  <c r="BO27" i="9"/>
  <c r="BK27" i="9"/>
  <c r="BL27" i="9"/>
  <c r="BT52" i="9"/>
  <c r="BY52" i="9"/>
  <c r="BW52" i="9"/>
  <c r="BS52" i="9"/>
  <c r="AA42" i="4"/>
  <c r="W42" i="4"/>
  <c r="W45" i="4" s="1"/>
  <c r="X42" i="4"/>
  <c r="AN42" i="4"/>
  <c r="AV42" i="4" s="1"/>
  <c r="G18" i="5"/>
  <c r="G20" i="5" s="1"/>
  <c r="H18" i="5"/>
  <c r="K18" i="5"/>
  <c r="F20" i="5"/>
  <c r="F17" i="17"/>
  <c r="H17" i="17" s="1"/>
  <c r="F13" i="15" s="1"/>
  <c r="AM47" i="5"/>
  <c r="AU47" i="5" s="1"/>
  <c r="AN50" i="5"/>
  <c r="AO50" i="5"/>
  <c r="AR50" i="5"/>
  <c r="V17" i="4"/>
  <c r="X17" i="4" s="1"/>
  <c r="H20" i="9"/>
  <c r="F21" i="9"/>
  <c r="H21" i="9" s="1"/>
  <c r="BA26" i="6"/>
  <c r="AY26" i="6"/>
  <c r="AU26" i="6"/>
  <c r="AV26" i="6"/>
  <c r="N13" i="17"/>
  <c r="P13" i="17" s="1"/>
  <c r="AD20" i="6"/>
  <c r="AF49" i="5"/>
  <c r="AE49" i="5"/>
  <c r="AI49" i="5"/>
  <c r="AU50" i="6"/>
  <c r="AV50" i="6"/>
  <c r="BA50" i="6"/>
  <c r="AY50" i="6"/>
  <c r="AE57" i="9"/>
  <c r="AF50" i="5"/>
  <c r="AI50" i="5"/>
  <c r="AE50" i="5"/>
  <c r="AU57" i="9"/>
  <c r="BO41" i="9"/>
  <c r="BL41" i="9"/>
  <c r="BK41" i="9"/>
  <c r="N45" i="9"/>
  <c r="P45" i="9" s="1"/>
  <c r="AU25" i="18"/>
  <c r="AV25" i="18"/>
  <c r="AY25" i="18"/>
  <c r="P14" i="18"/>
  <c r="O14" i="18"/>
  <c r="O17" i="18" s="1"/>
  <c r="S14" i="18"/>
  <c r="N17" i="18"/>
  <c r="P17" i="18" s="1"/>
  <c r="F3" i="15" s="1"/>
  <c r="AU9" i="6"/>
  <c r="AV9" i="6"/>
  <c r="AY9" i="6"/>
  <c r="BA55" i="6"/>
  <c r="AV55" i="6"/>
  <c r="AY55" i="6"/>
  <c r="AU55" i="6"/>
  <c r="F13" i="14"/>
  <c r="H13" i="14" s="1"/>
  <c r="H5" i="14"/>
  <c r="K5" i="14"/>
  <c r="AP44" i="4"/>
  <c r="AS44" i="4"/>
  <c r="AO44" i="4"/>
  <c r="V45" i="6"/>
  <c r="X45" i="6" s="1"/>
  <c r="W21" i="18" l="1"/>
  <c r="H59" i="4"/>
  <c r="E8" i="15" s="1"/>
  <c r="AU46" i="5"/>
  <c r="AU57" i="5" s="1"/>
  <c r="AO46" i="5"/>
  <c r="AN59" i="6"/>
  <c r="E32" i="15" s="1"/>
  <c r="AL49" i="14"/>
  <c r="AF49" i="14"/>
  <c r="AT20" i="18"/>
  <c r="AV20" i="18" s="1"/>
  <c r="BL19" i="9"/>
  <c r="BO19" i="9"/>
  <c r="G21" i="6"/>
  <c r="AY19" i="18"/>
  <c r="BJ20" i="9"/>
  <c r="BL20" i="9" s="1"/>
  <c r="BC21" i="9"/>
  <c r="G21" i="14"/>
  <c r="AU19" i="18"/>
  <c r="AU20" i="18" s="1"/>
  <c r="AP19" i="4"/>
  <c r="AO19" i="4"/>
  <c r="AO20" i="4" s="1"/>
  <c r="AN20" i="4"/>
  <c r="AP20" i="4" s="1"/>
  <c r="AS19" i="4"/>
  <c r="BC30" i="9"/>
  <c r="W30" i="5"/>
  <c r="V21" i="18"/>
  <c r="X21" i="18" s="1"/>
  <c r="O21" i="9"/>
  <c r="AV19" i="18"/>
  <c r="AM21" i="6"/>
  <c r="O13" i="6"/>
  <c r="AE30" i="4"/>
  <c r="AM42" i="5"/>
  <c r="AU42" i="5" s="1"/>
  <c r="AU45" i="5" s="1"/>
  <c r="K59" i="17"/>
  <c r="O21" i="18"/>
  <c r="O13" i="5"/>
  <c r="G21" i="9"/>
  <c r="O21" i="5"/>
  <c r="AN16" i="4"/>
  <c r="AV16" i="4" s="1"/>
  <c r="AU20" i="5"/>
  <c r="AU13" i="5"/>
  <c r="W39" i="9"/>
  <c r="O30" i="5"/>
  <c r="AU21" i="9"/>
  <c r="O13" i="14"/>
  <c r="O13" i="17"/>
  <c r="AD30" i="5"/>
  <c r="AF30" i="5" s="1"/>
  <c r="AS31" i="4"/>
  <c r="AO31" i="4"/>
  <c r="AP31" i="4"/>
  <c r="AU20" i="6"/>
  <c r="G13" i="14"/>
  <c r="N21" i="17"/>
  <c r="P21" i="17" s="1"/>
  <c r="AE21" i="18"/>
  <c r="G30" i="14"/>
  <c r="G39" i="4"/>
  <c r="G13" i="4"/>
  <c r="K59" i="4"/>
  <c r="AM39" i="6"/>
  <c r="BJ13" i="9"/>
  <c r="BL13" i="9" s="1"/>
  <c r="AQ59" i="18"/>
  <c r="BK20" i="9"/>
  <c r="BG59" i="9"/>
  <c r="AM30" i="9"/>
  <c r="BD59" i="9"/>
  <c r="E40" i="15" s="1"/>
  <c r="BC13" i="9"/>
  <c r="BK17" i="9"/>
  <c r="O30" i="6"/>
  <c r="G39" i="6"/>
  <c r="AQ59" i="6"/>
  <c r="G30" i="6"/>
  <c r="AL14" i="14"/>
  <c r="G45" i="14"/>
  <c r="H59" i="17"/>
  <c r="E13" i="15" s="1"/>
  <c r="V17" i="17"/>
  <c r="X17" i="17" s="1"/>
  <c r="F15" i="15" s="1"/>
  <c r="AD16" i="17"/>
  <c r="V13" i="17"/>
  <c r="X13" i="17" s="1"/>
  <c r="AD8" i="17"/>
  <c r="G39" i="17"/>
  <c r="O30" i="17"/>
  <c r="O21" i="17"/>
  <c r="AF17" i="4"/>
  <c r="AD21" i="4"/>
  <c r="AF21" i="4" s="1"/>
  <c r="AD34" i="4"/>
  <c r="BW29" i="9"/>
  <c r="BY29" i="9"/>
  <c r="BT29" i="9"/>
  <c r="BS29" i="9"/>
  <c r="AI14" i="14"/>
  <c r="AE14" i="14"/>
  <c r="AF14" i="14"/>
  <c r="AR19" i="5"/>
  <c r="AN19" i="5"/>
  <c r="AO19" i="5"/>
  <c r="AF36" i="9"/>
  <c r="AI36" i="9"/>
  <c r="AI59" i="9" s="1"/>
  <c r="AE36" i="9"/>
  <c r="AE39" i="9" s="1"/>
  <c r="AI38" i="14"/>
  <c r="AE38" i="14"/>
  <c r="AF38" i="14"/>
  <c r="AR48" i="5"/>
  <c r="AN48" i="5"/>
  <c r="AO55" i="5"/>
  <c r="AR55" i="5"/>
  <c r="AN55" i="5"/>
  <c r="P14" i="14"/>
  <c r="P59" i="14" s="1"/>
  <c r="E25" i="15" s="1"/>
  <c r="S14" i="14"/>
  <c r="S59" i="14" s="1"/>
  <c r="O17" i="14"/>
  <c r="O21" i="14" s="1"/>
  <c r="N17" i="14"/>
  <c r="AI43" i="14"/>
  <c r="AF43" i="14"/>
  <c r="AE43" i="14"/>
  <c r="W20" i="17"/>
  <c r="AV20" i="6"/>
  <c r="P5" i="4"/>
  <c r="P59" i="4" s="1"/>
  <c r="E9" i="15" s="1"/>
  <c r="N13" i="4"/>
  <c r="P13" i="4" s="1"/>
  <c r="O5" i="4"/>
  <c r="O13" i="4" s="1"/>
  <c r="S5" i="4"/>
  <c r="S59" i="4" s="1"/>
  <c r="AN5" i="4"/>
  <c r="AV5" i="4" s="1"/>
  <c r="AE51" i="14"/>
  <c r="AI51" i="14"/>
  <c r="AF51" i="14"/>
  <c r="AE26" i="14"/>
  <c r="AF26" i="14"/>
  <c r="AI26" i="14"/>
  <c r="AE30" i="6"/>
  <c r="BA16" i="6"/>
  <c r="AV16" i="6"/>
  <c r="AU16" i="6"/>
  <c r="AY16" i="6"/>
  <c r="BK57" i="9"/>
  <c r="W39" i="14"/>
  <c r="AA36" i="14"/>
  <c r="X36" i="14"/>
  <c r="AE50" i="14"/>
  <c r="AF50" i="14"/>
  <c r="AI50" i="14"/>
  <c r="H20" i="5"/>
  <c r="AE49" i="14"/>
  <c r="AI49" i="14"/>
  <c r="AI31" i="5"/>
  <c r="AE31" i="5"/>
  <c r="AF31" i="5"/>
  <c r="AD39" i="5"/>
  <c r="AF39" i="5" s="1"/>
  <c r="G9" i="6"/>
  <c r="G13" i="6" s="1"/>
  <c r="K9" i="6"/>
  <c r="K59" i="6" s="1"/>
  <c r="H9" i="6"/>
  <c r="H59" i="6" s="1"/>
  <c r="E28" i="15" s="1"/>
  <c r="AA29" i="17"/>
  <c r="W29" i="17"/>
  <c r="X29" i="17"/>
  <c r="BR30" i="9"/>
  <c r="BT30" i="9" s="1"/>
  <c r="W8" i="17"/>
  <c r="X8" i="17"/>
  <c r="AA8" i="17"/>
  <c r="AQ16" i="9"/>
  <c r="AN16" i="9"/>
  <c r="AM16" i="9"/>
  <c r="AM17" i="9" s="1"/>
  <c r="AM21" i="9" s="1"/>
  <c r="AI22" i="14"/>
  <c r="AE22" i="14"/>
  <c r="AF22" i="14"/>
  <c r="AE13" i="5"/>
  <c r="AS14" i="4"/>
  <c r="AP14" i="4"/>
  <c r="AO14" i="4"/>
  <c r="AU42" i="6"/>
  <c r="AU45" i="6" s="1"/>
  <c r="AV42" i="6"/>
  <c r="AY42" i="6"/>
  <c r="BA42" i="6"/>
  <c r="W39" i="6"/>
  <c r="AI32" i="14"/>
  <c r="AF32" i="14"/>
  <c r="AE32" i="14"/>
  <c r="AN7" i="5"/>
  <c r="AR7" i="5"/>
  <c r="AO7" i="5"/>
  <c r="BY31" i="9"/>
  <c r="BR39" i="9"/>
  <c r="BT39" i="9" s="1"/>
  <c r="BT31" i="9"/>
  <c r="BS31" i="9"/>
  <c r="BW31" i="9"/>
  <c r="O36" i="5"/>
  <c r="O39" i="5" s="1"/>
  <c r="P36" i="5"/>
  <c r="P59" i="5" s="1"/>
  <c r="E17" i="15" s="1"/>
  <c r="S36" i="5"/>
  <c r="S59" i="5" s="1"/>
  <c r="AM36" i="5"/>
  <c r="AU36" i="5" s="1"/>
  <c r="AA8" i="4"/>
  <c r="X8" i="4"/>
  <c r="W8" i="4"/>
  <c r="W13" i="4" s="1"/>
  <c r="AN8" i="4"/>
  <c r="AV8" i="4" s="1"/>
  <c r="V13" i="4"/>
  <c r="X13" i="4" s="1"/>
  <c r="K8" i="9"/>
  <c r="H8" i="9"/>
  <c r="G8" i="9"/>
  <c r="G13" i="9" s="1"/>
  <c r="AV22" i="18"/>
  <c r="AU22" i="18"/>
  <c r="AY22" i="18"/>
  <c r="AT30" i="18"/>
  <c r="AV30" i="18" s="1"/>
  <c r="AO57" i="4"/>
  <c r="W57" i="17"/>
  <c r="AM20" i="18"/>
  <c r="AM21" i="18" s="1"/>
  <c r="AF8" i="4"/>
  <c r="AE8" i="4"/>
  <c r="AE13" i="4" s="1"/>
  <c r="AI8" i="4"/>
  <c r="AD13" i="4"/>
  <c r="AF13" i="4" s="1"/>
  <c r="BO29" i="9"/>
  <c r="BL29" i="9"/>
  <c r="BK29" i="9"/>
  <c r="AF7" i="14"/>
  <c r="AI7" i="14"/>
  <c r="AE7" i="14"/>
  <c r="AF56" i="14"/>
  <c r="AI56" i="14"/>
  <c r="AE56" i="14"/>
  <c r="AN45" i="4"/>
  <c r="AP45" i="4" s="1"/>
  <c r="AO42" i="4"/>
  <c r="AO45" i="4" s="1"/>
  <c r="AP42" i="4"/>
  <c r="AS42" i="4"/>
  <c r="BO31" i="9"/>
  <c r="BK31" i="9"/>
  <c r="BL31" i="9"/>
  <c r="AE14" i="5"/>
  <c r="AF14" i="5"/>
  <c r="AI14" i="5"/>
  <c r="AD17" i="5"/>
  <c r="AF17" i="5" s="1"/>
  <c r="AM14" i="5"/>
  <c r="AU14" i="5" s="1"/>
  <c r="AI53" i="14"/>
  <c r="AE53" i="14"/>
  <c r="AF53" i="14"/>
  <c r="AF9" i="14"/>
  <c r="AI9" i="14"/>
  <c r="AE9" i="14"/>
  <c r="V21" i="5"/>
  <c r="X21" i="5" s="1"/>
  <c r="X20" i="5"/>
  <c r="BY23" i="9"/>
  <c r="BS23" i="9"/>
  <c r="BW23" i="9"/>
  <c r="BT23" i="9"/>
  <c r="AI35" i="14"/>
  <c r="AE35" i="14"/>
  <c r="AF35" i="14"/>
  <c r="AF15" i="14"/>
  <c r="AE15" i="14"/>
  <c r="AI15" i="14"/>
  <c r="W7" i="17"/>
  <c r="AA7" i="17"/>
  <c r="X7" i="17"/>
  <c r="AO10" i="5"/>
  <c r="AN10" i="5"/>
  <c r="AR10" i="5"/>
  <c r="N21" i="18"/>
  <c r="P21" i="18" s="1"/>
  <c r="AM23" i="5"/>
  <c r="AU23" i="5" s="1"/>
  <c r="AM36" i="9"/>
  <c r="AM39" i="9" s="1"/>
  <c r="AQ36" i="9"/>
  <c r="AN36" i="9"/>
  <c r="W36" i="18"/>
  <c r="W39" i="18" s="1"/>
  <c r="X36" i="18"/>
  <c r="X59" i="18" s="1"/>
  <c r="E4" i="15" s="1"/>
  <c r="AA36" i="18"/>
  <c r="AA59" i="18" s="1"/>
  <c r="V39" i="18"/>
  <c r="X39" i="18" s="1"/>
  <c r="AN8" i="9"/>
  <c r="AQ8" i="9"/>
  <c r="AM8" i="9"/>
  <c r="AM13" i="9" s="1"/>
  <c r="AL13" i="9"/>
  <c r="AN13" i="9" s="1"/>
  <c r="V36" i="17"/>
  <c r="S36" i="17"/>
  <c r="S59" i="17" s="1"/>
  <c r="O36" i="17"/>
  <c r="O39" i="17" s="1"/>
  <c r="P36" i="17"/>
  <c r="P59" i="17" s="1"/>
  <c r="E14" i="15" s="1"/>
  <c r="AF24" i="14"/>
  <c r="AE24" i="14"/>
  <c r="AI24" i="14"/>
  <c r="AL29" i="14"/>
  <c r="BA36" i="6"/>
  <c r="AV36" i="6"/>
  <c r="AU36" i="6"/>
  <c r="AU39" i="6" s="1"/>
  <c r="AY36" i="6"/>
  <c r="BO9" i="9"/>
  <c r="BK9" i="9"/>
  <c r="BL9" i="9"/>
  <c r="H36" i="18"/>
  <c r="G36" i="18"/>
  <c r="G39" i="18" s="1"/>
  <c r="K36" i="18"/>
  <c r="AT36" i="18"/>
  <c r="BB36" i="18" s="1"/>
  <c r="AU57" i="6"/>
  <c r="V21" i="4"/>
  <c r="X21" i="4" s="1"/>
  <c r="K59" i="14"/>
  <c r="AN8" i="5"/>
  <c r="AR8" i="5"/>
  <c r="AO8" i="5"/>
  <c r="AF41" i="14"/>
  <c r="AI41" i="14"/>
  <c r="AE41" i="14"/>
  <c r="AU57" i="18"/>
  <c r="H30" i="14"/>
  <c r="F39" i="14"/>
  <c r="H39" i="14" s="1"/>
  <c r="AP36" i="4"/>
  <c r="AO36" i="4"/>
  <c r="AS36" i="4"/>
  <c r="AV29" i="6"/>
  <c r="BA29" i="6"/>
  <c r="AU29" i="6"/>
  <c r="AU30" i="6" s="1"/>
  <c r="AY29" i="6"/>
  <c r="BY36" i="9"/>
  <c r="BW36" i="9"/>
  <c r="BT36" i="9"/>
  <c r="BS36" i="9"/>
  <c r="AE48" i="14"/>
  <c r="AI48" i="14"/>
  <c r="AF48" i="14"/>
  <c r="BY16" i="9"/>
  <c r="AI34" i="5"/>
  <c r="AF34" i="5"/>
  <c r="AE34" i="5"/>
  <c r="AF36" i="18"/>
  <c r="AF59" i="18" s="1"/>
  <c r="E5" i="15" s="1"/>
  <c r="AE36" i="18"/>
  <c r="AE39" i="18" s="1"/>
  <c r="AI36" i="18"/>
  <c r="AI59" i="18" s="1"/>
  <c r="BW42" i="9"/>
  <c r="BT42" i="9"/>
  <c r="BY42" i="9"/>
  <c r="BS42" i="9"/>
  <c r="BS45" i="9" s="1"/>
  <c r="AF20" i="5"/>
  <c r="G21" i="17"/>
  <c r="AE42" i="5"/>
  <c r="AE45" i="5" s="1"/>
  <c r="AI42" i="5"/>
  <c r="AF42" i="5"/>
  <c r="AO5" i="5"/>
  <c r="AR5" i="5"/>
  <c r="AN5" i="5"/>
  <c r="AM13" i="5"/>
  <c r="AE21" i="6"/>
  <c r="F13" i="6"/>
  <c r="H13" i="6" s="1"/>
  <c r="AL17" i="9"/>
  <c r="AL39" i="9"/>
  <c r="AN39" i="9" s="1"/>
  <c r="AF20" i="6"/>
  <c r="AD21" i="6"/>
  <c r="AF21" i="6" s="1"/>
  <c r="G16" i="18"/>
  <c r="G17" i="18" s="1"/>
  <c r="G21" i="18" s="1"/>
  <c r="H16" i="18"/>
  <c r="K16" i="18"/>
  <c r="AT16" i="18"/>
  <c r="BB16" i="18" s="1"/>
  <c r="F17" i="18"/>
  <c r="AA42" i="17"/>
  <c r="W42" i="17"/>
  <c r="W45" i="17" s="1"/>
  <c r="X42" i="17"/>
  <c r="BO23" i="9"/>
  <c r="BK23" i="9"/>
  <c r="BL23" i="9"/>
  <c r="W34" i="17"/>
  <c r="AA34" i="17"/>
  <c r="X34" i="17"/>
  <c r="BS57" i="9"/>
  <c r="AO41" i="5"/>
  <c r="AN41" i="5"/>
  <c r="AR41" i="5"/>
  <c r="AR38" i="5"/>
  <c r="AO38" i="5"/>
  <c r="AN38" i="5"/>
  <c r="H59" i="14"/>
  <c r="E24" i="15" s="1"/>
  <c r="H5" i="18"/>
  <c r="G5" i="18"/>
  <c r="K5" i="18"/>
  <c r="AT5" i="18"/>
  <c r="BB5" i="18" s="1"/>
  <c r="F13" i="18"/>
  <c r="H13" i="18" s="1"/>
  <c r="AF19" i="14"/>
  <c r="AE19" i="14"/>
  <c r="AI19" i="14"/>
  <c r="AF37" i="14"/>
  <c r="AE37" i="14"/>
  <c r="AI37" i="14"/>
  <c r="AM20" i="5"/>
  <c r="AO18" i="5"/>
  <c r="AN18" i="5"/>
  <c r="AR18" i="5"/>
  <c r="BY34" i="9"/>
  <c r="BS34" i="9"/>
  <c r="BW34" i="9"/>
  <c r="BT34" i="9"/>
  <c r="AE44" i="14"/>
  <c r="AI44" i="14"/>
  <c r="AF44" i="14"/>
  <c r="G20" i="4"/>
  <c r="G21" i="4" s="1"/>
  <c r="W21" i="4"/>
  <c r="AU34" i="18"/>
  <c r="AV34" i="18"/>
  <c r="AY34" i="18"/>
  <c r="BS17" i="9"/>
  <c r="AE20" i="5"/>
  <c r="BJ30" i="9"/>
  <c r="BL30" i="9" s="1"/>
  <c r="X23" i="17"/>
  <c r="AA23" i="17"/>
  <c r="W23" i="17"/>
  <c r="W30" i="6"/>
  <c r="F17" i="5"/>
  <c r="H17" i="5" s="1"/>
  <c r="F16" i="15" s="1"/>
  <c r="H14" i="5"/>
  <c r="H59" i="5" s="1"/>
  <c r="E16" i="15" s="1"/>
  <c r="K14" i="5"/>
  <c r="K59" i="5" s="1"/>
  <c r="G14" i="5"/>
  <c r="G17" i="5" s="1"/>
  <c r="G21" i="5" s="1"/>
  <c r="AY14" i="6"/>
  <c r="AV14" i="6"/>
  <c r="BA14" i="6"/>
  <c r="AU14" i="6"/>
  <c r="AT17" i="6"/>
  <c r="AV17" i="6" s="1"/>
  <c r="F33" i="15" s="1"/>
  <c r="AI12" i="14"/>
  <c r="AF12" i="14"/>
  <c r="AE12" i="14"/>
  <c r="X16" i="6"/>
  <c r="AA16" i="6"/>
  <c r="W16" i="6"/>
  <c r="W17" i="6" s="1"/>
  <c r="W21" i="6" s="1"/>
  <c r="V17" i="6"/>
  <c r="X8" i="14"/>
  <c r="AA8" i="14"/>
  <c r="AT39" i="6"/>
  <c r="AV39" i="6" s="1"/>
  <c r="X22" i="17"/>
  <c r="W22" i="17"/>
  <c r="AA22" i="17"/>
  <c r="V30" i="17"/>
  <c r="X30" i="17" s="1"/>
  <c r="N39" i="5"/>
  <c r="P39" i="5" s="1"/>
  <c r="AY31" i="18"/>
  <c r="AV31" i="18"/>
  <c r="AU31" i="18"/>
  <c r="W16" i="17"/>
  <c r="W17" i="17" s="1"/>
  <c r="X16" i="17"/>
  <c r="AA16" i="17"/>
  <c r="O36" i="9"/>
  <c r="O39" i="9" s="1"/>
  <c r="P36" i="9"/>
  <c r="S36" i="9"/>
  <c r="AD21" i="18"/>
  <c r="AF21" i="18" s="1"/>
  <c r="AL8" i="14"/>
  <c r="AY9" i="18"/>
  <c r="AV9" i="18"/>
  <c r="AU9" i="18"/>
  <c r="BL17" i="9"/>
  <c r="AU23" i="18"/>
  <c r="AV23" i="18"/>
  <c r="AY23" i="18"/>
  <c r="G8" i="18"/>
  <c r="H8" i="18"/>
  <c r="K8" i="18"/>
  <c r="AT8" i="18"/>
  <c r="BB8" i="18" s="1"/>
  <c r="AM39" i="18"/>
  <c r="O8" i="9"/>
  <c r="O13" i="9" s="1"/>
  <c r="P8" i="9"/>
  <c r="S8" i="9"/>
  <c r="N13" i="9"/>
  <c r="P13" i="9" s="1"/>
  <c r="AE6" i="14"/>
  <c r="AI6" i="14"/>
  <c r="AF6" i="14"/>
  <c r="P20" i="5"/>
  <c r="N21" i="5"/>
  <c r="P21" i="5" s="1"/>
  <c r="AF16" i="5"/>
  <c r="AI16" i="5"/>
  <c r="AE16" i="5"/>
  <c r="AI52" i="14"/>
  <c r="AE52" i="14"/>
  <c r="AF52" i="14"/>
  <c r="W31" i="17"/>
  <c r="AA31" i="17"/>
  <c r="X31" i="17"/>
  <c r="O21" i="4"/>
  <c r="AI16" i="4"/>
  <c r="AF16" i="4"/>
  <c r="AE16" i="4"/>
  <c r="AE17" i="4" s="1"/>
  <c r="AE21" i="4" s="1"/>
  <c r="AY42" i="18"/>
  <c r="AU42" i="18"/>
  <c r="AU45" i="18" s="1"/>
  <c r="AV42" i="18"/>
  <c r="H36" i="9"/>
  <c r="K36" i="9"/>
  <c r="G36" i="9"/>
  <c r="G39" i="9" s="1"/>
  <c r="AI28" i="14"/>
  <c r="AF28" i="14"/>
  <c r="AE28" i="14"/>
  <c r="AU29" i="18"/>
  <c r="AV29" i="18"/>
  <c r="AY29" i="18"/>
  <c r="W39" i="5"/>
  <c r="AA5" i="6"/>
  <c r="W5" i="6"/>
  <c r="W13" i="6" s="1"/>
  <c r="X5" i="6"/>
  <c r="V13" i="6"/>
  <c r="X13" i="6" s="1"/>
  <c r="AA16" i="5"/>
  <c r="W16" i="5"/>
  <c r="W17" i="5" s="1"/>
  <c r="W21" i="5" s="1"/>
  <c r="X16" i="5"/>
  <c r="AM16" i="5"/>
  <c r="AU16" i="5" s="1"/>
  <c r="AE11" i="14"/>
  <c r="AI11" i="14"/>
  <c r="AF11" i="14"/>
  <c r="AR15" i="5"/>
  <c r="AN15" i="5"/>
  <c r="AO15" i="5"/>
  <c r="BT8" i="9"/>
  <c r="BW8" i="9"/>
  <c r="BY8" i="9"/>
  <c r="BS8" i="9"/>
  <c r="BS13" i="9" s="1"/>
  <c r="BS20" i="9"/>
  <c r="F21" i="17"/>
  <c r="H21" i="17" s="1"/>
  <c r="AY14" i="18"/>
  <c r="AU14" i="18"/>
  <c r="AV14" i="18"/>
  <c r="W30" i="18"/>
  <c r="AE34" i="14"/>
  <c r="AI34" i="14"/>
  <c r="AF34" i="14"/>
  <c r="AD21" i="9"/>
  <c r="AF21" i="9" s="1"/>
  <c r="X40" i="17"/>
  <c r="AA40" i="17"/>
  <c r="W40" i="17"/>
  <c r="V45" i="17"/>
  <c r="X45" i="17" s="1"/>
  <c r="AM31" i="5"/>
  <c r="AU31" i="5" s="1"/>
  <c r="BC39" i="9"/>
  <c r="AA5" i="5"/>
  <c r="W5" i="5"/>
  <c r="W13" i="5" s="1"/>
  <c r="X5" i="5"/>
  <c r="V13" i="5"/>
  <c r="X13" i="5" s="1"/>
  <c r="AF47" i="14"/>
  <c r="AI47" i="14"/>
  <c r="AR52" i="5"/>
  <c r="AO52" i="5"/>
  <c r="AN52" i="5"/>
  <c r="AI29" i="5"/>
  <c r="AE29" i="5"/>
  <c r="BO8" i="9"/>
  <c r="BK8" i="9"/>
  <c r="BL8" i="9"/>
  <c r="V17" i="14"/>
  <c r="X14" i="14"/>
  <c r="AA14" i="14"/>
  <c r="W17" i="14"/>
  <c r="W21" i="14" s="1"/>
  <c r="AE10" i="14"/>
  <c r="AI10" i="14"/>
  <c r="AF10" i="14"/>
  <c r="AO27" i="5"/>
  <c r="AR27" i="5"/>
  <c r="AN27" i="5"/>
  <c r="H20" i="4"/>
  <c r="F21" i="4"/>
  <c r="H21" i="4" s="1"/>
  <c r="AF55" i="14"/>
  <c r="AE55" i="14"/>
  <c r="AI55" i="14"/>
  <c r="AE27" i="14"/>
  <c r="AI27" i="14"/>
  <c r="AF27" i="14"/>
  <c r="AE31" i="14"/>
  <c r="AI31" i="14"/>
  <c r="AF31" i="14"/>
  <c r="X20" i="17"/>
  <c r="O39" i="14"/>
  <c r="AA5" i="14"/>
  <c r="V13" i="14"/>
  <c r="X13" i="14" s="1"/>
  <c r="X5" i="14"/>
  <c r="AP29" i="4"/>
  <c r="AS29" i="4"/>
  <c r="AO29" i="4"/>
  <c r="O30" i="14"/>
  <c r="O39" i="4"/>
  <c r="AE13" i="9"/>
  <c r="P36" i="18"/>
  <c r="P59" i="18" s="1"/>
  <c r="E3" i="15" s="1"/>
  <c r="S36" i="18"/>
  <c r="S59" i="18" s="1"/>
  <c r="O36" i="18"/>
  <c r="O39" i="18" s="1"/>
  <c r="AE57" i="5"/>
  <c r="AT45" i="18"/>
  <c r="AV45" i="18" s="1"/>
  <c r="S16" i="6"/>
  <c r="O16" i="6"/>
  <c r="O17" i="6" s="1"/>
  <c r="O21" i="6" s="1"/>
  <c r="P16" i="6"/>
  <c r="N17" i="6"/>
  <c r="V23" i="4"/>
  <c r="AL5" i="14"/>
  <c r="AR47" i="5"/>
  <c r="AN47" i="5"/>
  <c r="AO47" i="5"/>
  <c r="AE17" i="9"/>
  <c r="AE21" i="9" s="1"/>
  <c r="AF23" i="5"/>
  <c r="AE23" i="5"/>
  <c r="AI23" i="5"/>
  <c r="AI46" i="14"/>
  <c r="AF46" i="14"/>
  <c r="AE46" i="14"/>
  <c r="AD57" i="14"/>
  <c r="AF57" i="14" s="1"/>
  <c r="AR46" i="5"/>
  <c r="AN46" i="5"/>
  <c r="AM57" i="5"/>
  <c r="AO57" i="5" s="1"/>
  <c r="O45" i="5"/>
  <c r="AF36" i="5"/>
  <c r="AI36" i="5"/>
  <c r="AE36" i="5"/>
  <c r="G39" i="14"/>
  <c r="BJ36" i="9"/>
  <c r="BJ39" i="9" s="1"/>
  <c r="BL39" i="9" s="1"/>
  <c r="AY36" i="9"/>
  <c r="AY59" i="9" s="1"/>
  <c r="AU36" i="9"/>
  <c r="AU39" i="9" s="1"/>
  <c r="AV36" i="9"/>
  <c r="AD20" i="14"/>
  <c r="AF18" i="14"/>
  <c r="AE18" i="14"/>
  <c r="AI18" i="14"/>
  <c r="V17" i="9"/>
  <c r="W14" i="9"/>
  <c r="W17" i="9" s="1"/>
  <c r="W21" i="9" s="1"/>
  <c r="AA14" i="9"/>
  <c r="AA59" i="9" s="1"/>
  <c r="X14" i="9"/>
  <c r="BO34" i="9"/>
  <c r="BK34" i="9"/>
  <c r="BL34" i="9"/>
  <c r="AE36" i="6"/>
  <c r="AE39" i="6" s="1"/>
  <c r="AF36" i="6"/>
  <c r="AF59" i="6" s="1"/>
  <c r="E31" i="15" s="1"/>
  <c r="AI36" i="6"/>
  <c r="AI59" i="6" s="1"/>
  <c r="AD39" i="6"/>
  <c r="AF39" i="6" s="1"/>
  <c r="AM29" i="5"/>
  <c r="AU29" i="5" s="1"/>
  <c r="G39" i="5"/>
  <c r="AF25" i="14"/>
  <c r="AI25" i="14"/>
  <c r="AE25" i="14"/>
  <c r="P36" i="6"/>
  <c r="S36" i="6"/>
  <c r="O36" i="6"/>
  <c r="O39" i="6" s="1"/>
  <c r="BT20" i="9"/>
  <c r="BR21" i="9"/>
  <c r="BT21" i="9" s="1"/>
  <c r="AY8" i="6"/>
  <c r="BA8" i="6"/>
  <c r="AU8" i="6"/>
  <c r="AU13" i="6" s="1"/>
  <c r="AV8" i="6"/>
  <c r="BO42" i="9"/>
  <c r="BL42" i="9"/>
  <c r="BK42" i="9"/>
  <c r="BK45" i="9" s="1"/>
  <c r="AN20" i="18"/>
  <c r="AL21" i="18"/>
  <c r="AN21" i="18" s="1"/>
  <c r="BR45" i="9"/>
  <c r="BT45" i="9" s="1"/>
  <c r="AM34" i="5"/>
  <c r="AU34" i="5" s="1"/>
  <c r="AE40" i="14"/>
  <c r="AF40" i="14"/>
  <c r="AI40" i="14"/>
  <c r="AF33" i="14"/>
  <c r="AI33" i="14"/>
  <c r="AE33" i="14"/>
  <c r="P59" i="6" l="1"/>
  <c r="E29" i="15" s="1"/>
  <c r="AV59" i="6"/>
  <c r="E33" i="15" s="1"/>
  <c r="H59" i="9"/>
  <c r="E34" i="15" s="1"/>
  <c r="X59" i="5"/>
  <c r="E18" i="15" s="1"/>
  <c r="X59" i="6"/>
  <c r="E30" i="15" s="1"/>
  <c r="AF59" i="9"/>
  <c r="E37" i="15" s="1"/>
  <c r="AV59" i="9"/>
  <c r="E39" i="15" s="1"/>
  <c r="AN59" i="9"/>
  <c r="E38" i="15" s="1"/>
  <c r="X59" i="9"/>
  <c r="E36" i="15" s="1"/>
  <c r="BJ21" i="9"/>
  <c r="BL21" i="9" s="1"/>
  <c r="AR42" i="5"/>
  <c r="AN17" i="4"/>
  <c r="AP17" i="4" s="1"/>
  <c r="AP16" i="4"/>
  <c r="AS16" i="4"/>
  <c r="AO16" i="4"/>
  <c r="AO17" i="4" s="1"/>
  <c r="AO21" i="4" s="1"/>
  <c r="AO42" i="5"/>
  <c r="AN42" i="5"/>
  <c r="AN45" i="5" s="1"/>
  <c r="AM45" i="5"/>
  <c r="AO45" i="5" s="1"/>
  <c r="V21" i="17"/>
  <c r="X21" i="17" s="1"/>
  <c r="W21" i="17"/>
  <c r="AD21" i="5"/>
  <c r="AF21" i="5" s="1"/>
  <c r="AU30" i="5"/>
  <c r="K59" i="9"/>
  <c r="AU39" i="5"/>
  <c r="AU17" i="5"/>
  <c r="AU21" i="5" s="1"/>
  <c r="AN20" i="5"/>
  <c r="AA59" i="6"/>
  <c r="AE30" i="5"/>
  <c r="AQ59" i="9"/>
  <c r="W13" i="17"/>
  <c r="AT39" i="18"/>
  <c r="AV39" i="18" s="1"/>
  <c r="BK21" i="9"/>
  <c r="AT17" i="18"/>
  <c r="AV17" i="18" s="1"/>
  <c r="F7" i="15" s="1"/>
  <c r="G13" i="18"/>
  <c r="AE39" i="5"/>
  <c r="AA59" i="14"/>
  <c r="BK30" i="9"/>
  <c r="BK13" i="9"/>
  <c r="BT59" i="9"/>
  <c r="E42" i="15" s="1"/>
  <c r="BW59" i="9"/>
  <c r="S59" i="6"/>
  <c r="AY59" i="6"/>
  <c r="AD30" i="14"/>
  <c r="AF30" i="14" s="1"/>
  <c r="AL23" i="14"/>
  <c r="AD39" i="14"/>
  <c r="AF39" i="14" s="1"/>
  <c r="AL36" i="14"/>
  <c r="AD45" i="14"/>
  <c r="AF45" i="14" s="1"/>
  <c r="AL42" i="14"/>
  <c r="AD17" i="14"/>
  <c r="AF17" i="14" s="1"/>
  <c r="F27" i="15" s="1"/>
  <c r="AL16" i="14"/>
  <c r="AE20" i="14"/>
  <c r="V39" i="17"/>
  <c r="X39" i="17" s="1"/>
  <c r="AD36" i="17"/>
  <c r="W30" i="17"/>
  <c r="V30" i="4"/>
  <c r="X30" i="4" s="1"/>
  <c r="X23" i="4"/>
  <c r="X59" i="4" s="1"/>
  <c r="E10" i="15" s="1"/>
  <c r="W23" i="4"/>
  <c r="W30" i="4" s="1"/>
  <c r="AA23" i="4"/>
  <c r="AA59" i="4" s="1"/>
  <c r="AN23" i="4"/>
  <c r="AV23" i="4" s="1"/>
  <c r="BS21" i="9"/>
  <c r="AO20" i="5"/>
  <c r="AY5" i="18"/>
  <c r="AV5" i="18"/>
  <c r="AU5" i="18"/>
  <c r="AT13" i="18"/>
  <c r="AV13" i="18" s="1"/>
  <c r="AV36" i="18"/>
  <c r="AY36" i="18"/>
  <c r="AU36" i="18"/>
  <c r="AU39" i="18" s="1"/>
  <c r="BS39" i="9"/>
  <c r="AE16" i="14"/>
  <c r="AE17" i="14" s="1"/>
  <c r="AI16" i="14"/>
  <c r="AF16" i="14"/>
  <c r="AR34" i="5"/>
  <c r="AO34" i="5"/>
  <c r="AN34" i="5"/>
  <c r="AN57" i="5"/>
  <c r="AE5" i="14"/>
  <c r="AF5" i="14"/>
  <c r="AI5" i="14"/>
  <c r="AD13" i="14"/>
  <c r="AF13" i="14" s="1"/>
  <c r="K59" i="18"/>
  <c r="AA36" i="17"/>
  <c r="AA59" i="17" s="1"/>
  <c r="X36" i="17"/>
  <c r="X59" i="17" s="1"/>
  <c r="E15" i="15" s="1"/>
  <c r="W36" i="17"/>
  <c r="W39" i="17" s="1"/>
  <c r="AO23" i="5"/>
  <c r="AN23" i="5"/>
  <c r="AR23" i="5"/>
  <c r="AM30" i="5"/>
  <c r="AU30" i="18"/>
  <c r="AF34" i="4"/>
  <c r="AI34" i="4"/>
  <c r="AI59" i="4" s="1"/>
  <c r="AE34" i="4"/>
  <c r="AE39" i="4" s="1"/>
  <c r="AN34" i="4"/>
  <c r="AV34" i="4" s="1"/>
  <c r="AD39" i="4"/>
  <c r="AF39" i="4" s="1"/>
  <c r="BO36" i="9"/>
  <c r="BO59" i="9" s="1"/>
  <c r="BK36" i="9"/>
  <c r="BK39" i="9" s="1"/>
  <c r="BL36" i="9"/>
  <c r="BL59" i="9" s="1"/>
  <c r="E41" i="15" s="1"/>
  <c r="X17" i="9"/>
  <c r="F36" i="15" s="1"/>
  <c r="V21" i="9"/>
  <c r="X21" i="9" s="1"/>
  <c r="W13" i="14"/>
  <c r="X17" i="14"/>
  <c r="F26" i="15" s="1"/>
  <c r="V21" i="14"/>
  <c r="X21" i="14" s="1"/>
  <c r="AA59" i="5"/>
  <c r="AY8" i="18"/>
  <c r="AU8" i="18"/>
  <c r="AV8" i="18"/>
  <c r="AF59" i="5"/>
  <c r="H59" i="18"/>
  <c r="E2" i="15" s="1"/>
  <c r="AO36" i="5"/>
  <c r="AN36" i="5"/>
  <c r="AR36" i="5"/>
  <c r="AF8" i="14"/>
  <c r="AI8" i="14"/>
  <c r="AE8" i="14"/>
  <c r="AO13" i="5"/>
  <c r="AR29" i="5"/>
  <c r="AN29" i="5"/>
  <c r="AO29" i="5"/>
  <c r="AI59" i="5"/>
  <c r="AN13" i="5"/>
  <c r="AN13" i="4"/>
  <c r="AP13" i="4" s="1"/>
  <c r="AP5" i="4"/>
  <c r="AS5" i="4"/>
  <c r="AO5" i="4"/>
  <c r="AT21" i="6"/>
  <c r="AV21" i="6" s="1"/>
  <c r="AF23" i="14"/>
  <c r="AI23" i="14"/>
  <c r="AE23" i="14"/>
  <c r="AE57" i="14"/>
  <c r="P17" i="6"/>
  <c r="F29" i="15" s="1"/>
  <c r="N21" i="6"/>
  <c r="P21" i="6" s="1"/>
  <c r="AN16" i="5"/>
  <c r="AR16" i="5"/>
  <c r="AO16" i="5"/>
  <c r="X17" i="6"/>
  <c r="F30" i="15" s="1"/>
  <c r="V21" i="6"/>
  <c r="X21" i="6" s="1"/>
  <c r="H17" i="18"/>
  <c r="F2" i="15" s="1"/>
  <c r="F21" i="18"/>
  <c r="H21" i="18" s="1"/>
  <c r="AN17" i="9"/>
  <c r="F38" i="15" s="1"/>
  <c r="AL21" i="9"/>
  <c r="AN21" i="9" s="1"/>
  <c r="AE42" i="14"/>
  <c r="AE45" i="14" s="1"/>
  <c r="AF42" i="14"/>
  <c r="AI42" i="14"/>
  <c r="F21" i="5"/>
  <c r="H21" i="5" s="1"/>
  <c r="P17" i="14"/>
  <c r="F25" i="15" s="1"/>
  <c r="N21" i="14"/>
  <c r="P21" i="14" s="1"/>
  <c r="AF36" i="14"/>
  <c r="AE36" i="14"/>
  <c r="AE39" i="14" s="1"/>
  <c r="AI36" i="14"/>
  <c r="AR14" i="5"/>
  <c r="AO14" i="5"/>
  <c r="AN14" i="5"/>
  <c r="AM17" i="5"/>
  <c r="AM39" i="5"/>
  <c r="AO31" i="5"/>
  <c r="AN31" i="5"/>
  <c r="AR31" i="5"/>
  <c r="P59" i="9"/>
  <c r="E35" i="15" s="1"/>
  <c r="AU16" i="18"/>
  <c r="AU17" i="18" s="1"/>
  <c r="AU21" i="18" s="1"/>
  <c r="AY16" i="18"/>
  <c r="AV16" i="18"/>
  <c r="AE17" i="5"/>
  <c r="AE21" i="5" s="1"/>
  <c r="X59" i="14"/>
  <c r="E26" i="15" s="1"/>
  <c r="AF20" i="14"/>
  <c r="S59" i="9"/>
  <c r="AU17" i="6"/>
  <c r="AU21" i="6" s="1"/>
  <c r="AF29" i="14"/>
  <c r="AI29" i="14"/>
  <c r="AE29" i="14"/>
  <c r="AO8" i="4"/>
  <c r="AS8" i="4"/>
  <c r="AP8" i="4"/>
  <c r="BS30" i="9"/>
  <c r="AO59" i="5" l="1"/>
  <c r="E19" i="15" s="1"/>
  <c r="AF59" i="4"/>
  <c r="E11" i="15" s="1"/>
  <c r="AF59" i="14"/>
  <c r="E27" i="15" s="1"/>
  <c r="AN21" i="4"/>
  <c r="AP21" i="4" s="1"/>
  <c r="AE21" i="14"/>
  <c r="AV59" i="18"/>
  <c r="E7" i="15" s="1"/>
  <c r="AN39" i="5"/>
  <c r="AT21" i="18"/>
  <c r="AV21" i="18" s="1"/>
  <c r="AR59" i="5"/>
  <c r="AO13" i="4"/>
  <c r="AY59" i="18"/>
  <c r="AN30" i="5"/>
  <c r="AU13" i="18"/>
  <c r="AD21" i="14"/>
  <c r="AF21" i="14" s="1"/>
  <c r="AE30" i="14"/>
  <c r="AO17" i="5"/>
  <c r="F19" i="15" s="1"/>
  <c r="AE13" i="14"/>
  <c r="AN17" i="5"/>
  <c r="AN21" i="5" s="1"/>
  <c r="AP23" i="4"/>
  <c r="AS23" i="4"/>
  <c r="AO23" i="4"/>
  <c r="AO30" i="4" s="1"/>
  <c r="AN30" i="4"/>
  <c r="AP30" i="4" s="1"/>
  <c r="AO39" i="5"/>
  <c r="AN39" i="4"/>
  <c r="AP39" i="4" s="1"/>
  <c r="AP34" i="4"/>
  <c r="AO34" i="4"/>
  <c r="AO39" i="4" s="1"/>
  <c r="AS34" i="4"/>
  <c r="AM21" i="5"/>
  <c r="AO30" i="5"/>
  <c r="AI59" i="14"/>
  <c r="AP59" i="4" l="1"/>
  <c r="E12" i="15" s="1"/>
  <c r="AO21" i="5"/>
  <c r="AS59" i="4"/>
  <c r="V47" i="12"/>
  <c r="F5" i="12"/>
  <c r="F6" i="12"/>
  <c r="F55" i="12"/>
  <c r="F9" i="12"/>
  <c r="F10" i="12"/>
  <c r="F15" i="12"/>
  <c r="V19" i="12"/>
  <c r="F18" i="12"/>
  <c r="F24" i="12"/>
  <c r="F27" i="12"/>
  <c r="V28" i="12"/>
  <c r="F54" i="12"/>
  <c r="V48" i="12"/>
  <c r="AA48" i="12" s="1"/>
  <c r="F33" i="12"/>
  <c r="F35" i="12"/>
  <c r="F37" i="12"/>
  <c r="F38" i="12"/>
  <c r="F44" i="12"/>
  <c r="F56" i="12"/>
  <c r="F46" i="12"/>
  <c r="F52" i="12"/>
  <c r="N51" i="12"/>
  <c r="F64" i="12"/>
  <c r="N64" i="12"/>
  <c r="V64" i="12"/>
  <c r="F62" i="12"/>
  <c r="N62" i="12"/>
  <c r="V62" i="12"/>
  <c r="N48" i="12"/>
  <c r="V54" i="12"/>
  <c r="N28" i="12"/>
  <c r="N41" i="12"/>
  <c r="N33" i="12"/>
  <c r="N26" i="12"/>
  <c r="F22" i="12"/>
  <c r="V49" i="12"/>
  <c r="N24" i="12"/>
  <c r="N25" i="12"/>
  <c r="N54" i="12"/>
  <c r="N6" i="12"/>
  <c r="F12" i="12"/>
  <c r="F41" i="12"/>
  <c r="CV49" i="19"/>
  <c r="V15" i="12" l="1"/>
  <c r="AA15" i="12" s="1"/>
  <c r="V10" i="12"/>
  <c r="V55" i="12"/>
  <c r="AA55" i="12" s="1"/>
  <c r="V7" i="12"/>
  <c r="W7" i="12" s="1"/>
  <c r="V6" i="12"/>
  <c r="AA6" i="12" s="1"/>
  <c r="V44" i="12"/>
  <c r="W44" i="12" s="1"/>
  <c r="V14" i="12"/>
  <c r="V36" i="12"/>
  <c r="W36" i="12" s="1"/>
  <c r="V53" i="12"/>
  <c r="X53" i="12" s="1"/>
  <c r="V12" i="12"/>
  <c r="AA12" i="12" s="1"/>
  <c r="V22" i="12"/>
  <c r="X22" i="12" s="1"/>
  <c r="V24" i="12"/>
  <c r="AA24" i="12" s="1"/>
  <c r="V52" i="12"/>
  <c r="W52" i="12" s="1"/>
  <c r="V56" i="12"/>
  <c r="W56" i="12" s="1"/>
  <c r="V40" i="12"/>
  <c r="X40" i="12" s="1"/>
  <c r="V11" i="12"/>
  <c r="AA11" i="12" s="1"/>
  <c r="V37" i="12"/>
  <c r="X37" i="12" s="1"/>
  <c r="V32" i="12"/>
  <c r="W32" i="12" s="1"/>
  <c r="V31" i="12"/>
  <c r="V25" i="12"/>
  <c r="W25" i="12" s="1"/>
  <c r="V5" i="12"/>
  <c r="V41" i="12"/>
  <c r="AA47" i="12"/>
  <c r="X47" i="12"/>
  <c r="W47" i="12"/>
  <c r="V46" i="12"/>
  <c r="W28" i="12"/>
  <c r="X28" i="12"/>
  <c r="AA28" i="12"/>
  <c r="W54" i="12"/>
  <c r="X54" i="12"/>
  <c r="AA54" i="12"/>
  <c r="X62" i="12"/>
  <c r="W62" i="12"/>
  <c r="V34" i="12"/>
  <c r="X19" i="12"/>
  <c r="W19" i="12"/>
  <c r="AA19" i="12"/>
  <c r="W64" i="12"/>
  <c r="AD52" i="12"/>
  <c r="V26" i="12"/>
  <c r="W49" i="12"/>
  <c r="AA49" i="12"/>
  <c r="BJ51" i="19"/>
  <c r="AD51" i="12"/>
  <c r="BJ23" i="19"/>
  <c r="AD23" i="12"/>
  <c r="BJ41" i="19"/>
  <c r="AD41" i="12"/>
  <c r="BJ11" i="19"/>
  <c r="AD11" i="12"/>
  <c r="BJ36" i="19"/>
  <c r="AD36" i="12"/>
  <c r="BJ50" i="19"/>
  <c r="AD50" i="12"/>
  <c r="BJ43" i="19"/>
  <c r="AD43" i="12"/>
  <c r="BJ44" i="19"/>
  <c r="AD44" i="12"/>
  <c r="BJ9" i="19"/>
  <c r="AD9" i="12"/>
  <c r="BJ37" i="19"/>
  <c r="AD37" i="12"/>
  <c r="BJ56" i="19"/>
  <c r="AD56" i="12"/>
  <c r="BJ33" i="19"/>
  <c r="AD33" i="12"/>
  <c r="N55" i="12"/>
  <c r="S55" i="12" s="1"/>
  <c r="N53" i="12"/>
  <c r="S53" i="12" s="1"/>
  <c r="BJ55" i="19"/>
  <c r="AD55" i="12"/>
  <c r="BJ10" i="19"/>
  <c r="AD10" i="12"/>
  <c r="BJ27" i="19"/>
  <c r="AD27" i="12"/>
  <c r="N7" i="12"/>
  <c r="S7" i="12" s="1"/>
  <c r="N47" i="12"/>
  <c r="O47" i="12" s="1"/>
  <c r="N56" i="12"/>
  <c r="S56" i="12" s="1"/>
  <c r="N12" i="12"/>
  <c r="O12" i="12" s="1"/>
  <c r="N46" i="12"/>
  <c r="P46" i="12" s="1"/>
  <c r="BJ25" i="19"/>
  <c r="AD25" i="12"/>
  <c r="BJ53" i="19"/>
  <c r="AD53" i="12"/>
  <c r="BJ49" i="19"/>
  <c r="AD49" i="12"/>
  <c r="G64" i="12"/>
  <c r="N52" i="12"/>
  <c r="S52" i="12" s="1"/>
  <c r="N44" i="12"/>
  <c r="O44" i="12" s="1"/>
  <c r="N38" i="12"/>
  <c r="O38" i="12" s="1"/>
  <c r="N37" i="12"/>
  <c r="N35" i="12"/>
  <c r="O35" i="12" s="1"/>
  <c r="N19" i="12"/>
  <c r="O19" i="12" s="1"/>
  <c r="N10" i="12"/>
  <c r="O10" i="12" s="1"/>
  <c r="BJ5" i="19"/>
  <c r="AD5" i="12"/>
  <c r="BJ19" i="19"/>
  <c r="AD19" i="12"/>
  <c r="BJ62" i="19"/>
  <c r="AD62" i="12"/>
  <c r="N50" i="12"/>
  <c r="S50" i="12" s="1"/>
  <c r="N43" i="12"/>
  <c r="O43" i="12" s="1"/>
  <c r="N11" i="12"/>
  <c r="P11" i="12" s="1"/>
  <c r="N32" i="12"/>
  <c r="O32" i="12" s="1"/>
  <c r="N31" i="12"/>
  <c r="O31" i="12" s="1"/>
  <c r="N27" i="12"/>
  <c r="O27" i="12" s="1"/>
  <c r="N22" i="12"/>
  <c r="P22" i="12" s="1"/>
  <c r="BJ47" i="19"/>
  <c r="AD47" i="12"/>
  <c r="BJ12" i="19"/>
  <c r="AD12" i="12"/>
  <c r="BJ40" i="19"/>
  <c r="AD40" i="12"/>
  <c r="BJ24" i="19"/>
  <c r="AD24" i="12"/>
  <c r="BJ46" i="19"/>
  <c r="AD46" i="12"/>
  <c r="CX49" i="19"/>
  <c r="CY49" i="19"/>
  <c r="DC49" i="19"/>
  <c r="BJ7" i="19"/>
  <c r="AD7" i="12"/>
  <c r="BJ26" i="19"/>
  <c r="AD26" i="12"/>
  <c r="BJ18" i="19"/>
  <c r="AD18" i="12"/>
  <c r="BJ6" i="19"/>
  <c r="AD6" i="12"/>
  <c r="BJ48" i="19"/>
  <c r="AD48" i="12"/>
  <c r="BJ64" i="19"/>
  <c r="AD64" i="12"/>
  <c r="AE64" i="12" s="1"/>
  <c r="N9" i="12"/>
  <c r="P9" i="12" s="1"/>
  <c r="N16" i="12"/>
  <c r="F19" i="12"/>
  <c r="F20" i="12" s="1"/>
  <c r="F34" i="12"/>
  <c r="H34" i="12" s="1"/>
  <c r="F23" i="12"/>
  <c r="G23" i="12" s="1"/>
  <c r="N18" i="12"/>
  <c r="N40" i="12"/>
  <c r="N29" i="12"/>
  <c r="N8" i="12"/>
  <c r="S51" i="12"/>
  <c r="O51" i="12"/>
  <c r="P51" i="12"/>
  <c r="P41" i="12"/>
  <c r="S41" i="12"/>
  <c r="O41" i="12"/>
  <c r="P28" i="12"/>
  <c r="S28" i="12"/>
  <c r="O28" i="12"/>
  <c r="N15" i="12"/>
  <c r="O25" i="12"/>
  <c r="P25" i="12"/>
  <c r="S25" i="12"/>
  <c r="S33" i="12"/>
  <c r="P33" i="12"/>
  <c r="O33" i="12"/>
  <c r="O62" i="12"/>
  <c r="P62" i="12"/>
  <c r="O6" i="12"/>
  <c r="P6" i="12"/>
  <c r="S6" i="12"/>
  <c r="P26" i="12"/>
  <c r="O26" i="12"/>
  <c r="S26" i="12"/>
  <c r="S54" i="12"/>
  <c r="P54" i="12"/>
  <c r="O54" i="12"/>
  <c r="S24" i="12"/>
  <c r="P24" i="12"/>
  <c r="O24" i="12"/>
  <c r="P48" i="12"/>
  <c r="S48" i="12"/>
  <c r="O64" i="12"/>
  <c r="G5" i="12"/>
  <c r="K5" i="12"/>
  <c r="H5" i="12"/>
  <c r="G54" i="12"/>
  <c r="K54" i="12"/>
  <c r="H54" i="12"/>
  <c r="F36" i="12"/>
  <c r="H24" i="12"/>
  <c r="G24" i="12"/>
  <c r="K24" i="12"/>
  <c r="G18" i="12"/>
  <c r="H18" i="12"/>
  <c r="K18" i="12"/>
  <c r="G62" i="12"/>
  <c r="H62" i="12"/>
  <c r="K6" i="12"/>
  <c r="H6" i="12"/>
  <c r="G6" i="12"/>
  <c r="G27" i="12"/>
  <c r="H27" i="12"/>
  <c r="K27" i="12"/>
  <c r="K10" i="12"/>
  <c r="G10" i="12"/>
  <c r="H10" i="12"/>
  <c r="G55" i="12"/>
  <c r="K55" i="12"/>
  <c r="H55" i="12"/>
  <c r="G15" i="12"/>
  <c r="H15" i="12"/>
  <c r="K15" i="12"/>
  <c r="G37" i="12"/>
  <c r="K37" i="12"/>
  <c r="H37" i="12"/>
  <c r="G35" i="12"/>
  <c r="K35" i="12"/>
  <c r="H35" i="12"/>
  <c r="K9" i="12"/>
  <c r="H9" i="12"/>
  <c r="G9" i="12"/>
  <c r="K38" i="12"/>
  <c r="H38" i="12"/>
  <c r="G38" i="12"/>
  <c r="F49" i="12"/>
  <c r="K41" i="12"/>
  <c r="G41" i="12"/>
  <c r="H41" i="12"/>
  <c r="K22" i="12"/>
  <c r="H22" i="12"/>
  <c r="G22" i="12"/>
  <c r="K46" i="12"/>
  <c r="G46" i="12"/>
  <c r="H46" i="12"/>
  <c r="H56" i="12"/>
  <c r="K56" i="12"/>
  <c r="G56" i="12"/>
  <c r="G12" i="12"/>
  <c r="K12" i="12"/>
  <c r="H12" i="12"/>
  <c r="K44" i="12"/>
  <c r="G44" i="12"/>
  <c r="H44" i="12"/>
  <c r="H33" i="12"/>
  <c r="G33" i="12"/>
  <c r="K33" i="12"/>
  <c r="G52" i="12"/>
  <c r="H52" i="12"/>
  <c r="K52" i="12"/>
  <c r="N23" i="12"/>
  <c r="F51" i="12"/>
  <c r="V51" i="12"/>
  <c r="V29" i="12"/>
  <c r="F50" i="12"/>
  <c r="F42" i="12"/>
  <c r="V42" i="12"/>
  <c r="V38" i="12"/>
  <c r="F11" i="12"/>
  <c r="F16" i="12"/>
  <c r="V33" i="12"/>
  <c r="V23" i="12"/>
  <c r="F48" i="12"/>
  <c r="F25" i="12"/>
  <c r="F32" i="12"/>
  <c r="CV48" i="19"/>
  <c r="N49" i="12"/>
  <c r="V27" i="12"/>
  <c r="V9" i="12"/>
  <c r="F53" i="12"/>
  <c r="V8" i="12"/>
  <c r="F43" i="12"/>
  <c r="V50" i="12"/>
  <c r="V43" i="12"/>
  <c r="F28" i="12"/>
  <c r="V18" i="12"/>
  <c r="F14" i="12"/>
  <c r="F47" i="12"/>
  <c r="AL24" i="12" l="1"/>
  <c r="AA22" i="12"/>
  <c r="X7" i="12"/>
  <c r="AL6" i="12"/>
  <c r="W55" i="12"/>
  <c r="W6" i="12"/>
  <c r="X6" i="12"/>
  <c r="X52" i="12"/>
  <c r="W15" i="12"/>
  <c r="X32" i="12"/>
  <c r="P35" i="12"/>
  <c r="X12" i="12"/>
  <c r="O55" i="12"/>
  <c r="S35" i="12"/>
  <c r="P55" i="12"/>
  <c r="AA52" i="12"/>
  <c r="W53" i="12"/>
  <c r="W22" i="12"/>
  <c r="O7" i="12"/>
  <c r="AA53" i="12"/>
  <c r="X15" i="12"/>
  <c r="P7" i="12"/>
  <c r="W37" i="12"/>
  <c r="X55" i="12"/>
  <c r="O22" i="12"/>
  <c r="AL33" i="12"/>
  <c r="S22" i="12"/>
  <c r="AA37" i="12"/>
  <c r="W12" i="12"/>
  <c r="P44" i="12"/>
  <c r="S46" i="12"/>
  <c r="S10" i="12"/>
  <c r="P10" i="12"/>
  <c r="O56" i="12"/>
  <c r="P43" i="12"/>
  <c r="S12" i="12"/>
  <c r="S11" i="12"/>
  <c r="O11" i="12"/>
  <c r="W24" i="12"/>
  <c r="S19" i="12"/>
  <c r="S47" i="12"/>
  <c r="P19" i="12"/>
  <c r="X36" i="12"/>
  <c r="O53" i="12"/>
  <c r="O9" i="12"/>
  <c r="O50" i="12"/>
  <c r="P53" i="12"/>
  <c r="AA25" i="12"/>
  <c r="S9" i="12"/>
  <c r="P50" i="12"/>
  <c r="X56" i="12"/>
  <c r="AL56" i="12"/>
  <c r="O46" i="12"/>
  <c r="AA44" i="12"/>
  <c r="S38" i="12"/>
  <c r="O52" i="12"/>
  <c r="K34" i="12"/>
  <c r="AA56" i="12"/>
  <c r="P27" i="12"/>
  <c r="S27" i="12"/>
  <c r="P52" i="12"/>
  <c r="X25" i="12"/>
  <c r="W40" i="12"/>
  <c r="AA7" i="12"/>
  <c r="X44" i="12"/>
  <c r="X11" i="12"/>
  <c r="W11" i="12"/>
  <c r="AA40" i="12"/>
  <c r="S32" i="12"/>
  <c r="S43" i="12"/>
  <c r="P56" i="12"/>
  <c r="AL46" i="12"/>
  <c r="AA32" i="12"/>
  <c r="X24" i="12"/>
  <c r="AL18" i="12"/>
  <c r="AL27" i="12"/>
  <c r="P32" i="12"/>
  <c r="P38" i="12"/>
  <c r="AL41" i="12"/>
  <c r="AA36" i="12"/>
  <c r="AL10" i="12"/>
  <c r="AL37" i="12"/>
  <c r="W14" i="12"/>
  <c r="X14" i="12"/>
  <c r="AA14" i="12"/>
  <c r="K19" i="12"/>
  <c r="G34" i="12"/>
  <c r="P47" i="12"/>
  <c r="H19" i="12"/>
  <c r="W10" i="12"/>
  <c r="AL19" i="12"/>
  <c r="AA10" i="12"/>
  <c r="G19" i="12"/>
  <c r="G20" i="12" s="1"/>
  <c r="X10" i="12"/>
  <c r="X29" i="12"/>
  <c r="W29" i="12"/>
  <c r="AA29" i="12"/>
  <c r="BJ52" i="19"/>
  <c r="BO52" i="19" s="1"/>
  <c r="AA26" i="12"/>
  <c r="W26" i="12"/>
  <c r="X26" i="12"/>
  <c r="X5" i="12"/>
  <c r="W5" i="12"/>
  <c r="AA5" i="12"/>
  <c r="AA43" i="12"/>
  <c r="W43" i="12"/>
  <c r="X43" i="12"/>
  <c r="AA9" i="12"/>
  <c r="X9" i="12"/>
  <c r="W9" i="12"/>
  <c r="V30" i="12"/>
  <c r="X30" i="12" s="1"/>
  <c r="W23" i="12"/>
  <c r="AA23" i="12"/>
  <c r="X23" i="12"/>
  <c r="W51" i="12"/>
  <c r="X51" i="12"/>
  <c r="AA51" i="12"/>
  <c r="W46" i="12"/>
  <c r="AA46" i="12"/>
  <c r="X46" i="12"/>
  <c r="V57" i="12"/>
  <c r="X57" i="12" s="1"/>
  <c r="X50" i="12"/>
  <c r="W50" i="12"/>
  <c r="AA50" i="12"/>
  <c r="V16" i="12"/>
  <c r="X27" i="12"/>
  <c r="AA27" i="12"/>
  <c r="W27" i="12"/>
  <c r="AA38" i="12"/>
  <c r="W38" i="12"/>
  <c r="X38" i="12"/>
  <c r="AA42" i="12"/>
  <c r="X42" i="12"/>
  <c r="W42" i="12"/>
  <c r="V35" i="12"/>
  <c r="V39" i="12" s="1"/>
  <c r="X39" i="12" s="1"/>
  <c r="X31" i="12"/>
  <c r="W31" i="12"/>
  <c r="AA31" i="12"/>
  <c r="AA18" i="12"/>
  <c r="V20" i="12"/>
  <c r="X18" i="12"/>
  <c r="W18" i="12"/>
  <c r="W20" i="12" s="1"/>
  <c r="V13" i="12"/>
  <c r="X13" i="12" s="1"/>
  <c r="W8" i="12"/>
  <c r="AA8" i="12"/>
  <c r="X8" i="12"/>
  <c r="W33" i="12"/>
  <c r="AA33" i="12"/>
  <c r="X33" i="12"/>
  <c r="S31" i="12"/>
  <c r="X34" i="12"/>
  <c r="AA34" i="12"/>
  <c r="W34" i="12"/>
  <c r="AA41" i="12"/>
  <c r="W41" i="12"/>
  <c r="X41" i="12"/>
  <c r="V45" i="12"/>
  <c r="X45" i="12" s="1"/>
  <c r="AL23" i="12"/>
  <c r="AL9" i="12"/>
  <c r="BJ34" i="19"/>
  <c r="AD34" i="12"/>
  <c r="BK11" i="19"/>
  <c r="BL11" i="19"/>
  <c r="BO11" i="19"/>
  <c r="BR11" i="19"/>
  <c r="F57" i="12"/>
  <c r="H57" i="12" s="1"/>
  <c r="BJ15" i="19"/>
  <c r="AD15" i="12"/>
  <c r="P31" i="12"/>
  <c r="S44" i="12"/>
  <c r="BK6" i="19"/>
  <c r="BL6" i="19"/>
  <c r="BO6" i="19"/>
  <c r="BR6" i="19"/>
  <c r="BK47" i="19"/>
  <c r="BO47" i="19"/>
  <c r="BL47" i="19"/>
  <c r="BR47" i="19"/>
  <c r="AF53" i="12"/>
  <c r="AE53" i="12"/>
  <c r="AI53" i="12"/>
  <c r="BL55" i="19"/>
  <c r="BO55" i="19"/>
  <c r="BK55" i="19"/>
  <c r="BR55" i="19"/>
  <c r="AE33" i="12"/>
  <c r="AI33" i="12"/>
  <c r="AF33" i="12"/>
  <c r="BO9" i="19"/>
  <c r="BK9" i="19"/>
  <c r="BL9" i="19"/>
  <c r="BR9" i="19"/>
  <c r="AF41" i="12"/>
  <c r="AE41" i="12"/>
  <c r="AI41" i="12"/>
  <c r="BK62" i="19"/>
  <c r="BL62" i="19"/>
  <c r="BR62" i="19"/>
  <c r="AE52" i="12"/>
  <c r="AF52" i="12"/>
  <c r="AI52" i="12"/>
  <c r="AL12" i="12"/>
  <c r="AD20" i="12"/>
  <c r="AI18" i="12"/>
  <c r="AF18" i="12"/>
  <c r="AE18" i="12"/>
  <c r="AE46" i="12"/>
  <c r="AF46" i="12"/>
  <c r="AI46" i="12"/>
  <c r="AI19" i="12"/>
  <c r="AF19" i="12"/>
  <c r="AE19" i="12"/>
  <c r="BL53" i="19"/>
  <c r="BO53" i="19"/>
  <c r="BK53" i="19"/>
  <c r="BR53" i="19"/>
  <c r="BK33" i="19"/>
  <c r="BO33" i="19"/>
  <c r="BL33" i="19"/>
  <c r="BR33" i="19"/>
  <c r="AI44" i="12"/>
  <c r="AE44" i="12"/>
  <c r="AF44" i="12"/>
  <c r="BL41" i="19"/>
  <c r="BK41" i="19"/>
  <c r="BO41" i="19"/>
  <c r="BR41" i="19"/>
  <c r="AI47" i="12"/>
  <c r="AE47" i="12"/>
  <c r="AF47" i="12"/>
  <c r="BJ22" i="19"/>
  <c r="AD22" i="12"/>
  <c r="BR18" i="19"/>
  <c r="BK18" i="19"/>
  <c r="BL18" i="19"/>
  <c r="BJ20" i="19"/>
  <c r="BO18" i="19"/>
  <c r="BO46" i="19"/>
  <c r="BK46" i="19"/>
  <c r="BR46" i="19"/>
  <c r="BL46" i="19"/>
  <c r="BL19" i="19"/>
  <c r="BK19" i="19"/>
  <c r="BO19" i="19"/>
  <c r="BR19" i="19"/>
  <c r="AE25" i="12"/>
  <c r="AF25" i="12"/>
  <c r="AI25" i="12"/>
  <c r="AF27" i="12"/>
  <c r="AE27" i="12"/>
  <c r="AI27" i="12"/>
  <c r="AF56" i="12"/>
  <c r="AE56" i="12"/>
  <c r="AI56" i="12"/>
  <c r="BK44" i="19"/>
  <c r="BL44" i="19"/>
  <c r="BO44" i="19"/>
  <c r="BR44" i="19"/>
  <c r="AE9" i="12"/>
  <c r="AF9" i="12"/>
  <c r="AI9" i="12"/>
  <c r="BJ14" i="19"/>
  <c r="AD14" i="12"/>
  <c r="AL52" i="12"/>
  <c r="AI26" i="12"/>
  <c r="AF26" i="12"/>
  <c r="AE26" i="12"/>
  <c r="AE24" i="12"/>
  <c r="AI24" i="12"/>
  <c r="AF24" i="12"/>
  <c r="AE40" i="12"/>
  <c r="AI40" i="12" s="1"/>
  <c r="AF40" i="12"/>
  <c r="BK25" i="19"/>
  <c r="BL25" i="19"/>
  <c r="BO25" i="19"/>
  <c r="BR25" i="19"/>
  <c r="BO27" i="19"/>
  <c r="BK27" i="19"/>
  <c r="BL27" i="19"/>
  <c r="BR27" i="19"/>
  <c r="N34" i="12"/>
  <c r="BL56" i="19"/>
  <c r="BK56" i="19"/>
  <c r="BO56" i="19"/>
  <c r="BR56" i="19"/>
  <c r="AI43" i="12"/>
  <c r="AF43" i="12"/>
  <c r="AE43" i="12"/>
  <c r="AF36" i="12"/>
  <c r="AE36" i="12"/>
  <c r="AI36" i="12" s="1"/>
  <c r="AF23" i="12"/>
  <c r="AI23" i="12"/>
  <c r="AE23" i="12"/>
  <c r="BK64" i="19"/>
  <c r="BR64" i="19"/>
  <c r="BL26" i="19"/>
  <c r="BO26" i="19"/>
  <c r="BK26" i="19"/>
  <c r="BR26" i="19"/>
  <c r="BK24" i="19"/>
  <c r="BL24" i="19"/>
  <c r="BO24" i="19"/>
  <c r="BR24" i="19"/>
  <c r="BO40" i="19"/>
  <c r="BK40" i="19"/>
  <c r="BL40" i="19"/>
  <c r="BR40" i="19"/>
  <c r="AF10" i="12"/>
  <c r="AE10" i="12"/>
  <c r="AI10" i="12" s="1"/>
  <c r="AI37" i="12"/>
  <c r="AF37" i="12"/>
  <c r="AE37" i="12"/>
  <c r="BK43" i="19"/>
  <c r="BL43" i="19"/>
  <c r="BO43" i="19"/>
  <c r="BR43" i="19"/>
  <c r="BL36" i="19"/>
  <c r="BR36" i="19"/>
  <c r="BK36" i="19"/>
  <c r="BO36" i="19"/>
  <c r="BO23" i="19"/>
  <c r="BK23" i="19"/>
  <c r="BL23" i="19"/>
  <c r="BR23" i="19"/>
  <c r="AI6" i="12"/>
  <c r="AF6" i="12"/>
  <c r="AE6" i="12"/>
  <c r="AI55" i="12"/>
  <c r="AE55" i="12"/>
  <c r="AF55" i="12"/>
  <c r="BJ28" i="19"/>
  <c r="AD28" i="12"/>
  <c r="AL28" i="12" s="1"/>
  <c r="CY48" i="19"/>
  <c r="CX48" i="19"/>
  <c r="DC48" i="19"/>
  <c r="BJ54" i="19"/>
  <c r="AD54" i="12"/>
  <c r="BJ32" i="19"/>
  <c r="AD32" i="12"/>
  <c r="AL32" i="12" s="1"/>
  <c r="AL44" i="12"/>
  <c r="AL55" i="12"/>
  <c r="P12" i="12"/>
  <c r="AF48" i="12"/>
  <c r="AI48" i="12"/>
  <c r="AI7" i="12"/>
  <c r="AE7" i="12"/>
  <c r="AF7" i="12"/>
  <c r="AI12" i="12"/>
  <c r="AF12" i="12"/>
  <c r="AE12" i="12"/>
  <c r="AE5" i="12"/>
  <c r="AI5" i="12"/>
  <c r="AF5" i="12"/>
  <c r="BO10" i="19"/>
  <c r="BK10" i="19"/>
  <c r="BL10" i="19"/>
  <c r="BR10" i="19"/>
  <c r="BK37" i="19"/>
  <c r="BO37" i="19"/>
  <c r="BL37" i="19"/>
  <c r="BR37" i="19"/>
  <c r="AI50" i="12"/>
  <c r="AF50" i="12"/>
  <c r="AE50" i="12"/>
  <c r="AF51" i="12"/>
  <c r="AE51" i="12"/>
  <c r="AI51" i="12"/>
  <c r="BK49" i="19"/>
  <c r="BO49" i="19"/>
  <c r="BR49" i="19"/>
  <c r="BJ38" i="19"/>
  <c r="AD38" i="12"/>
  <c r="BJ35" i="19"/>
  <c r="AD35" i="12"/>
  <c r="N42" i="12"/>
  <c r="S42" i="12" s="1"/>
  <c r="N30" i="12"/>
  <c r="P30" i="12" s="1"/>
  <c r="BK48" i="19"/>
  <c r="BO48" i="19"/>
  <c r="BL48" i="19"/>
  <c r="BR48" i="19"/>
  <c r="BO7" i="19"/>
  <c r="BK7" i="19"/>
  <c r="BL7" i="19"/>
  <c r="BR7" i="19"/>
  <c r="BL12" i="19"/>
  <c r="BO12" i="19"/>
  <c r="BK12" i="19"/>
  <c r="BR12" i="19"/>
  <c r="AE62" i="12"/>
  <c r="AF62" i="12"/>
  <c r="BO5" i="19"/>
  <c r="BK5" i="19"/>
  <c r="BL5" i="19"/>
  <c r="BR5" i="19"/>
  <c r="AI49" i="12"/>
  <c r="AE49" i="12"/>
  <c r="BJ16" i="19"/>
  <c r="AD16" i="12"/>
  <c r="BO50" i="19"/>
  <c r="BK50" i="19"/>
  <c r="BL50" i="19"/>
  <c r="BR50" i="19"/>
  <c r="AI11" i="12"/>
  <c r="AE11" i="12"/>
  <c r="AF11" i="12"/>
  <c r="BK51" i="19"/>
  <c r="BL51" i="19"/>
  <c r="BO51" i="19"/>
  <c r="BR51" i="19"/>
  <c r="S49" i="12"/>
  <c r="O49" i="12"/>
  <c r="S15" i="12"/>
  <c r="O15" i="12"/>
  <c r="P15" i="12"/>
  <c r="N5" i="12"/>
  <c r="P40" i="12"/>
  <c r="S40" i="12"/>
  <c r="O40" i="12"/>
  <c r="S18" i="12"/>
  <c r="O18" i="12"/>
  <c r="O20" i="12" s="1"/>
  <c r="N20" i="12"/>
  <c r="P18" i="12"/>
  <c r="N14" i="12"/>
  <c r="AL14" i="12" s="1"/>
  <c r="O23" i="12"/>
  <c r="S23" i="12"/>
  <c r="P23" i="12"/>
  <c r="K23" i="12"/>
  <c r="P16" i="12"/>
  <c r="O16" i="12"/>
  <c r="S16" i="12"/>
  <c r="H23" i="12"/>
  <c r="S8" i="12"/>
  <c r="O8" i="12"/>
  <c r="P8" i="12"/>
  <c r="P29" i="12"/>
  <c r="S29" i="12"/>
  <c r="O29" i="12"/>
  <c r="P37" i="12"/>
  <c r="S37" i="12"/>
  <c r="O37" i="12"/>
  <c r="N57" i="12"/>
  <c r="P57" i="12" s="1"/>
  <c r="F26" i="12"/>
  <c r="K28" i="12"/>
  <c r="H28" i="12"/>
  <c r="G28" i="12"/>
  <c r="H32" i="12"/>
  <c r="K32" i="12"/>
  <c r="G32" i="12"/>
  <c r="H50" i="12"/>
  <c r="K50" i="12"/>
  <c r="G50" i="12"/>
  <c r="AL50" i="12"/>
  <c r="G51" i="12"/>
  <c r="H51" i="12"/>
  <c r="K51" i="12"/>
  <c r="AL51" i="12"/>
  <c r="H20" i="12"/>
  <c r="F7" i="12"/>
  <c r="F8" i="12"/>
  <c r="F45" i="12"/>
  <c r="H45" i="12" s="1"/>
  <c r="K42" i="12"/>
  <c r="G42" i="12"/>
  <c r="H42" i="12"/>
  <c r="F40" i="12"/>
  <c r="F31" i="12"/>
  <c r="K48" i="12"/>
  <c r="AL48" i="12"/>
  <c r="K16" i="12"/>
  <c r="G16" i="12"/>
  <c r="H16" i="12"/>
  <c r="H11" i="12"/>
  <c r="K11" i="12"/>
  <c r="G11" i="12"/>
  <c r="AL11" i="12"/>
  <c r="G49" i="12"/>
  <c r="K49" i="12"/>
  <c r="AL49" i="12"/>
  <c r="G47" i="12"/>
  <c r="H47" i="12"/>
  <c r="K47" i="12"/>
  <c r="AL47" i="12"/>
  <c r="F17" i="12"/>
  <c r="H17" i="12" s="1"/>
  <c r="F20" i="15" s="1"/>
  <c r="H14" i="12"/>
  <c r="G14" i="12"/>
  <c r="K14" i="12"/>
  <c r="G36" i="12"/>
  <c r="K36" i="12"/>
  <c r="H36" i="12"/>
  <c r="K43" i="12"/>
  <c r="H43" i="12"/>
  <c r="G43" i="12"/>
  <c r="AL43" i="12"/>
  <c r="H53" i="12"/>
  <c r="G53" i="12"/>
  <c r="K53" i="12"/>
  <c r="AL53" i="12"/>
  <c r="K25" i="12"/>
  <c r="G25" i="12"/>
  <c r="H25" i="12"/>
  <c r="AL25" i="12"/>
  <c r="F29" i="12"/>
  <c r="CV40" i="19"/>
  <c r="CV55" i="19"/>
  <c r="CV6" i="19"/>
  <c r="CV51" i="19"/>
  <c r="AL16" i="12" l="1"/>
  <c r="G17" i="12"/>
  <c r="G21" i="12" s="1"/>
  <c r="O57" i="12"/>
  <c r="P42" i="12"/>
  <c r="O42" i="12"/>
  <c r="O45" i="12" s="1"/>
  <c r="N45" i="12"/>
  <c r="P45" i="12" s="1"/>
  <c r="BR52" i="19"/>
  <c r="BW52" i="19" s="1"/>
  <c r="BK52" i="19"/>
  <c r="W13" i="12"/>
  <c r="BL52" i="19"/>
  <c r="W30" i="12"/>
  <c r="BK20" i="19"/>
  <c r="W35" i="12"/>
  <c r="W39" i="12" s="1"/>
  <c r="X35" i="12"/>
  <c r="AA35" i="12"/>
  <c r="X20" i="12"/>
  <c r="W57" i="12"/>
  <c r="W45" i="12"/>
  <c r="AE20" i="12"/>
  <c r="X16" i="12"/>
  <c r="AA16" i="12"/>
  <c r="W16" i="12"/>
  <c r="W17" i="12" s="1"/>
  <c r="W21" i="12" s="1"/>
  <c r="V17" i="12"/>
  <c r="X17" i="12" s="1"/>
  <c r="F22" i="15" s="1"/>
  <c r="BT36" i="19"/>
  <c r="BS36" i="19"/>
  <c r="BW36" i="19"/>
  <c r="O30" i="12"/>
  <c r="BW12" i="19"/>
  <c r="BT12" i="19"/>
  <c r="BS12" i="19"/>
  <c r="BT48" i="19"/>
  <c r="BS48" i="19"/>
  <c r="BW48" i="19"/>
  <c r="BJ31" i="19"/>
  <c r="AD31" i="12"/>
  <c r="AL31" i="12" s="1"/>
  <c r="AE32" i="12"/>
  <c r="AF32" i="12"/>
  <c r="AI32" i="12"/>
  <c r="AF28" i="12"/>
  <c r="AE28" i="12"/>
  <c r="AI28" i="12" s="1"/>
  <c r="BW27" i="19"/>
  <c r="BT27" i="19"/>
  <c r="BS27" i="19"/>
  <c r="BS11" i="19"/>
  <c r="BT11" i="19"/>
  <c r="BW11" i="19"/>
  <c r="BW24" i="19"/>
  <c r="BT24" i="19"/>
  <c r="BS24" i="19"/>
  <c r="CV5" i="19"/>
  <c r="BW50" i="19"/>
  <c r="BT50" i="19"/>
  <c r="BS50" i="19"/>
  <c r="BW5" i="19"/>
  <c r="BT5" i="19"/>
  <c r="BS5" i="19"/>
  <c r="AE38" i="12"/>
  <c r="AF38" i="12"/>
  <c r="AI38" i="12"/>
  <c r="AL38" i="12"/>
  <c r="N36" i="12"/>
  <c r="N39" i="12" s="1"/>
  <c r="P39" i="12" s="1"/>
  <c r="BK32" i="19"/>
  <c r="BO32" i="19"/>
  <c r="BL32" i="19"/>
  <c r="BR32" i="19"/>
  <c r="BO28" i="19"/>
  <c r="BK28" i="19"/>
  <c r="BL28" i="19"/>
  <c r="BR28" i="19"/>
  <c r="BS23" i="19"/>
  <c r="BT23" i="19"/>
  <c r="BW23" i="19"/>
  <c r="BW43" i="19"/>
  <c r="BT43" i="19"/>
  <c r="BS43" i="19"/>
  <c r="BL20" i="19"/>
  <c r="AF20" i="12"/>
  <c r="BS64" i="19"/>
  <c r="BS62" i="19"/>
  <c r="BT62" i="19"/>
  <c r="BW47" i="19"/>
  <c r="BS47" i="19"/>
  <c r="BT47" i="19"/>
  <c r="BT51" i="19"/>
  <c r="BS51" i="19"/>
  <c r="BW51" i="19"/>
  <c r="BO38" i="19"/>
  <c r="BL38" i="19"/>
  <c r="BK38" i="19"/>
  <c r="BR38" i="19"/>
  <c r="BW10" i="19"/>
  <c r="BS10" i="19"/>
  <c r="BT10" i="19"/>
  <c r="AI54" i="12"/>
  <c r="AF54" i="12"/>
  <c r="AE54" i="12"/>
  <c r="AE57" i="12" s="1"/>
  <c r="AL54" i="12"/>
  <c r="BJ8" i="19"/>
  <c r="AD8" i="12"/>
  <c r="AL8" i="12" s="1"/>
  <c r="BS40" i="19"/>
  <c r="BT40" i="19"/>
  <c r="BW40" i="19"/>
  <c r="BW44" i="19"/>
  <c r="BS44" i="19"/>
  <c r="BT44" i="19"/>
  <c r="AD57" i="12"/>
  <c r="AF57" i="12" s="1"/>
  <c r="BW55" i="19"/>
  <c r="BS55" i="19"/>
  <c r="BT55" i="19"/>
  <c r="BT53" i="19"/>
  <c r="BS53" i="19"/>
  <c r="BW53" i="19"/>
  <c r="CV16" i="19"/>
  <c r="BK54" i="19"/>
  <c r="BL54" i="19"/>
  <c r="BO54" i="19"/>
  <c r="BR54" i="19"/>
  <c r="BW26" i="19"/>
  <c r="BT26" i="19"/>
  <c r="BS26" i="19"/>
  <c r="BT56" i="19"/>
  <c r="BW56" i="19"/>
  <c r="BS56" i="19"/>
  <c r="BT33" i="19"/>
  <c r="BS33" i="19"/>
  <c r="BW33" i="19"/>
  <c r="BT9" i="19"/>
  <c r="BS9" i="19"/>
  <c r="BW9" i="19"/>
  <c r="DC6" i="19"/>
  <c r="CY6" i="19"/>
  <c r="CX6" i="19"/>
  <c r="BJ29" i="19"/>
  <c r="BJ30" i="19" s="1"/>
  <c r="BL30" i="19" s="1"/>
  <c r="AD29" i="12"/>
  <c r="AD30" i="12" s="1"/>
  <c r="AF30" i="12" s="1"/>
  <c r="CY40" i="19"/>
  <c r="CX40" i="19"/>
  <c r="DC40" i="19"/>
  <c r="BT7" i="19"/>
  <c r="BS7" i="19"/>
  <c r="BW7" i="19"/>
  <c r="BW49" i="19"/>
  <c r="BS49" i="19"/>
  <c r="BT49" i="19"/>
  <c r="BT46" i="19"/>
  <c r="BS46" i="19"/>
  <c r="BW46" i="19"/>
  <c r="BT18" i="19"/>
  <c r="BS18" i="19"/>
  <c r="BW18" i="19"/>
  <c r="BT41" i="19"/>
  <c r="BW41" i="19"/>
  <c r="BS41" i="19"/>
  <c r="AF15" i="12"/>
  <c r="AE15" i="12"/>
  <c r="AI15" i="12" s="1"/>
  <c r="AL15" i="12"/>
  <c r="BR35" i="19"/>
  <c r="BO35" i="19"/>
  <c r="BK35" i="19"/>
  <c r="BL35" i="19"/>
  <c r="DC55" i="19"/>
  <c r="CX55" i="19"/>
  <c r="CY55" i="19"/>
  <c r="AF16" i="12"/>
  <c r="AI16" i="12"/>
  <c r="AE16" i="12"/>
  <c r="BS37" i="19"/>
  <c r="BT37" i="19"/>
  <c r="BW37" i="19"/>
  <c r="BJ42" i="19"/>
  <c r="AD42" i="12"/>
  <c r="AF14" i="12"/>
  <c r="AI14" i="12"/>
  <c r="AE14" i="12"/>
  <c r="AD17" i="12"/>
  <c r="AF17" i="12" s="1"/>
  <c r="F23" i="15" s="1"/>
  <c r="BJ57" i="19"/>
  <c r="BL57" i="19" s="1"/>
  <c r="AE22" i="12"/>
  <c r="AI22" i="12"/>
  <c r="AF22" i="12"/>
  <c r="AL22" i="12"/>
  <c r="BS6" i="19"/>
  <c r="BT6" i="19"/>
  <c r="BW6" i="19"/>
  <c r="BO15" i="19"/>
  <c r="BL15" i="19"/>
  <c r="BK15" i="19"/>
  <c r="BR15" i="19"/>
  <c r="AF34" i="12"/>
  <c r="AI34" i="12"/>
  <c r="AE34" i="12"/>
  <c r="AL34" i="12"/>
  <c r="P34" i="12"/>
  <c r="S34" i="12"/>
  <c r="O34" i="12"/>
  <c r="BR20" i="19"/>
  <c r="BW19" i="19"/>
  <c r="BT19" i="19"/>
  <c r="BS19" i="19"/>
  <c r="CY51" i="19"/>
  <c r="CX51" i="19"/>
  <c r="DC51" i="19"/>
  <c r="BK16" i="19"/>
  <c r="BO16" i="19"/>
  <c r="BL16" i="19"/>
  <c r="BR16" i="19"/>
  <c r="AE35" i="12"/>
  <c r="AI35" i="12" s="1"/>
  <c r="AF35" i="12"/>
  <c r="AL35" i="12"/>
  <c r="BS25" i="19"/>
  <c r="BW25" i="19"/>
  <c r="BT25" i="19"/>
  <c r="BO14" i="19"/>
  <c r="BL14" i="19"/>
  <c r="BK14" i="19"/>
  <c r="BR14" i="19"/>
  <c r="BJ17" i="19"/>
  <c r="BL17" i="19" s="1"/>
  <c r="BO22" i="19"/>
  <c r="BK22" i="19"/>
  <c r="BL22" i="19"/>
  <c r="BR22" i="19"/>
  <c r="BK34" i="19"/>
  <c r="BO34" i="19"/>
  <c r="BR34" i="19"/>
  <c r="BL34" i="19"/>
  <c r="P20" i="12"/>
  <c r="P5" i="12"/>
  <c r="S5" i="12"/>
  <c r="O5" i="12"/>
  <c r="O13" i="12" s="1"/>
  <c r="N13" i="12"/>
  <c r="P13" i="12" s="1"/>
  <c r="AL5" i="12"/>
  <c r="G57" i="12"/>
  <c r="S14" i="12"/>
  <c r="O14" i="12"/>
  <c r="O17" i="12" s="1"/>
  <c r="O21" i="12" s="1"/>
  <c r="N17" i="12"/>
  <c r="P17" i="12" s="1"/>
  <c r="F21" i="15" s="1"/>
  <c r="P14" i="12"/>
  <c r="H29" i="12"/>
  <c r="G29" i="12"/>
  <c r="K29" i="12"/>
  <c r="F21" i="12"/>
  <c r="H21" i="12" s="1"/>
  <c r="F30" i="12"/>
  <c r="H30" i="12" s="1"/>
  <c r="G45" i="12"/>
  <c r="H31" i="12"/>
  <c r="K31" i="12"/>
  <c r="F39" i="12"/>
  <c r="H39" i="12" s="1"/>
  <c r="G31" i="12"/>
  <c r="G39" i="12" s="1"/>
  <c r="K8" i="12"/>
  <c r="H8" i="12"/>
  <c r="G8" i="12"/>
  <c r="H40" i="12"/>
  <c r="G40" i="12"/>
  <c r="K40" i="12"/>
  <c r="AL40" i="12"/>
  <c r="H26" i="12"/>
  <c r="K26" i="12"/>
  <c r="G26" i="12"/>
  <c r="AL26" i="12"/>
  <c r="K7" i="12"/>
  <c r="H7" i="12"/>
  <c r="G7" i="12"/>
  <c r="AL7" i="12"/>
  <c r="F13" i="12"/>
  <c r="H13" i="12" s="1"/>
  <c r="CV38" i="19"/>
  <c r="CV22" i="19"/>
  <c r="CV32" i="19"/>
  <c r="CV11" i="19"/>
  <c r="CV33" i="19"/>
  <c r="CV52" i="19"/>
  <c r="CV46" i="19"/>
  <c r="CV24" i="19"/>
  <c r="CV37" i="19"/>
  <c r="CV43" i="19"/>
  <c r="CV14" i="19"/>
  <c r="CV15" i="19"/>
  <c r="CV36" i="19"/>
  <c r="CV56" i="19"/>
  <c r="CV10" i="19"/>
  <c r="CV50" i="19"/>
  <c r="CV47" i="19"/>
  <c r="CV53" i="19"/>
  <c r="CV18" i="19"/>
  <c r="CV25" i="19"/>
  <c r="CV12" i="19"/>
  <c r="AA59" i="12" l="1"/>
  <c r="BK57" i="19"/>
  <c r="BR57" i="19"/>
  <c r="BT57" i="19" s="1"/>
  <c r="BT52" i="19"/>
  <c r="BS52" i="19"/>
  <c r="G30" i="12"/>
  <c r="X59" i="12"/>
  <c r="E22" i="15" s="1"/>
  <c r="V21" i="12"/>
  <c r="X21" i="12" s="1"/>
  <c r="CV9" i="19"/>
  <c r="CX9" i="19" s="1"/>
  <c r="BK17" i="19"/>
  <c r="BK21" i="19" s="1"/>
  <c r="AD21" i="12"/>
  <c r="AF21" i="12" s="1"/>
  <c r="CY47" i="19"/>
  <c r="DC47" i="19"/>
  <c r="CX47" i="19"/>
  <c r="CY38" i="19"/>
  <c r="CX38" i="19"/>
  <c r="DC38" i="19"/>
  <c r="BS20" i="19"/>
  <c r="AE8" i="12"/>
  <c r="AE13" i="12" s="1"/>
  <c r="AF8" i="12"/>
  <c r="AI8" i="12"/>
  <c r="AD13" i="12"/>
  <c r="AF13" i="12" s="1"/>
  <c r="DC12" i="19"/>
  <c r="CY12" i="19"/>
  <c r="CX12" i="19"/>
  <c r="CV28" i="19"/>
  <c r="CV27" i="19"/>
  <c r="CV19" i="19"/>
  <c r="CV26" i="19"/>
  <c r="AL29" i="12"/>
  <c r="BS34" i="19"/>
  <c r="BT34" i="19"/>
  <c r="BW34" i="19"/>
  <c r="BT16" i="19"/>
  <c r="BS16" i="19"/>
  <c r="BW16" i="19"/>
  <c r="BW54" i="19"/>
  <c r="BS54" i="19"/>
  <c r="BT54" i="19"/>
  <c r="BK8" i="19"/>
  <c r="BK13" i="19" s="1"/>
  <c r="BR8" i="19"/>
  <c r="BL8" i="19"/>
  <c r="BO8" i="19"/>
  <c r="BJ13" i="19"/>
  <c r="BL13" i="19" s="1"/>
  <c r="BJ21" i="19"/>
  <c r="BL21" i="19" s="1"/>
  <c r="BT28" i="19"/>
  <c r="BW28" i="19"/>
  <c r="BS28" i="19"/>
  <c r="DC5" i="19"/>
  <c r="CX5" i="19"/>
  <c r="CY5" i="19"/>
  <c r="AE31" i="12"/>
  <c r="AE39" i="12" s="1"/>
  <c r="AF31" i="12"/>
  <c r="AI31" i="12"/>
  <c r="AD39" i="12"/>
  <c r="AF39" i="12" s="1"/>
  <c r="DC56" i="19"/>
  <c r="CY56" i="19"/>
  <c r="CX56" i="19"/>
  <c r="CY36" i="19"/>
  <c r="DC36" i="19"/>
  <c r="CX36" i="19"/>
  <c r="DC33" i="19"/>
  <c r="CX33" i="19"/>
  <c r="CY33" i="19"/>
  <c r="CV41" i="19"/>
  <c r="BT38" i="19"/>
  <c r="BW38" i="19"/>
  <c r="BS38" i="19"/>
  <c r="BO31" i="19"/>
  <c r="BK31" i="19"/>
  <c r="BK39" i="19" s="1"/>
  <c r="BL31" i="19"/>
  <c r="BJ39" i="19"/>
  <c r="BL39" i="19" s="1"/>
  <c r="BR31" i="19"/>
  <c r="CV7" i="19"/>
  <c r="CX53" i="19"/>
  <c r="CY53" i="19"/>
  <c r="DC53" i="19"/>
  <c r="CX24" i="19"/>
  <c r="DC24" i="19"/>
  <c r="CY24" i="19"/>
  <c r="CX18" i="19"/>
  <c r="DC18" i="19"/>
  <c r="CY18" i="19"/>
  <c r="DC50" i="19"/>
  <c r="CY50" i="19"/>
  <c r="CX50" i="19"/>
  <c r="CX43" i="19"/>
  <c r="DC43" i="19"/>
  <c r="CY43" i="19"/>
  <c r="BT20" i="19"/>
  <c r="BW15" i="19"/>
  <c r="BS15" i="19"/>
  <c r="BT15" i="19"/>
  <c r="AE17" i="12"/>
  <c r="AE21" i="12" s="1"/>
  <c r="P36" i="12"/>
  <c r="P59" i="12" s="1"/>
  <c r="E21" i="15" s="1"/>
  <c r="O36" i="12"/>
  <c r="O39" i="12" s="1"/>
  <c r="S36" i="12"/>
  <c r="S59" i="12" s="1"/>
  <c r="AL36" i="12"/>
  <c r="CX25" i="19"/>
  <c r="CY25" i="19"/>
  <c r="DC25" i="19"/>
  <c r="CV44" i="19"/>
  <c r="CY14" i="19"/>
  <c r="CV17" i="19"/>
  <c r="CY17" i="19" s="1"/>
  <c r="CX14" i="19"/>
  <c r="DC14" i="19"/>
  <c r="CX37" i="19"/>
  <c r="CY37" i="19"/>
  <c r="DC37" i="19"/>
  <c r="CY22" i="19"/>
  <c r="DC22" i="19"/>
  <c r="CX22" i="19"/>
  <c r="BS35" i="19"/>
  <c r="BW35" i="19"/>
  <c r="BT35" i="19"/>
  <c r="CX52" i="19"/>
  <c r="DC52" i="19"/>
  <c r="CY52" i="19"/>
  <c r="CV54" i="19"/>
  <c r="CV57" i="19" s="1"/>
  <c r="CY57" i="19" s="1"/>
  <c r="CY11" i="19"/>
  <c r="CX11" i="19"/>
  <c r="DC11" i="19"/>
  <c r="CY32" i="19"/>
  <c r="DC32" i="19"/>
  <c r="CX32" i="19"/>
  <c r="BS14" i="19"/>
  <c r="BR17" i="19"/>
  <c r="BT17" i="19" s="1"/>
  <c r="BT14" i="19"/>
  <c r="BW14" i="19"/>
  <c r="AD45" i="12"/>
  <c r="AF45" i="12" s="1"/>
  <c r="AF42" i="12"/>
  <c r="AI42" i="12"/>
  <c r="AE42" i="12"/>
  <c r="AE45" i="12" s="1"/>
  <c r="AL42" i="12"/>
  <c r="CY16" i="19"/>
  <c r="CX16" i="19"/>
  <c r="DC16" i="19"/>
  <c r="BS32" i="19"/>
  <c r="BT32" i="19"/>
  <c r="BW32" i="19"/>
  <c r="CX46" i="19"/>
  <c r="DC46" i="19"/>
  <c r="CY46" i="19"/>
  <c r="BK42" i="19"/>
  <c r="BK45" i="19" s="1"/>
  <c r="BO42" i="19"/>
  <c r="BL42" i="19"/>
  <c r="BR42" i="19"/>
  <c r="BJ45" i="19"/>
  <c r="BL45" i="19" s="1"/>
  <c r="AF29" i="12"/>
  <c r="AE29" i="12"/>
  <c r="AI29" i="12" s="1"/>
  <c r="CX10" i="19"/>
  <c r="DC10" i="19"/>
  <c r="CY10" i="19"/>
  <c r="DC15" i="19"/>
  <c r="CY15" i="19"/>
  <c r="CX15" i="19"/>
  <c r="BS22" i="19"/>
  <c r="BT22" i="19"/>
  <c r="BW22" i="19"/>
  <c r="BK29" i="19"/>
  <c r="BK30" i="19" s="1"/>
  <c r="BO29" i="19"/>
  <c r="BL29" i="19"/>
  <c r="BR29" i="19"/>
  <c r="BR30" i="19" s="1"/>
  <c r="BT30" i="19" s="1"/>
  <c r="N21" i="12"/>
  <c r="P21" i="12" s="1"/>
  <c r="G13" i="12"/>
  <c r="K59" i="12"/>
  <c r="H59" i="12"/>
  <c r="E20" i="15" s="1"/>
  <c r="CV29" i="19"/>
  <c r="CV31" i="19"/>
  <c r="CV34" i="19"/>
  <c r="CV23" i="19"/>
  <c r="CV42" i="19"/>
  <c r="CV35" i="19"/>
  <c r="BS57" i="19" l="1"/>
  <c r="DC9" i="19"/>
  <c r="CY9" i="19"/>
  <c r="AE30" i="12"/>
  <c r="AI59" i="12"/>
  <c r="AF59" i="12"/>
  <c r="E23" i="15" s="1"/>
  <c r="E48" i="15"/>
  <c r="CV30" i="19"/>
  <c r="CY30" i="19" s="1"/>
  <c r="CY19" i="19"/>
  <c r="DC19" i="19"/>
  <c r="CX19" i="19"/>
  <c r="CX20" i="19" s="1"/>
  <c r="CV8" i="19"/>
  <c r="BT29" i="19"/>
  <c r="BS29" i="19"/>
  <c r="BS30" i="19" s="1"/>
  <c r="BW29" i="19"/>
  <c r="BR21" i="19"/>
  <c r="BT21" i="19" s="1"/>
  <c r="BL59" i="19"/>
  <c r="BS8" i="19"/>
  <c r="BS13" i="19" s="1"/>
  <c r="BW8" i="19"/>
  <c r="BT8" i="19"/>
  <c r="BR13" i="19"/>
  <c r="BT13" i="19" s="1"/>
  <c r="CX17" i="19"/>
  <c r="DC29" i="19"/>
  <c r="CX29" i="19"/>
  <c r="CY29" i="19"/>
  <c r="CY27" i="19"/>
  <c r="CX27" i="19"/>
  <c r="DC27" i="19"/>
  <c r="DC34" i="19"/>
  <c r="CX34" i="19"/>
  <c r="CY34" i="19"/>
  <c r="CY42" i="19"/>
  <c r="CX42" i="19"/>
  <c r="DC42" i="19"/>
  <c r="DC31" i="19"/>
  <c r="CV39" i="19"/>
  <c r="CY39" i="19" s="1"/>
  <c r="CY31" i="19"/>
  <c r="CX31" i="19"/>
  <c r="CY44" i="19"/>
  <c r="CX44" i="19"/>
  <c r="DC44" i="19"/>
  <c r="BS42" i="19"/>
  <c r="BS45" i="19" s="1"/>
  <c r="BW42" i="19"/>
  <c r="BT42" i="19"/>
  <c r="BR45" i="19"/>
  <c r="BT45" i="19" s="1"/>
  <c r="DC54" i="19"/>
  <c r="CX54" i="19"/>
  <c r="CX57" i="19" s="1"/>
  <c r="CY54" i="19"/>
  <c r="CV20" i="19"/>
  <c r="CY28" i="19"/>
  <c r="CX28" i="19"/>
  <c r="DC28" i="19"/>
  <c r="CY7" i="19"/>
  <c r="CX7" i="19"/>
  <c r="DC7" i="19"/>
  <c r="CX35" i="19"/>
  <c r="DC35" i="19"/>
  <c r="CY35" i="19"/>
  <c r="CY23" i="19"/>
  <c r="CX23" i="19"/>
  <c r="DC23" i="19"/>
  <c r="CX26" i="19"/>
  <c r="DC26" i="19"/>
  <c r="CY26" i="19"/>
  <c r="BT31" i="19"/>
  <c r="BR39" i="19"/>
  <c r="BT39" i="19" s="1"/>
  <c r="BW31" i="19"/>
  <c r="BS31" i="19"/>
  <c r="BS39" i="19" s="1"/>
  <c r="CY41" i="19"/>
  <c r="DC41" i="19"/>
  <c r="CX41" i="19"/>
  <c r="CV45" i="19"/>
  <c r="CY45" i="19" s="1"/>
  <c r="BO59" i="19"/>
  <c r="BS17" i="19"/>
  <c r="BS21" i="19" s="1"/>
  <c r="BT59" i="19" l="1"/>
  <c r="E45" i="15" s="1"/>
  <c r="CX21" i="19"/>
  <c r="CX45" i="19"/>
  <c r="CX39" i="19"/>
  <c r="CX30" i="19"/>
  <c r="CY20" i="19"/>
  <c r="CV21" i="19"/>
  <c r="CY21" i="19" s="1"/>
  <c r="E47" i="15" s="1"/>
  <c r="BW59" i="19"/>
  <c r="DC8" i="19"/>
  <c r="DC59" i="19" s="1"/>
  <c r="CX8" i="19"/>
  <c r="CX13" i="19" s="1"/>
  <c r="CY8" i="19"/>
  <c r="CY59" i="19" s="1"/>
  <c r="CV13" i="19"/>
  <c r="CY13" i="19" s="1"/>
</calcChain>
</file>

<file path=xl/sharedStrings.xml><?xml version="1.0" encoding="utf-8"?>
<sst xmlns="http://schemas.openxmlformats.org/spreadsheetml/2006/main" count="1034" uniqueCount="210">
  <si>
    <t>URUN GRUPLARI</t>
  </si>
  <si>
    <t>Ghee</t>
  </si>
  <si>
    <t>Margarin</t>
  </si>
  <si>
    <t>Aycicek-Cicek</t>
  </si>
  <si>
    <t>Misirozu</t>
  </si>
  <si>
    <t>Zeytin</t>
  </si>
  <si>
    <t>Mayones</t>
  </si>
  <si>
    <t>YAG</t>
  </si>
  <si>
    <t>Maryam Dokme</t>
  </si>
  <si>
    <t>Azercay Dokme</t>
  </si>
  <si>
    <t>Final+Berga +Mercan(dokme)</t>
  </si>
  <si>
    <t>Dokme</t>
  </si>
  <si>
    <t>Azercay Tea Bags</t>
  </si>
  <si>
    <t>Tea Bags</t>
  </si>
  <si>
    <t>CAY TOPLAM</t>
  </si>
  <si>
    <t>Paketli Seker</t>
  </si>
  <si>
    <t>Paketli Urunler</t>
  </si>
  <si>
    <t>Makaron</t>
  </si>
  <si>
    <t>Kesme Seker</t>
  </si>
  <si>
    <t>CVL Mali</t>
  </si>
  <si>
    <t>PAKETLI URUNLER</t>
  </si>
  <si>
    <t>Salca</t>
  </si>
  <si>
    <t>Bezelye</t>
  </si>
  <si>
    <t>Tushonka ve Balik koncerve</t>
  </si>
  <si>
    <t>Tursu</t>
  </si>
  <si>
    <t>Zeytun koncerve</t>
  </si>
  <si>
    <t>KONSERVE</t>
  </si>
  <si>
    <t>Temizlik Kagidlari</t>
  </si>
  <si>
    <t>KAGIT GRUBU</t>
  </si>
  <si>
    <t>Araxis</t>
  </si>
  <si>
    <t>Sgushonka</t>
  </si>
  <si>
    <t>Strech ve Shrink</t>
  </si>
  <si>
    <t>INDASTRIAL FOOD</t>
  </si>
  <si>
    <t>Hedef</t>
  </si>
  <si>
    <t>Satis</t>
  </si>
  <si>
    <t>Fark</t>
  </si>
  <si>
    <t>%</t>
  </si>
  <si>
    <t>CONTROL</t>
  </si>
  <si>
    <t>MARNEULI</t>
  </si>
  <si>
    <t>CIRO</t>
  </si>
  <si>
    <t>ZZZZZ</t>
  </si>
  <si>
    <t>+10%</t>
  </si>
  <si>
    <t>ZZZ         0</t>
  </si>
  <si>
    <t>YADE</t>
  </si>
  <si>
    <t xml:space="preserve">KETCAP </t>
  </si>
  <si>
    <t>Ketcap</t>
  </si>
  <si>
    <t>Kakao</t>
  </si>
  <si>
    <t>Pecete 25</t>
  </si>
  <si>
    <t>Pecete 30</t>
  </si>
  <si>
    <t>a</t>
  </si>
  <si>
    <t>z</t>
  </si>
  <si>
    <t>x</t>
  </si>
  <si>
    <t>c</t>
  </si>
  <si>
    <t>v</t>
  </si>
  <si>
    <t>b</t>
  </si>
  <si>
    <t>p</t>
  </si>
  <si>
    <t>o</t>
  </si>
  <si>
    <t>SAMIR GASANOV</t>
  </si>
  <si>
    <t>VANO CHUBINIDZE  39</t>
  </si>
  <si>
    <t>BEKA GOGOBERIDZE  68</t>
  </si>
  <si>
    <t>KALANDIA MIKHEILI 63</t>
  </si>
  <si>
    <t>AURA</t>
  </si>
  <si>
    <t>Basmati princ Grubu</t>
  </si>
  <si>
    <t>KOMPOT</t>
  </si>
  <si>
    <t>Sirke-Sous-Kisel</t>
  </si>
  <si>
    <t>Melanj</t>
  </si>
  <si>
    <t>KOKA VASHAKIDZE 25</t>
  </si>
  <si>
    <t>Povidlo-Recel</t>
  </si>
  <si>
    <t>Yas MAYA</t>
  </si>
  <si>
    <t>Kuru MAYA</t>
  </si>
  <si>
    <t>Cvl duz</t>
  </si>
  <si>
    <t xml:space="preserve"> GRDZELIDZE ZURAB 61</t>
  </si>
  <si>
    <t>LOMSIANIDZE LEVANI  56</t>
  </si>
  <si>
    <t>RAMAZ LOMSANIDZE</t>
  </si>
  <si>
    <t>Intizar Kurbanovi</t>
  </si>
  <si>
    <t>Koka Vashakidze</t>
  </si>
  <si>
    <t>Vano Chubinidze</t>
  </si>
  <si>
    <t>Dimitri Soroznishvili</t>
  </si>
  <si>
    <t>Intigam Kurbanovi</t>
  </si>
  <si>
    <t>Giorgi Bekurashvili</t>
  </si>
  <si>
    <t>Samir Gasanovi</t>
  </si>
  <si>
    <t>Tedo Balaxadze</t>
  </si>
  <si>
    <t>Giorgi Niniashvili</t>
  </si>
  <si>
    <t>Levan Latsabidze</t>
  </si>
  <si>
    <t>Mikheil Kalandia</t>
  </si>
  <si>
    <t>Shalva Kordzaia</t>
  </si>
  <si>
    <t>Zura Grdzelidze</t>
  </si>
  <si>
    <t>Gocha Mamuladze</t>
  </si>
  <si>
    <t>Ramaz lomsianidze</t>
  </si>
  <si>
    <t>Marneuli</t>
  </si>
  <si>
    <t>Revan Mehdievi</t>
  </si>
  <si>
    <t>Hedef %</t>
  </si>
  <si>
    <t>AQCIA %</t>
  </si>
  <si>
    <t>Sale Gel</t>
  </si>
  <si>
    <t>DIMITRI SOROZNISHVILI 11</t>
  </si>
  <si>
    <t>TOPLAM</t>
  </si>
  <si>
    <t>GIORGI QOBULASHVILI</t>
  </si>
  <si>
    <t xml:space="preserve">PLS </t>
  </si>
  <si>
    <t>Kilit  &amp;   Vip</t>
  </si>
  <si>
    <t>KHASHURI</t>
  </si>
  <si>
    <t xml:space="preserve">TELAVI  </t>
  </si>
  <si>
    <t>QUTAISI</t>
  </si>
  <si>
    <t>BATUMI</t>
  </si>
  <si>
    <t>Gocha Pukhashvili</t>
  </si>
  <si>
    <t>Ramaz Lomsianidze</t>
  </si>
  <si>
    <t>Maryam+Final+Berqa TB</t>
  </si>
  <si>
    <t>Paketli ve Plastik duz</t>
  </si>
  <si>
    <t>Hasal</t>
  </si>
  <si>
    <t>Vaizer1</t>
  </si>
  <si>
    <t>Vaizer8</t>
  </si>
  <si>
    <t>Vaizer2</t>
  </si>
  <si>
    <t>Vaizer3</t>
  </si>
  <si>
    <t>Vaizer4</t>
  </si>
  <si>
    <t>Vaizer5</t>
  </si>
  <si>
    <t>Vaizer6</t>
  </si>
  <si>
    <t>Vaizer7</t>
  </si>
  <si>
    <t>control</t>
  </si>
  <si>
    <t>Menejer1</t>
  </si>
  <si>
    <t>Menejer2</t>
  </si>
  <si>
    <t>Menejer3</t>
  </si>
  <si>
    <t>Ulker Urunler</t>
  </si>
  <si>
    <t>SUP Urunler</t>
  </si>
  <si>
    <t>SIMON CHIQOVANI</t>
  </si>
  <si>
    <t>REVAN MEHDIEVI</t>
  </si>
  <si>
    <t>Simon Chiqovani</t>
  </si>
  <si>
    <t>109+45</t>
  </si>
  <si>
    <t>71+87</t>
  </si>
  <si>
    <t>57+97+117+125</t>
  </si>
  <si>
    <t>15+25+41+45+109</t>
  </si>
  <si>
    <t>ANZOR JAPARIDZE  78</t>
  </si>
  <si>
    <t>BESO KVARACKHELIA  26</t>
  </si>
  <si>
    <t>Islak ve Cep Mendil</t>
  </si>
  <si>
    <t>Carrefour</t>
  </si>
  <si>
    <t>Zura QURCIKIDZE</t>
  </si>
  <si>
    <t>Beso KVARAVCELIA</t>
  </si>
  <si>
    <t>Tamaz  MITAGVARIA</t>
  </si>
  <si>
    <t>Anzor JAPARIDZE</t>
  </si>
  <si>
    <t>25+15</t>
  </si>
  <si>
    <t>TOFIK IBRAGIMOVI</t>
  </si>
  <si>
    <t>BADRI AMAGLOBELI 35</t>
  </si>
  <si>
    <t>Toptan - Horeka</t>
  </si>
  <si>
    <t>Tofik Ibragimovi</t>
  </si>
  <si>
    <t>Carefour 57</t>
  </si>
  <si>
    <t>Carrefour Horeka 42</t>
  </si>
  <si>
    <t>RUSTAVI</t>
  </si>
  <si>
    <t>LEVAN KAMASIDZE</t>
  </si>
  <si>
    <t>Beka Gogoberidze</t>
  </si>
  <si>
    <t>LEVAN LOMSANIDZE</t>
  </si>
  <si>
    <t>BADRI AMAGLOBELI</t>
  </si>
  <si>
    <t>Dato Shanava</t>
  </si>
  <si>
    <t>DATA SHANAVA  23</t>
  </si>
  <si>
    <t>Chocolate Grupu</t>
  </si>
  <si>
    <t>KORDZAIA SHALVA</t>
  </si>
  <si>
    <t>Beqa Bachaliashvili</t>
  </si>
  <si>
    <t>AKAKI KEINOSHVILI 31</t>
  </si>
  <si>
    <t>IRAKLI PUKHASHVILI 55</t>
  </si>
  <si>
    <t>Akaki Keinoshvili</t>
  </si>
  <si>
    <t>Irakli Pukhashvili</t>
  </si>
  <si>
    <t>KOKOS</t>
  </si>
  <si>
    <t xml:space="preserve"> </t>
  </si>
  <si>
    <t>IRAKLI CHICHUA  19</t>
  </si>
  <si>
    <t>Konserv</t>
  </si>
  <si>
    <t>MIKHEIL METREVELI 76</t>
  </si>
  <si>
    <t>Irakli Chichua</t>
  </si>
  <si>
    <t>Mikheil Metreveli</t>
  </si>
  <si>
    <t>Giorgi Qobulashvili</t>
  </si>
  <si>
    <t>INTIGAM KURBANOVI 16</t>
  </si>
  <si>
    <t>ELCHIN BINATOVI  70</t>
  </si>
  <si>
    <t>INTIZAR KURBANOVI</t>
  </si>
  <si>
    <t>Toplam</t>
  </si>
  <si>
    <t>Satis Menejers</t>
  </si>
  <si>
    <t>Elchin Binatovi</t>
  </si>
  <si>
    <t>Giorgi Devadze</t>
  </si>
  <si>
    <t>GIORGI DEVADZE  49</t>
  </si>
  <si>
    <t>Suxar Urunler</t>
  </si>
  <si>
    <t>MDIVNISHVILI GIORGI 60</t>
  </si>
  <si>
    <t>IVANE KETILADZE 41</t>
  </si>
  <si>
    <t>GIGA TKESHELASHVILI   62</t>
  </si>
  <si>
    <t>GOCHA MAMULADZE</t>
  </si>
  <si>
    <t>Vaizer9</t>
  </si>
  <si>
    <t>ZURAB GVIANIDZE  47</t>
  </si>
  <si>
    <t>LEVAN KAMASHIDZE 67</t>
  </si>
  <si>
    <t>ANRI CINCADZE  38</t>
  </si>
  <si>
    <t>Anri Cincadzr</t>
  </si>
  <si>
    <t>Zurab Gvianidze</t>
  </si>
  <si>
    <t>Giorgi GELASHVILI</t>
  </si>
  <si>
    <t>Giorgi Mdivnishvili</t>
  </si>
  <si>
    <t>Ivane Ketiladze</t>
  </si>
  <si>
    <t>Giga Tkeshelashvili</t>
  </si>
  <si>
    <t>83+85</t>
  </si>
  <si>
    <t>BEQA BACHALIASHVILI</t>
  </si>
  <si>
    <t xml:space="preserve">ZURA QURCIKIDZE </t>
  </si>
  <si>
    <t xml:space="preserve"> 14   IRAKLI CHICHUA     VIP</t>
  </si>
  <si>
    <t>KOBA MISHVELIDZE  51</t>
  </si>
  <si>
    <t>VAXO QEVKHISHVILI 20</t>
  </si>
  <si>
    <t>TORNIKE CHICHIASHVILI  77</t>
  </si>
  <si>
    <t>Menejer4</t>
  </si>
  <si>
    <t>Menejer5</t>
  </si>
  <si>
    <t>Boris Mirzoevi</t>
  </si>
  <si>
    <t>Cingiz Mustafaevi</t>
  </si>
  <si>
    <t>Koba Mishvelidze</t>
  </si>
  <si>
    <t>Vakho Qevkhishvili</t>
  </si>
  <si>
    <t>01.05.2023 - 04.05.2023</t>
  </si>
  <si>
    <t>Nurlan Bayramov</t>
  </si>
  <si>
    <t>Isa Kurbanov</t>
  </si>
  <si>
    <t>Ali Guseinov</t>
  </si>
  <si>
    <t>Elfan Orucov</t>
  </si>
  <si>
    <t>]</t>
  </si>
  <si>
    <t>ქ</t>
  </si>
  <si>
    <t>01.06.2023  - 06.06.2023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</si>
</sst>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_(* #,##0.00_);_(* \(#,##0.00\);_(* &quot;-&quot;??_);_(@_)"/>
    <numFmt numFmtId="165" formatCode="0.0%"/>
    <numFmt numFmtId="166" formatCode="_(* #,##0.0_);_(* \(#,##0.0\);_(* &quot;-&quot;??_);_(@_)"/>
    <numFmt numFmtId="167" formatCode="_(* #,##0_);_(* \(#,##0\);_(* &quot;-&quot;??_);_(@_)"/>
    <numFmt numFmtId="168" formatCode="_(* #,##0.000_);_(* \(#,##0.000\);_(* &quot;-&quot;??_);_(@_)"/>
    <numFmt numFmtId="169" formatCode="_(* #,##0.000000_);_(* \(#,##0.000000\);_(* &quot;-&quot;??_);_(@_)"/>
    <numFmt numFmtId="170" formatCode="_(* #,##0.00000_);_(* \(#,##0.00000\);_(* &quot;-&quot;??_);_(@_)"/>
    <numFmt numFmtId="171" formatCode="_(* #,##0.0000_);_(* \(#,##0.0000\);_(* &quot;-&quot;??_);_(@_)"/>
    <numFmt numFmtId="172" formatCode="0.000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56"/>
      <name val="Arial"/>
      <family val="2"/>
      <charset val="162"/>
    </font>
    <font>
      <b/>
      <sz val="8"/>
      <color rgb="FFFF0000"/>
      <name val="Arial"/>
      <family val="2"/>
      <charset val="162"/>
    </font>
    <font>
      <b/>
      <i/>
      <sz val="8"/>
      <color theme="1"/>
      <name val="Arial"/>
      <family val="2"/>
      <charset val="162"/>
    </font>
    <font>
      <sz val="8"/>
      <color theme="1"/>
      <name val="Calibri"/>
      <family val="2"/>
      <scheme val="minor"/>
    </font>
    <font>
      <b/>
      <sz val="8"/>
      <color rgb="FFFF0000"/>
      <name val="Arial Unicode MS"/>
      <family val="2"/>
      <charset val="204"/>
    </font>
    <font>
      <sz val="8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indexed="10"/>
      <name val="Arial"/>
      <family val="2"/>
      <charset val="162"/>
    </font>
    <font>
      <sz val="8"/>
      <color theme="0"/>
      <name val="Arial"/>
      <family val="2"/>
      <charset val="162"/>
    </font>
    <font>
      <sz val="8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Arial"/>
      <family val="2"/>
      <charset val="162"/>
    </font>
    <font>
      <b/>
      <i/>
      <sz val="9"/>
      <color theme="1"/>
      <name val="Arial"/>
      <family val="2"/>
      <charset val="162"/>
    </font>
    <font>
      <sz val="9"/>
      <color theme="0"/>
      <name val="Calibri"/>
      <family val="2"/>
      <scheme val="minor"/>
    </font>
    <font>
      <b/>
      <sz val="9"/>
      <color rgb="FFFF0000"/>
      <name val="Arial"/>
      <family val="2"/>
      <charset val="162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color indexed="10"/>
      <name val="Arial"/>
      <family val="2"/>
      <charset val="162"/>
    </font>
    <font>
      <b/>
      <sz val="9"/>
      <color theme="0"/>
      <name val="Arial"/>
      <family val="2"/>
      <charset val="162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Arial Unicode MS"/>
      <family val="2"/>
      <charset val="204"/>
    </font>
    <font>
      <b/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10"/>
      <color rgb="FFFF0000"/>
      <name val="Arial Unicode MS"/>
      <family val="2"/>
      <charset val="204"/>
    </font>
    <font>
      <sz val="10"/>
      <name val="Arial"/>
      <family val="2"/>
      <charset val="162"/>
    </font>
    <font>
      <b/>
      <sz val="8"/>
      <color theme="0"/>
      <name val="Calibri"/>
      <family val="2"/>
      <scheme val="minor"/>
    </font>
    <font>
      <sz val="10"/>
      <color indexed="56"/>
      <name val="Arial"/>
      <family val="2"/>
      <charset val="162"/>
    </font>
    <font>
      <b/>
      <sz val="9"/>
      <color theme="4" tint="0.79998168889431442"/>
      <name val="Calibri"/>
      <family val="2"/>
      <scheme val="minor"/>
    </font>
    <font>
      <i/>
      <sz val="11"/>
      <color rgb="FF0070C0"/>
      <name val="Calibri"/>
      <family val="2"/>
      <scheme val="minor"/>
    </font>
    <font>
      <i/>
      <sz val="8"/>
      <color rgb="FF0070C0"/>
      <name val="Arial"/>
      <family val="2"/>
      <charset val="162"/>
    </font>
    <font>
      <b/>
      <i/>
      <sz val="11"/>
      <color rgb="FFFF0000"/>
      <name val="Calibri"/>
      <family val="2"/>
      <scheme val="minor"/>
    </font>
    <font>
      <b/>
      <sz val="10"/>
      <color rgb="FFFF0000"/>
      <name val="Arial Unicode MS"/>
      <family val="2"/>
    </font>
    <font>
      <b/>
      <sz val="8"/>
      <color indexed="56"/>
      <name val="Arial"/>
      <family val="2"/>
      <charset val="162"/>
    </font>
    <font>
      <b/>
      <sz val="8"/>
      <color theme="0"/>
      <name val="Arial"/>
      <family val="2"/>
      <charset val="162"/>
    </font>
    <font>
      <b/>
      <sz val="9"/>
      <color indexed="8"/>
      <name val="Calibri"/>
      <family val="2"/>
      <scheme val="minor"/>
    </font>
    <font>
      <sz val="9"/>
      <color rgb="FFC00000"/>
      <name val="Calibri"/>
      <family val="2"/>
      <scheme val="minor"/>
    </font>
    <font>
      <b/>
      <sz val="9"/>
      <color rgb="FFC00000"/>
      <name val="Calibri"/>
      <family val="2"/>
      <scheme val="minor"/>
    </font>
    <font>
      <sz val="9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indexed="9"/>
      </patternFill>
    </fill>
    <fill>
      <patternFill patternType="solid">
        <fgColor theme="0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mediumGray">
        <fgColor indexed="9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9"/>
      </patternFill>
    </fill>
    <fill>
      <patternFill patternType="solid">
        <fgColor theme="9" tint="0.79998168889431442"/>
        <bgColor indexed="64"/>
      </patternFill>
    </fill>
  </fills>
  <borders count="69">
    <border>
      <left/>
      <right/>
      <top/>
      <bottom/>
      <diagonal/>
    </border>
    <border>
      <left style="double">
        <color theme="0" tint="-0.499984740745262"/>
      </left>
      <right style="double">
        <color theme="0" tint="-0.499984740745262"/>
      </right>
      <top style="double">
        <color theme="0" tint="-0.499984740745262"/>
      </top>
      <bottom/>
      <diagonal/>
    </border>
    <border>
      <left style="double">
        <color theme="0" tint="-0.499984740745262"/>
      </left>
      <right style="double">
        <color theme="0" tint="-0.499984740745262"/>
      </right>
      <top/>
      <bottom/>
      <diagonal/>
    </border>
    <border>
      <left style="double">
        <color theme="0" tint="-0.499984740745262"/>
      </left>
      <right style="double">
        <color theme="0" tint="-0.499984740745262"/>
      </right>
      <top/>
      <bottom style="double">
        <color theme="0" tint="-0.499984740745262"/>
      </bottom>
      <diagonal/>
    </border>
    <border>
      <left style="double">
        <color indexed="44"/>
      </left>
      <right style="double">
        <color indexed="44"/>
      </right>
      <top style="double">
        <color indexed="44"/>
      </top>
      <bottom style="thin">
        <color indexed="55"/>
      </bottom>
      <diagonal/>
    </border>
    <border>
      <left style="double">
        <color indexed="44"/>
      </left>
      <right style="double">
        <color indexed="44"/>
      </right>
      <top style="thin">
        <color indexed="55"/>
      </top>
      <bottom style="thin">
        <color indexed="55"/>
      </bottom>
      <diagonal/>
    </border>
    <border>
      <left style="double">
        <color theme="0" tint="-0.499984740745262"/>
      </left>
      <right style="medium">
        <color theme="0" tint="-0.34998626667073579"/>
      </right>
      <top style="double">
        <color theme="0" tint="-0.499984740745262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 style="double">
        <color theme="0" tint="-0.499984740745262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double">
        <color theme="0" tint="-0.499984740745262"/>
      </right>
      <top style="double">
        <color theme="0" tint="-0.499984740745262"/>
      </top>
      <bottom style="medium">
        <color theme="0" tint="-0.34998626667073579"/>
      </bottom>
      <diagonal/>
    </border>
    <border>
      <left style="double">
        <color theme="0" tint="-0.499984740745262"/>
      </left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double">
        <color theme="0" tint="-0.499984740745262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double">
        <color theme="0" tint="-0.499984740745262"/>
      </left>
      <right style="medium">
        <color indexed="22"/>
      </right>
      <top style="medium">
        <color indexed="22"/>
      </top>
      <bottom style="double">
        <color theme="0" tint="-0.499984740745262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double">
        <color theme="0" tint="-0.499984740745262"/>
      </bottom>
      <diagonal/>
    </border>
    <border>
      <left style="medium">
        <color indexed="22"/>
      </left>
      <right style="double">
        <color theme="0" tint="-0.499984740745262"/>
      </right>
      <top style="medium">
        <color indexed="22"/>
      </top>
      <bottom style="double">
        <color theme="0" tint="-0.499984740745262"/>
      </bottom>
      <diagonal/>
    </border>
    <border>
      <left style="double">
        <color theme="0" tint="-0.34998626667073579"/>
      </left>
      <right style="thin">
        <color theme="0" tint="-0.14996795556505021"/>
      </right>
      <top style="double">
        <color theme="0" tint="-0.499984740745262"/>
      </top>
      <bottom style="thin">
        <color theme="0" tint="-0.14996795556505021"/>
      </bottom>
      <diagonal/>
    </border>
    <border>
      <left style="double">
        <color theme="0" tint="-0.34998626667073579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double">
        <color theme="0" tint="-0.34998626667073579"/>
      </right>
      <top style="thin">
        <color theme="0" tint="-0.14996795556505021"/>
      </top>
      <bottom style="thin">
        <color theme="0" tint="-0.14996795556505021"/>
      </bottom>
      <diagonal/>
    </border>
    <border>
      <left style="double">
        <color theme="0" tint="-0.34998626667073579"/>
      </left>
      <right style="double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  <border>
      <left style="double">
        <color theme="0" tint="-0.34998626667073579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double">
        <color indexed="55"/>
      </right>
      <top style="thin">
        <color theme="0" tint="-0.14993743705557422"/>
      </top>
      <bottom style="thin">
        <color theme="0" tint="-0.14993743705557422"/>
      </bottom>
      <diagonal/>
    </border>
    <border>
      <left style="double">
        <color theme="0" tint="-0.34998626667073579"/>
      </left>
      <right style="double">
        <color indexed="55"/>
      </right>
      <top style="double">
        <color theme="0" tint="-0.34998626667073579"/>
      </top>
      <bottom style="double">
        <color theme="0" tint="-0.34998626667073579"/>
      </bottom>
      <diagonal/>
    </border>
    <border>
      <left style="double">
        <color theme="0" tint="-0.34998626667073579"/>
      </left>
      <right/>
      <top style="double">
        <color theme="0" tint="-0.34998626667073579"/>
      </top>
      <bottom style="double">
        <color theme="0" tint="-0.34998626667073579"/>
      </bottom>
      <diagonal/>
    </border>
    <border>
      <left/>
      <right style="double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  <border>
      <left style="double">
        <color theme="0" tint="-0.34998626667073579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double">
        <color theme="0" tint="-0.499984740745262"/>
      </left>
      <right/>
      <top style="double">
        <color theme="0" tint="-0.499984740745262"/>
      </top>
      <bottom/>
      <diagonal/>
    </border>
    <border>
      <left/>
      <right/>
      <top style="double">
        <color theme="0" tint="-0.499984740745262"/>
      </top>
      <bottom/>
      <diagonal/>
    </border>
    <border>
      <left/>
      <right style="double">
        <color theme="0" tint="-0.499984740745262"/>
      </right>
      <top style="double">
        <color theme="0" tint="-0.499984740745262"/>
      </top>
      <bottom/>
      <diagonal/>
    </border>
    <border>
      <left style="double">
        <color theme="0" tint="-0.499984740745262"/>
      </left>
      <right/>
      <top/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/>
      <right style="double">
        <color theme="0" tint="-0.499984740745262"/>
      </right>
      <top/>
      <bottom style="medium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theme="0" tint="-0.499984740745262"/>
      </left>
      <right style="double">
        <color theme="0" tint="-0.499984740745262"/>
      </right>
      <top/>
      <bottom style="medium">
        <color theme="0" tint="-0.34998626667073579"/>
      </bottom>
      <diagonal/>
    </border>
    <border>
      <left style="double">
        <color theme="0" tint="-0.499984740745262"/>
      </left>
      <right style="double">
        <color theme="0" tint="-0.499984740745262"/>
      </right>
      <top style="medium">
        <color indexed="22"/>
      </top>
      <bottom style="double">
        <color theme="0" tint="-0.499984740745262"/>
      </bottom>
      <diagonal/>
    </border>
    <border>
      <left style="double">
        <color theme="0" tint="-0.499984740745262"/>
      </left>
      <right style="double">
        <color theme="0" tint="-0.499984740745262"/>
      </right>
      <top style="double">
        <color theme="0" tint="-0.34998626667073579"/>
      </top>
      <bottom style="double">
        <color theme="0" tint="-0.34998626667073579"/>
      </bottom>
      <diagonal/>
    </border>
    <border>
      <left style="double">
        <color theme="0" tint="-0.499984740745262"/>
      </left>
      <right style="double">
        <color theme="0" tint="-0.499984740745262"/>
      </right>
      <top style="double">
        <color theme="0" tint="-0.34998626667073579"/>
      </top>
      <bottom style="double">
        <color theme="0" tint="-0.499984740745262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double">
        <color theme="0" tint="-0.34998626667073579"/>
      </left>
      <right/>
      <top style="double">
        <color theme="0" tint="-0.34998626667073579"/>
      </top>
      <bottom/>
      <diagonal/>
    </border>
    <border>
      <left style="double">
        <color theme="0" tint="-0.34998626667073579"/>
      </left>
      <right style="double">
        <color theme="0" tint="-0.34998626667073579"/>
      </right>
      <top/>
      <bottom style="double">
        <color theme="0" tint="-0.34998626667073579"/>
      </bottom>
      <diagonal/>
    </border>
    <border>
      <left style="double">
        <color indexed="55"/>
      </left>
      <right style="double">
        <color indexed="55"/>
      </right>
      <top style="double">
        <color indexed="55"/>
      </top>
      <bottom style="thin">
        <color theme="0" tint="-0.14996795556505021"/>
      </bottom>
      <diagonal/>
    </border>
    <border>
      <left style="double">
        <color indexed="55"/>
      </left>
      <right style="double">
        <color indexed="55"/>
      </right>
      <top style="thin">
        <color theme="0" tint="-0.14996795556505021"/>
      </top>
      <bottom style="thin">
        <color theme="0" tint="-0.14996795556505021"/>
      </bottom>
      <diagonal/>
    </border>
    <border>
      <left style="double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thin">
        <color theme="0" tint="-0.14996795556505021"/>
      </bottom>
      <diagonal/>
    </border>
    <border>
      <left style="double">
        <color theme="0" tint="-0.499984740745262"/>
      </left>
      <right style="double">
        <color theme="0" tint="-0.499984740745262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 style="double">
        <color theme="0" tint="-0.499984740745262"/>
      </left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 style="double">
        <color theme="0" tint="-0.499984740745262"/>
      </right>
      <top style="medium">
        <color indexed="22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double">
        <color theme="0" tint="-0.34998626667073579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double">
        <color theme="0" tint="-0.34998626667073579"/>
      </top>
      <bottom style="thin">
        <color theme="0" tint="-0.14996795556505021"/>
      </bottom>
      <diagonal/>
    </border>
    <border>
      <left style="thin">
        <color theme="0" tint="-0.14996795556505021"/>
      </left>
      <right style="double">
        <color indexed="55"/>
      </right>
      <top style="double">
        <color theme="0" tint="-0.34998626667073579"/>
      </top>
      <bottom style="thin">
        <color theme="0" tint="-0.14993743705557422"/>
      </bottom>
      <diagonal/>
    </border>
    <border>
      <left/>
      <right style="double">
        <color theme="0" tint="-0.34998626667073579"/>
      </right>
      <top style="double">
        <color theme="0" tint="-0.34998626667073579"/>
      </top>
      <bottom/>
      <diagonal/>
    </border>
    <border>
      <left/>
      <right style="double">
        <color theme="0" tint="-0.34998626667073579"/>
      </right>
      <top/>
      <bottom/>
      <diagonal/>
    </border>
    <border>
      <left/>
      <right style="double">
        <color theme="0" tint="-0.34998626667073579"/>
      </right>
      <top/>
      <bottom style="double">
        <color theme="0" tint="-0.34998626667073579"/>
      </bottom>
      <diagonal/>
    </border>
    <border>
      <left style="thin">
        <color theme="0" tint="-0.14996795556505021"/>
      </left>
      <right style="thin">
        <color theme="0" tint="-0.14996795556505021"/>
      </right>
      <top style="double">
        <color theme="0" tint="-0.499984740745262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double">
        <color theme="0" tint="-0.499984740745262"/>
      </top>
      <bottom style="thin">
        <color theme="0" tint="-0.14996795556505021"/>
      </bottom>
      <diagonal/>
    </border>
    <border>
      <left style="thin">
        <color theme="0" tint="-0.14996795556505021"/>
      </left>
      <right style="double">
        <color theme="0" tint="-0.499984740745262"/>
      </right>
      <top style="double">
        <color theme="0" tint="-0.499984740745262"/>
      </top>
      <bottom style="thin">
        <color theme="0" tint="-0.14993743705557422"/>
      </bottom>
      <diagonal/>
    </border>
    <border>
      <left style="thin">
        <color theme="0" tint="-0.14996795556505021"/>
      </left>
      <right style="double">
        <color theme="0" tint="-0.499984740745262"/>
      </right>
      <top style="thin">
        <color theme="0" tint="-0.14993743705557422"/>
      </top>
      <bottom style="thin">
        <color theme="0" tint="-0.14993743705557422"/>
      </bottom>
      <diagonal/>
    </border>
    <border>
      <left style="double">
        <color theme="0" tint="-0.34998626667073579"/>
      </left>
      <right style="double">
        <color theme="0" tint="-0.499984740745262"/>
      </right>
      <top style="double">
        <color theme="0" tint="-0.34998626667073579"/>
      </top>
      <bottom style="double">
        <color theme="0" tint="-0.34998626667073579"/>
      </bottom>
      <diagonal/>
    </border>
    <border>
      <left style="double">
        <color theme="0" tint="-0.499984740745262"/>
      </left>
      <right style="thin">
        <color theme="0" tint="-0.14996795556505021"/>
      </right>
      <top style="double">
        <color theme="0" tint="-0.499984740745262"/>
      </top>
      <bottom style="thin">
        <color theme="0" tint="-0.14996795556505021"/>
      </bottom>
      <diagonal/>
    </border>
    <border>
      <left style="double">
        <color theme="0" tint="-0.499984740745262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double">
        <color theme="0" tint="-0.499984740745262"/>
      </left>
      <right style="double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  <border>
      <left style="double">
        <color theme="0" tint="-0.499984740745262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double">
        <color theme="0" tint="-0.499984740745262"/>
      </left>
      <right style="thin">
        <color theme="0" tint="-0.14996795556505021"/>
      </right>
      <top style="double">
        <color theme="0" tint="-0.34998626667073579"/>
      </top>
      <bottom style="thin">
        <color theme="0" tint="-0.14996795556505021"/>
      </bottom>
      <diagonal/>
    </border>
    <border>
      <left style="double">
        <color theme="0" tint="-0.499984740745262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double">
        <color theme="0" tint="-0.499984740745262"/>
      </left>
      <right style="double">
        <color theme="0" tint="-0.499984740745262"/>
      </right>
      <top style="thin">
        <color indexed="55"/>
      </top>
      <bottom style="thin">
        <color indexed="55"/>
      </bottom>
      <diagonal/>
    </border>
    <border>
      <left style="double">
        <color theme="0" tint="-0.499984740745262"/>
      </left>
      <right style="double">
        <color theme="0" tint="-0.499984740745262"/>
      </right>
      <top style="thin">
        <color indexed="55"/>
      </top>
      <bottom style="double">
        <color theme="0" tint="-0.499984740745262"/>
      </bottom>
      <diagonal/>
    </border>
    <border>
      <left style="double">
        <color theme="0" tint="-0.34998626667073579"/>
      </left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8" fillId="0" borderId="0"/>
  </cellStyleXfs>
  <cellXfs count="240">
    <xf numFmtId="0" fontId="0" fillId="0" borderId="0" xfId="0"/>
    <xf numFmtId="2" fontId="2" fillId="3" borderId="5" xfId="0" applyNumberFormat="1" applyFont="1" applyFill="1" applyBorder="1" applyAlignment="1">
      <alignment horizontal="left" vertical="center"/>
    </xf>
    <xf numFmtId="2" fontId="3" fillId="2" borderId="5" xfId="0" applyNumberFormat="1" applyFont="1" applyFill="1" applyBorder="1" applyAlignment="1">
      <alignment vertical="center"/>
    </xf>
    <xf numFmtId="0" fontId="4" fillId="3" borderId="0" xfId="0" applyFont="1" applyFill="1" applyAlignment="1">
      <alignment horizontal="center" vertical="center"/>
    </xf>
    <xf numFmtId="0" fontId="5" fillId="4" borderId="0" xfId="0" applyFont="1" applyFill="1"/>
    <xf numFmtId="164" fontId="3" fillId="2" borderId="13" xfId="1" applyFont="1" applyFill="1" applyBorder="1" applyAlignment="1">
      <alignment horizontal="center"/>
    </xf>
    <xf numFmtId="164" fontId="3" fillId="2" borderId="14" xfId="1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/>
    </xf>
    <xf numFmtId="164" fontId="7" fillId="5" borderId="19" xfId="1" applyFont="1" applyFill="1" applyBorder="1"/>
    <xf numFmtId="165" fontId="2" fillId="2" borderId="23" xfId="0" applyNumberFormat="1" applyFont="1" applyFill="1" applyBorder="1" applyAlignment="1">
      <alignment horizontal="right" vertical="center"/>
    </xf>
    <xf numFmtId="49" fontId="7" fillId="4" borderId="19" xfId="0" applyNumberFormat="1" applyFont="1" applyFill="1" applyBorder="1" applyAlignment="1">
      <alignment horizontal="center" wrapText="1"/>
    </xf>
    <xf numFmtId="9" fontId="5" fillId="4" borderId="18" xfId="2" applyFont="1" applyFill="1" applyBorder="1"/>
    <xf numFmtId="164" fontId="5" fillId="4" borderId="20" xfId="1" applyFont="1" applyFill="1" applyBorder="1"/>
    <xf numFmtId="164" fontId="5" fillId="4" borderId="0" xfId="1" applyFont="1" applyFill="1"/>
    <xf numFmtId="1" fontId="8" fillId="4" borderId="19" xfId="1" applyNumberFormat="1" applyFont="1" applyFill="1" applyBorder="1" applyAlignment="1">
      <alignment horizontal="center"/>
    </xf>
    <xf numFmtId="164" fontId="5" fillId="4" borderId="18" xfId="1" applyFont="1" applyFill="1" applyBorder="1"/>
    <xf numFmtId="165" fontId="9" fillId="6" borderId="0" xfId="0" applyNumberFormat="1" applyFont="1" applyFill="1" applyAlignment="1">
      <alignment horizontal="right" vertical="center"/>
    </xf>
    <xf numFmtId="0" fontId="10" fillId="3" borderId="0" xfId="0" applyFont="1" applyFill="1"/>
    <xf numFmtId="0" fontId="10" fillId="3" borderId="0" xfId="0" applyFont="1" applyFill="1" applyAlignment="1">
      <alignment horizontal="center" vertical="center"/>
    </xf>
    <xf numFmtId="0" fontId="11" fillId="4" borderId="0" xfId="0" applyFont="1" applyFill="1"/>
    <xf numFmtId="164" fontId="12" fillId="4" borderId="16" xfId="1" applyFont="1" applyFill="1" applyBorder="1"/>
    <xf numFmtId="164" fontId="12" fillId="4" borderId="21" xfId="1" applyFont="1" applyFill="1" applyBorder="1"/>
    <xf numFmtId="164" fontId="12" fillId="4" borderId="26" xfId="1" applyFont="1" applyFill="1" applyBorder="1"/>
    <xf numFmtId="164" fontId="12" fillId="4" borderId="12" xfId="1" applyFont="1" applyFill="1" applyBorder="1"/>
    <xf numFmtId="0" fontId="12" fillId="4" borderId="0" xfId="0" applyFont="1" applyFill="1"/>
    <xf numFmtId="164" fontId="12" fillId="4" borderId="0" xfId="1" applyFont="1" applyFill="1"/>
    <xf numFmtId="0" fontId="15" fillId="4" borderId="0" xfId="0" applyFont="1" applyFill="1"/>
    <xf numFmtId="164" fontId="16" fillId="2" borderId="13" xfId="1" applyFont="1" applyFill="1" applyBorder="1" applyAlignment="1">
      <alignment horizontal="center"/>
    </xf>
    <xf numFmtId="164" fontId="16" fillId="2" borderId="14" xfId="1" applyFont="1" applyFill="1" applyBorder="1" applyAlignment="1">
      <alignment horizontal="center"/>
    </xf>
    <xf numFmtId="0" fontId="16" fillId="2" borderId="15" xfId="0" applyFont="1" applyFill="1" applyBorder="1" applyAlignment="1">
      <alignment horizontal="center"/>
    </xf>
    <xf numFmtId="1" fontId="17" fillId="4" borderId="19" xfId="1" applyNumberFormat="1" applyFont="1" applyFill="1" applyBorder="1" applyAlignment="1">
      <alignment horizontal="center"/>
    </xf>
    <xf numFmtId="0" fontId="13" fillId="3" borderId="0" xfId="0" applyFont="1" applyFill="1" applyAlignment="1">
      <alignment horizontal="center" vertical="center"/>
    </xf>
    <xf numFmtId="164" fontId="12" fillId="4" borderId="17" xfId="1" applyFont="1" applyFill="1" applyBorder="1"/>
    <xf numFmtId="2" fontId="16" fillId="2" borderId="5" xfId="0" applyNumberFormat="1" applyFont="1" applyFill="1" applyBorder="1" applyAlignment="1">
      <alignment vertical="center"/>
    </xf>
    <xf numFmtId="165" fontId="18" fillId="5" borderId="19" xfId="2" applyNumberFormat="1" applyFont="1" applyFill="1" applyBorder="1" applyAlignment="1">
      <alignment horizontal="center"/>
    </xf>
    <xf numFmtId="167" fontId="12" fillId="4" borderId="12" xfId="1" applyNumberFormat="1" applyFont="1" applyFill="1" applyBorder="1"/>
    <xf numFmtId="167" fontId="18" fillId="5" borderId="19" xfId="1" applyNumberFormat="1" applyFont="1" applyFill="1" applyBorder="1"/>
    <xf numFmtId="165" fontId="19" fillId="6" borderId="0" xfId="0" applyNumberFormat="1" applyFont="1" applyFill="1" applyAlignment="1">
      <alignment horizontal="right" vertical="center"/>
    </xf>
    <xf numFmtId="167" fontId="12" fillId="4" borderId="26" xfId="1" applyNumberFormat="1" applyFont="1" applyFill="1" applyBorder="1"/>
    <xf numFmtId="165" fontId="17" fillId="5" borderId="19" xfId="2" applyNumberFormat="1" applyFont="1" applyFill="1" applyBorder="1" applyAlignment="1">
      <alignment horizontal="center"/>
    </xf>
    <xf numFmtId="166" fontId="17" fillId="5" borderId="19" xfId="1" applyNumberFormat="1" applyFont="1" applyFill="1" applyBorder="1"/>
    <xf numFmtId="167" fontId="17" fillId="5" borderId="19" xfId="1" applyNumberFormat="1" applyFont="1" applyFill="1" applyBorder="1"/>
    <xf numFmtId="0" fontId="21" fillId="4" borderId="0" xfId="0" applyFont="1" applyFill="1"/>
    <xf numFmtId="0" fontId="22" fillId="4" borderId="0" xfId="0" applyFont="1" applyFill="1"/>
    <xf numFmtId="164" fontId="12" fillId="4" borderId="20" xfId="1" applyFont="1" applyFill="1" applyBorder="1"/>
    <xf numFmtId="164" fontId="5" fillId="4" borderId="0" xfId="0" applyNumberFormat="1" applyFont="1" applyFill="1"/>
    <xf numFmtId="168" fontId="12" fillId="4" borderId="26" xfId="1" applyNumberFormat="1" applyFont="1" applyFill="1" applyBorder="1"/>
    <xf numFmtId="168" fontId="12" fillId="4" borderId="12" xfId="1" applyNumberFormat="1" applyFont="1" applyFill="1" applyBorder="1"/>
    <xf numFmtId="9" fontId="8" fillId="5" borderId="19" xfId="2" applyFont="1" applyFill="1" applyBorder="1" applyAlignment="1">
      <alignment horizontal="center"/>
    </xf>
    <xf numFmtId="0" fontId="18" fillId="4" borderId="0" xfId="0" applyFont="1" applyFill="1"/>
    <xf numFmtId="164" fontId="18" fillId="4" borderId="0" xfId="1" applyFont="1" applyFill="1"/>
    <xf numFmtId="165" fontId="16" fillId="6" borderId="0" xfId="0" applyNumberFormat="1" applyFont="1" applyFill="1" applyAlignment="1">
      <alignment horizontal="right" vertical="center"/>
    </xf>
    <xf numFmtId="167" fontId="8" fillId="4" borderId="0" xfId="1" applyNumberFormat="1" applyFont="1" applyFill="1"/>
    <xf numFmtId="167" fontId="8" fillId="4" borderId="0" xfId="1" applyNumberFormat="1" applyFont="1" applyFill="1" applyAlignment="1">
      <alignment horizontal="center"/>
    </xf>
    <xf numFmtId="49" fontId="7" fillId="4" borderId="0" xfId="1" applyNumberFormat="1" applyFont="1" applyFill="1"/>
    <xf numFmtId="0" fontId="20" fillId="6" borderId="0" xfId="0" applyFont="1" applyFill="1" applyAlignment="1">
      <alignment horizontal="right"/>
    </xf>
    <xf numFmtId="10" fontId="17" fillId="5" borderId="19" xfId="2" applyNumberFormat="1" applyFont="1" applyFill="1" applyBorder="1" applyAlignment="1">
      <alignment horizontal="center"/>
    </xf>
    <xf numFmtId="165" fontId="18" fillId="5" borderId="19" xfId="2" applyNumberFormat="1" applyFont="1" applyFill="1" applyBorder="1"/>
    <xf numFmtId="10" fontId="18" fillId="5" borderId="19" xfId="2" applyNumberFormat="1" applyFont="1" applyFill="1" applyBorder="1"/>
    <xf numFmtId="9" fontId="12" fillId="4" borderId="18" xfId="2" applyFont="1" applyFill="1" applyBorder="1"/>
    <xf numFmtId="9" fontId="17" fillId="5" borderId="19" xfId="2" applyFont="1" applyFill="1" applyBorder="1" applyAlignment="1">
      <alignment horizontal="center"/>
    </xf>
    <xf numFmtId="167" fontId="21" fillId="4" borderId="0" xfId="1" applyNumberFormat="1" applyFont="1" applyFill="1" applyAlignment="1">
      <alignment horizontal="center"/>
    </xf>
    <xf numFmtId="167" fontId="21" fillId="4" borderId="0" xfId="1" applyNumberFormat="1" applyFont="1" applyFill="1"/>
    <xf numFmtId="164" fontId="18" fillId="5" borderId="19" xfId="1" applyFont="1" applyFill="1" applyBorder="1"/>
    <xf numFmtId="0" fontId="17" fillId="4" borderId="0" xfId="0" applyFont="1" applyFill="1"/>
    <xf numFmtId="0" fontId="14" fillId="3" borderId="0" xfId="0" applyFont="1" applyFill="1" applyAlignment="1">
      <alignment horizontal="center" vertical="center"/>
    </xf>
    <xf numFmtId="164" fontId="17" fillId="4" borderId="0" xfId="1" applyFont="1" applyFill="1"/>
    <xf numFmtId="164" fontId="17" fillId="5" borderId="19" xfId="1" applyFont="1" applyFill="1" applyBorder="1"/>
    <xf numFmtId="166" fontId="12" fillId="4" borderId="26" xfId="1" applyNumberFormat="1" applyFont="1" applyFill="1" applyBorder="1"/>
    <xf numFmtId="164" fontId="12" fillId="7" borderId="0" xfId="1" applyFont="1" applyFill="1"/>
    <xf numFmtId="0" fontId="13" fillId="3" borderId="0" xfId="0" applyFont="1" applyFill="1"/>
    <xf numFmtId="0" fontId="20" fillId="3" borderId="0" xfId="0" applyFont="1" applyFill="1" applyAlignment="1">
      <alignment horizontal="center" vertical="center"/>
    </xf>
    <xf numFmtId="9" fontId="5" fillId="4" borderId="0" xfId="2" applyFont="1" applyFill="1" applyBorder="1"/>
    <xf numFmtId="49" fontId="7" fillId="4" borderId="0" xfId="0" applyNumberFormat="1" applyFont="1" applyFill="1" applyAlignment="1">
      <alignment horizontal="center" wrapText="1"/>
    </xf>
    <xf numFmtId="9" fontId="8" fillId="5" borderId="0" xfId="2" applyFont="1" applyFill="1" applyBorder="1" applyAlignment="1">
      <alignment horizontal="center"/>
    </xf>
    <xf numFmtId="165" fontId="5" fillId="4" borderId="0" xfId="2" applyNumberFormat="1" applyFont="1" applyFill="1" applyBorder="1"/>
    <xf numFmtId="167" fontId="15" fillId="4" borderId="0" xfId="1" applyNumberFormat="1" applyFont="1" applyFill="1"/>
    <xf numFmtId="164" fontId="15" fillId="4" borderId="0" xfId="1" applyFont="1" applyFill="1"/>
    <xf numFmtId="0" fontId="25" fillId="4" borderId="0" xfId="0" applyFont="1" applyFill="1"/>
    <xf numFmtId="164" fontId="25" fillId="4" borderId="0" xfId="1" applyFont="1" applyFill="1"/>
    <xf numFmtId="165" fontId="26" fillId="3" borderId="22" xfId="0" applyNumberFormat="1" applyFont="1" applyFill="1" applyBorder="1" applyAlignment="1">
      <alignment horizontal="right" vertical="center"/>
    </xf>
    <xf numFmtId="49" fontId="18" fillId="4" borderId="0" xfId="0" applyNumberFormat="1" applyFont="1" applyFill="1" applyAlignment="1">
      <alignment horizontal="center" wrapText="1"/>
    </xf>
    <xf numFmtId="9" fontId="12" fillId="4" borderId="0" xfId="2" applyFont="1" applyFill="1" applyBorder="1"/>
    <xf numFmtId="9" fontId="17" fillId="5" borderId="0" xfId="2" applyFont="1" applyFill="1" applyBorder="1" applyAlignment="1">
      <alignment horizontal="center"/>
    </xf>
    <xf numFmtId="165" fontId="12" fillId="4" borderId="0" xfId="2" applyNumberFormat="1" applyFont="1" applyFill="1" applyBorder="1"/>
    <xf numFmtId="171" fontId="12" fillId="4" borderId="26" xfId="1" applyNumberFormat="1" applyFont="1" applyFill="1" applyBorder="1"/>
    <xf numFmtId="2" fontId="11" fillId="4" borderId="0" xfId="0" applyNumberFormat="1" applyFont="1" applyFill="1"/>
    <xf numFmtId="164" fontId="11" fillId="4" borderId="0" xfId="1" applyFont="1" applyFill="1"/>
    <xf numFmtId="2" fontId="2" fillId="3" borderId="4" xfId="0" applyNumberFormat="1" applyFont="1" applyFill="1" applyBorder="1" applyAlignment="1">
      <alignment horizontal="left" vertical="center"/>
    </xf>
    <xf numFmtId="164" fontId="2" fillId="2" borderId="23" xfId="0" applyNumberFormat="1" applyFont="1" applyFill="1" applyBorder="1" applyAlignment="1">
      <alignment horizontal="right" vertical="center"/>
    </xf>
    <xf numFmtId="164" fontId="12" fillId="4" borderId="12" xfId="1" applyFont="1" applyFill="1" applyBorder="1" applyAlignment="1">
      <alignment horizontal="center"/>
    </xf>
    <xf numFmtId="167" fontId="31" fillId="5" borderId="19" xfId="1" applyNumberFormat="1" applyFont="1" applyFill="1" applyBorder="1"/>
    <xf numFmtId="164" fontId="12" fillId="4" borderId="0" xfId="0" applyNumberFormat="1" applyFont="1" applyFill="1"/>
    <xf numFmtId="2" fontId="33" fillId="8" borderId="33" xfId="0" applyNumberFormat="1" applyFont="1" applyFill="1" applyBorder="1" applyAlignment="1">
      <alignment horizontal="left" vertical="center"/>
    </xf>
    <xf numFmtId="0" fontId="32" fillId="9" borderId="33" xfId="0" applyFont="1" applyFill="1" applyBorder="1" applyAlignment="1">
      <alignment horizontal="center"/>
    </xf>
    <xf numFmtId="0" fontId="32" fillId="9" borderId="33" xfId="0" applyFont="1" applyFill="1" applyBorder="1"/>
    <xf numFmtId="0" fontId="32" fillId="4" borderId="0" xfId="0" applyFont="1" applyFill="1"/>
    <xf numFmtId="9" fontId="34" fillId="9" borderId="33" xfId="2" applyFont="1" applyFill="1" applyBorder="1"/>
    <xf numFmtId="2" fontId="34" fillId="9" borderId="33" xfId="0" applyNumberFormat="1" applyFont="1" applyFill="1" applyBorder="1" applyAlignment="1">
      <alignment horizontal="center"/>
    </xf>
    <xf numFmtId="2" fontId="12" fillId="4" borderId="0" xfId="0" applyNumberFormat="1" applyFont="1" applyFill="1"/>
    <xf numFmtId="49" fontId="7" fillId="5" borderId="24" xfId="0" applyNumberFormat="1" applyFont="1" applyFill="1" applyBorder="1" applyAlignment="1">
      <alignment horizontal="center" wrapText="1"/>
    </xf>
    <xf numFmtId="49" fontId="7" fillId="5" borderId="25" xfId="0" applyNumberFormat="1" applyFont="1" applyFill="1" applyBorder="1" applyAlignment="1">
      <alignment wrapText="1"/>
    </xf>
    <xf numFmtId="43" fontId="12" fillId="4" borderId="0" xfId="0" applyNumberFormat="1" applyFont="1" applyFill="1"/>
    <xf numFmtId="49" fontId="17" fillId="4" borderId="19" xfId="0" applyNumberFormat="1" applyFont="1" applyFill="1" applyBorder="1" applyAlignment="1">
      <alignment horizontal="center" wrapText="1"/>
    </xf>
    <xf numFmtId="164" fontId="3" fillId="2" borderId="35" xfId="1" applyFont="1" applyFill="1" applyBorder="1" applyAlignment="1">
      <alignment horizontal="center"/>
    </xf>
    <xf numFmtId="164" fontId="17" fillId="5" borderId="36" xfId="1" applyFont="1" applyFill="1" applyBorder="1"/>
    <xf numFmtId="164" fontId="0" fillId="0" borderId="0" xfId="1" applyFont="1"/>
    <xf numFmtId="164" fontId="21" fillId="4" borderId="0" xfId="1" applyFont="1" applyFill="1"/>
    <xf numFmtId="0" fontId="5" fillId="4" borderId="0" xfId="0" applyFont="1" applyFill="1" applyAlignment="1">
      <alignment horizontal="center"/>
    </xf>
    <xf numFmtId="0" fontId="8" fillId="4" borderId="0" xfId="0" applyFont="1" applyFill="1"/>
    <xf numFmtId="164" fontId="17" fillId="5" borderId="19" xfId="0" applyNumberFormat="1" applyFont="1" applyFill="1" applyBorder="1"/>
    <xf numFmtId="167" fontId="17" fillId="5" borderId="36" xfId="1" applyNumberFormat="1" applyFont="1" applyFill="1" applyBorder="1"/>
    <xf numFmtId="164" fontId="17" fillId="5" borderId="37" xfId="1" applyFont="1" applyFill="1" applyBorder="1"/>
    <xf numFmtId="165" fontId="36" fillId="2" borderId="23" xfId="0" applyNumberFormat="1" applyFont="1" applyFill="1" applyBorder="1" applyAlignment="1">
      <alignment horizontal="right" vertical="center"/>
    </xf>
    <xf numFmtId="9" fontId="25" fillId="4" borderId="0" xfId="2" applyFont="1" applyFill="1" applyBorder="1"/>
    <xf numFmtId="164" fontId="21" fillId="5" borderId="19" xfId="1" applyFont="1" applyFill="1" applyBorder="1"/>
    <xf numFmtId="43" fontId="21" fillId="4" borderId="0" xfId="0" applyNumberFormat="1" applyFont="1" applyFill="1"/>
    <xf numFmtId="0" fontId="37" fillId="3" borderId="0" xfId="0" applyFont="1" applyFill="1" applyAlignment="1">
      <alignment horizontal="center" vertical="center"/>
    </xf>
    <xf numFmtId="0" fontId="29" fillId="4" borderId="0" xfId="0" applyFont="1" applyFill="1"/>
    <xf numFmtId="164" fontId="12" fillId="4" borderId="38" xfId="1" applyFont="1" applyFill="1" applyBorder="1"/>
    <xf numFmtId="49" fontId="7" fillId="5" borderId="39" xfId="0" applyNumberFormat="1" applyFont="1" applyFill="1" applyBorder="1" applyAlignment="1">
      <alignment horizontal="center" wrapText="1"/>
    </xf>
    <xf numFmtId="164" fontId="17" fillId="5" borderId="40" xfId="1" applyFont="1" applyFill="1" applyBorder="1"/>
    <xf numFmtId="164" fontId="12" fillId="4" borderId="41" xfId="1" applyFont="1" applyFill="1" applyBorder="1"/>
    <xf numFmtId="164" fontId="12" fillId="4" borderId="42" xfId="1" applyFont="1" applyFill="1" applyBorder="1"/>
    <xf numFmtId="0" fontId="6" fillId="2" borderId="0" xfId="0" applyFont="1" applyFill="1" applyAlignment="1">
      <alignment horizontal="center" vertical="center"/>
    </xf>
    <xf numFmtId="2" fontId="2" fillId="3" borderId="0" xfId="0" applyNumberFormat="1" applyFont="1" applyFill="1" applyAlignment="1">
      <alignment horizontal="left" vertical="center"/>
    </xf>
    <xf numFmtId="2" fontId="3" fillId="2" borderId="0" xfId="0" applyNumberFormat="1" applyFont="1" applyFill="1" applyAlignment="1">
      <alignment vertical="center"/>
    </xf>
    <xf numFmtId="168" fontId="12" fillId="4" borderId="20" xfId="1" applyNumberFormat="1" applyFont="1" applyFill="1" applyBorder="1"/>
    <xf numFmtId="164" fontId="12" fillId="4" borderId="43" xfId="1" applyFont="1" applyFill="1" applyBorder="1"/>
    <xf numFmtId="164" fontId="12" fillId="4" borderId="44" xfId="1" applyFont="1" applyFill="1" applyBorder="1"/>
    <xf numFmtId="168" fontId="12" fillId="4" borderId="42" xfId="1" applyNumberFormat="1" applyFont="1" applyFill="1" applyBorder="1"/>
    <xf numFmtId="164" fontId="12" fillId="4" borderId="45" xfId="1" applyFont="1" applyFill="1" applyBorder="1"/>
    <xf numFmtId="168" fontId="5" fillId="4" borderId="18" xfId="1" applyNumberFormat="1" applyFont="1" applyFill="1" applyBorder="1"/>
    <xf numFmtId="171" fontId="12" fillId="4" borderId="12" xfId="1" applyNumberFormat="1" applyFont="1" applyFill="1" applyBorder="1"/>
    <xf numFmtId="171" fontId="12" fillId="4" borderId="42" xfId="1" applyNumberFormat="1" applyFont="1" applyFill="1" applyBorder="1"/>
    <xf numFmtId="164" fontId="17" fillId="5" borderId="19" xfId="1" applyFont="1" applyFill="1" applyBorder="1" applyAlignment="1">
      <alignment vertical="center"/>
    </xf>
    <xf numFmtId="0" fontId="5" fillId="4" borderId="0" xfId="0" applyFont="1" applyFill="1" applyAlignment="1">
      <alignment vertical="center"/>
    </xf>
    <xf numFmtId="165" fontId="17" fillId="5" borderId="19" xfId="2" applyNumberFormat="1" applyFont="1" applyFill="1" applyBorder="1" applyAlignment="1">
      <alignment horizontal="center" vertical="center"/>
    </xf>
    <xf numFmtId="0" fontId="25" fillId="4" borderId="0" xfId="0" applyFont="1" applyFill="1" applyAlignment="1">
      <alignment vertical="center"/>
    </xf>
    <xf numFmtId="9" fontId="8" fillId="5" borderId="19" xfId="2" applyFont="1" applyFill="1" applyBorder="1" applyAlignment="1">
      <alignment horizontal="center" vertical="center"/>
    </xf>
    <xf numFmtId="164" fontId="7" fillId="5" borderId="19" xfId="1" applyFont="1" applyFill="1" applyBorder="1" applyAlignment="1">
      <alignment vertical="center"/>
    </xf>
    <xf numFmtId="164" fontId="5" fillId="4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164" fontId="17" fillId="5" borderId="19" xfId="0" applyNumberFormat="1" applyFont="1" applyFill="1" applyBorder="1" applyAlignment="1">
      <alignment vertical="center"/>
    </xf>
    <xf numFmtId="166" fontId="17" fillId="5" borderId="19" xfId="1" applyNumberFormat="1" applyFont="1" applyFill="1" applyBorder="1" applyAlignment="1">
      <alignment vertical="center"/>
    </xf>
    <xf numFmtId="167" fontId="17" fillId="5" borderId="19" xfId="1" applyNumberFormat="1" applyFont="1" applyFill="1" applyBorder="1" applyAlignment="1">
      <alignment vertical="center"/>
    </xf>
    <xf numFmtId="164" fontId="23" fillId="5" borderId="19" xfId="1" applyFont="1" applyFill="1" applyBorder="1"/>
    <xf numFmtId="164" fontId="23" fillId="5" borderId="19" xfId="0" applyNumberFormat="1" applyFont="1" applyFill="1" applyBorder="1"/>
    <xf numFmtId="170" fontId="12" fillId="4" borderId="42" xfId="1" applyNumberFormat="1" applyFont="1" applyFill="1" applyBorder="1"/>
    <xf numFmtId="164" fontId="16" fillId="2" borderId="46" xfId="1" applyFont="1" applyFill="1" applyBorder="1" applyAlignment="1">
      <alignment horizontal="center"/>
    </xf>
    <xf numFmtId="9" fontId="38" fillId="4" borderId="0" xfId="0" applyNumberFormat="1" applyFont="1" applyFill="1" applyAlignment="1">
      <alignment horizontal="center"/>
    </xf>
    <xf numFmtId="0" fontId="0" fillId="4" borderId="0" xfId="0" applyFill="1"/>
    <xf numFmtId="166" fontId="12" fillId="4" borderId="12" xfId="1" applyNumberFormat="1" applyFont="1" applyFill="1" applyBorder="1"/>
    <xf numFmtId="172" fontId="34" fillId="9" borderId="33" xfId="0" applyNumberFormat="1" applyFont="1" applyFill="1" applyBorder="1" applyAlignment="1">
      <alignment horizontal="center"/>
    </xf>
    <xf numFmtId="171" fontId="5" fillId="4" borderId="18" xfId="1" applyNumberFormat="1" applyFont="1" applyFill="1" applyBorder="1"/>
    <xf numFmtId="9" fontId="5" fillId="4" borderId="0" xfId="2" applyFont="1" applyFill="1"/>
    <xf numFmtId="9" fontId="5" fillId="4" borderId="0" xfId="2" applyFont="1" applyFill="1" applyAlignment="1">
      <alignment vertical="center"/>
    </xf>
    <xf numFmtId="9" fontId="0" fillId="0" borderId="0" xfId="2" applyFont="1"/>
    <xf numFmtId="165" fontId="5" fillId="4" borderId="0" xfId="0" applyNumberFormat="1" applyFont="1" applyFill="1"/>
    <xf numFmtId="164" fontId="39" fillId="4" borderId="12" xfId="1" applyFont="1" applyFill="1" applyBorder="1"/>
    <xf numFmtId="164" fontId="40" fillId="5" borderId="19" xfId="1" applyFont="1" applyFill="1" applyBorder="1"/>
    <xf numFmtId="167" fontId="40" fillId="5" borderId="19" xfId="1" applyNumberFormat="1" applyFont="1" applyFill="1" applyBorder="1"/>
    <xf numFmtId="0" fontId="12" fillId="0" borderId="0" xfId="0" applyFont="1"/>
    <xf numFmtId="164" fontId="5" fillId="0" borderId="0" xfId="1" applyFont="1" applyFill="1"/>
    <xf numFmtId="164" fontId="41" fillId="4" borderId="26" xfId="1" applyFont="1" applyFill="1" applyBorder="1"/>
    <xf numFmtId="168" fontId="41" fillId="4" borderId="26" xfId="1" applyNumberFormat="1" applyFont="1" applyFill="1" applyBorder="1"/>
    <xf numFmtId="164" fontId="12" fillId="4" borderId="26" xfId="1" applyFont="1" applyFill="1" applyBorder="1" applyAlignment="1">
      <alignment horizontal="center"/>
    </xf>
    <xf numFmtId="164" fontId="3" fillId="2" borderId="47" xfId="1" applyFont="1" applyFill="1" applyBorder="1" applyAlignment="1">
      <alignment horizontal="center"/>
    </xf>
    <xf numFmtId="0" fontId="3" fillId="2" borderId="48" xfId="0" applyFont="1" applyFill="1" applyBorder="1" applyAlignment="1">
      <alignment horizontal="center"/>
    </xf>
    <xf numFmtId="164" fontId="12" fillId="4" borderId="49" xfId="1" applyFont="1" applyFill="1" applyBorder="1"/>
    <xf numFmtId="164" fontId="12" fillId="4" borderId="50" xfId="1" applyFont="1" applyFill="1" applyBorder="1"/>
    <xf numFmtId="165" fontId="26" fillId="3" borderId="51" xfId="0" applyNumberFormat="1" applyFont="1" applyFill="1" applyBorder="1" applyAlignment="1">
      <alignment horizontal="right" vertical="center"/>
    </xf>
    <xf numFmtId="0" fontId="5" fillId="4" borderId="52" xfId="0" applyFont="1" applyFill="1" applyBorder="1"/>
    <xf numFmtId="0" fontId="5" fillId="4" borderId="53" xfId="0" applyFont="1" applyFill="1" applyBorder="1"/>
    <xf numFmtId="0" fontId="25" fillId="4" borderId="53" xfId="0" applyFont="1" applyFill="1" applyBorder="1"/>
    <xf numFmtId="0" fontId="25" fillId="4" borderId="54" xfId="0" applyFont="1" applyFill="1" applyBorder="1"/>
    <xf numFmtId="164" fontId="12" fillId="4" borderId="55" xfId="1" applyFont="1" applyFill="1" applyBorder="1"/>
    <xf numFmtId="164" fontId="12" fillId="4" borderId="56" xfId="1" applyFont="1" applyFill="1" applyBorder="1"/>
    <xf numFmtId="165" fontId="26" fillId="3" borderId="57" xfId="0" applyNumberFormat="1" applyFont="1" applyFill="1" applyBorder="1" applyAlignment="1">
      <alignment horizontal="right" vertical="center"/>
    </xf>
    <xf numFmtId="165" fontId="26" fillId="3" borderId="58" xfId="0" applyNumberFormat="1" applyFont="1" applyFill="1" applyBorder="1" applyAlignment="1">
      <alignment horizontal="right" vertical="center"/>
    </xf>
    <xf numFmtId="165" fontId="17" fillId="5" borderId="59" xfId="2" applyNumberFormat="1" applyFont="1" applyFill="1" applyBorder="1" applyAlignment="1">
      <alignment horizontal="center"/>
    </xf>
    <xf numFmtId="164" fontId="17" fillId="5" borderId="24" xfId="1" applyFont="1" applyFill="1" applyBorder="1"/>
    <xf numFmtId="0" fontId="21" fillId="4" borderId="0" xfId="0" applyFont="1" applyFill="1" applyAlignment="1">
      <alignment horizontal="center"/>
    </xf>
    <xf numFmtId="164" fontId="21" fillId="4" borderId="0" xfId="0" applyNumberFormat="1" applyFont="1" applyFill="1" applyAlignment="1">
      <alignment horizontal="center"/>
    </xf>
    <xf numFmtId="0" fontId="17" fillId="4" borderId="0" xfId="0" applyFont="1" applyFill="1" applyAlignment="1">
      <alignment horizontal="center"/>
    </xf>
    <xf numFmtId="164" fontId="12" fillId="4" borderId="60" xfId="1" applyFont="1" applyFill="1" applyBorder="1"/>
    <xf numFmtId="164" fontId="12" fillId="4" borderId="61" xfId="1" applyFont="1" applyFill="1" applyBorder="1"/>
    <xf numFmtId="171" fontId="12" fillId="4" borderId="61" xfId="1" applyNumberFormat="1" applyFont="1" applyFill="1" applyBorder="1"/>
    <xf numFmtId="164" fontId="17" fillId="5" borderId="62" xfId="1" applyFont="1" applyFill="1" applyBorder="1"/>
    <xf numFmtId="168" fontId="12" fillId="4" borderId="61" xfId="1" applyNumberFormat="1" applyFont="1" applyFill="1" applyBorder="1"/>
    <xf numFmtId="169" fontId="12" fillId="4" borderId="63" xfId="1" applyNumberFormat="1" applyFont="1" applyFill="1" applyBorder="1"/>
    <xf numFmtId="164" fontId="3" fillId="2" borderId="46" xfId="1" applyFont="1" applyFill="1" applyBorder="1" applyAlignment="1">
      <alignment horizontal="center"/>
    </xf>
    <xf numFmtId="168" fontId="12" fillId="4" borderId="64" xfId="1" applyNumberFormat="1" applyFont="1" applyFill="1" applyBorder="1"/>
    <xf numFmtId="164" fontId="12" fillId="4" borderId="65" xfId="1" applyFont="1" applyFill="1" applyBorder="1"/>
    <xf numFmtId="2" fontId="30" fillId="3" borderId="66" xfId="0" applyNumberFormat="1" applyFont="1" applyFill="1" applyBorder="1" applyAlignment="1">
      <alignment horizontal="left" vertical="center"/>
    </xf>
    <xf numFmtId="2" fontId="16" fillId="2" borderId="66" xfId="0" applyNumberFormat="1" applyFont="1" applyFill="1" applyBorder="1" applyAlignment="1">
      <alignment vertical="center"/>
    </xf>
    <xf numFmtId="2" fontId="16" fillId="2" borderId="67" xfId="0" applyNumberFormat="1" applyFont="1" applyFill="1" applyBorder="1" applyAlignment="1">
      <alignment vertical="center"/>
    </xf>
    <xf numFmtId="170" fontId="12" fillId="4" borderId="60" xfId="1" applyNumberFormat="1" applyFont="1" applyFill="1" applyBorder="1"/>
    <xf numFmtId="170" fontId="12" fillId="4" borderId="61" xfId="1" applyNumberFormat="1" applyFont="1" applyFill="1" applyBorder="1"/>
    <xf numFmtId="169" fontId="12" fillId="4" borderId="61" xfId="1" applyNumberFormat="1" applyFont="1" applyFill="1" applyBorder="1"/>
    <xf numFmtId="171" fontId="12" fillId="4" borderId="60" xfId="1" applyNumberFormat="1" applyFont="1" applyFill="1" applyBorder="1"/>
    <xf numFmtId="171" fontId="5" fillId="4" borderId="20" xfId="1" applyNumberFormat="1" applyFont="1" applyFill="1" applyBorder="1"/>
    <xf numFmtId="164" fontId="12" fillId="4" borderId="68" xfId="1" applyFont="1" applyFill="1" applyBorder="1"/>
    <xf numFmtId="0" fontId="6" fillId="2" borderId="6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49" fontId="7" fillId="5" borderId="24" xfId="0" applyNumberFormat="1" applyFont="1" applyFill="1" applyBorder="1" applyAlignment="1">
      <alignment horizontal="center" wrapText="1"/>
    </xf>
    <xf numFmtId="49" fontId="7" fillId="5" borderId="25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27" fillId="2" borderId="9" xfId="0" applyFont="1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/>
    </xf>
    <xf numFmtId="0" fontId="27" fillId="2" borderId="11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6" fillId="2" borderId="28" xfId="0" applyFont="1" applyFill="1" applyBorder="1" applyAlignment="1">
      <alignment horizontal="center" vertical="center"/>
    </xf>
    <xf numFmtId="0" fontId="6" fillId="2" borderId="29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/>
    </xf>
    <xf numFmtId="0" fontId="6" fillId="2" borderId="31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/>
    </xf>
    <xf numFmtId="0" fontId="27" fillId="2" borderId="27" xfId="0" applyFont="1" applyFill="1" applyBorder="1" applyAlignment="1">
      <alignment horizontal="center" vertical="center"/>
    </xf>
    <xf numFmtId="0" fontId="27" fillId="2" borderId="28" xfId="0" applyFont="1" applyFill="1" applyBorder="1" applyAlignment="1">
      <alignment horizontal="center" vertical="center"/>
    </xf>
    <xf numFmtId="0" fontId="27" fillId="2" borderId="29" xfId="0" applyFont="1" applyFill="1" applyBorder="1" applyAlignment="1">
      <alignment horizontal="center" vertical="center"/>
    </xf>
    <xf numFmtId="0" fontId="27" fillId="2" borderId="30" xfId="0" applyFont="1" applyFill="1" applyBorder="1" applyAlignment="1">
      <alignment horizontal="center" vertical="center"/>
    </xf>
    <xf numFmtId="0" fontId="27" fillId="2" borderId="31" xfId="0" applyFont="1" applyFill="1" applyBorder="1" applyAlignment="1">
      <alignment horizontal="center" vertical="center"/>
    </xf>
    <xf numFmtId="0" fontId="27" fillId="2" borderId="32" xfId="0" applyFont="1" applyFill="1" applyBorder="1" applyAlignment="1">
      <alignment horizontal="center" vertical="center"/>
    </xf>
    <xf numFmtId="0" fontId="35" fillId="2" borderId="30" xfId="0" applyFont="1" applyFill="1" applyBorder="1" applyAlignment="1">
      <alignment horizontal="center" vertical="center"/>
    </xf>
    <xf numFmtId="0" fontId="35" fillId="2" borderId="31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4" fillId="2" borderId="29" xfId="0" applyFont="1" applyFill="1" applyBorder="1" applyAlignment="1">
      <alignment horizontal="center" vertical="center"/>
    </xf>
  </cellXfs>
  <cellStyles count="4">
    <cellStyle name="Comma" xfId="1" builtinId="3"/>
    <cellStyle name="Normal" xfId="0" builtinId="0"/>
    <cellStyle name="Normal 4" xfId="3" xr:uid="{00000000-0005-0000-0000-000002000000}"/>
    <cellStyle name="Per cent" xfId="2" builtinId="5"/>
  </cellStyles>
  <dxfs count="214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auto="1"/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LES%20DETAIL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def"/>
      <sheetName val="Sheet1"/>
      <sheetName val="Sheet2"/>
    </sheetNames>
    <sheetDataSet>
      <sheetData sheetId="0">
        <row r="4">
          <cell r="B4">
            <v>117083</v>
          </cell>
          <cell r="C4" t="str">
            <v>ANA-BALA ERIDILMIS YAG_910QR*6</v>
          </cell>
          <cell r="D4" t="str">
            <v>TON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5.4599999999999996E-3</v>
          </cell>
          <cell r="AH4">
            <v>59.88</v>
          </cell>
          <cell r="AI4">
            <v>1.0919999999999999E-2</v>
          </cell>
          <cell r="AJ4">
            <v>119.76</v>
          </cell>
          <cell r="AK4">
            <v>3.64E-3</v>
          </cell>
          <cell r="AL4">
            <v>38</v>
          </cell>
          <cell r="AO4">
            <v>2.002E-2</v>
          </cell>
          <cell r="AP4">
            <v>217.64000000000001</v>
          </cell>
          <cell r="AS4">
            <v>0</v>
          </cell>
          <cell r="AT4">
            <v>0</v>
          </cell>
          <cell r="AU4">
            <v>3.6400000000000002E-2</v>
          </cell>
          <cell r="AV4">
            <v>397.28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2.7299999999999998E-3</v>
          </cell>
          <cell r="BN4">
            <v>29.94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2.7299999999999998E-3</v>
          </cell>
          <cell r="BT4">
            <v>29.94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2.7299999999999998E-3</v>
          </cell>
          <cell r="CL4">
            <v>29.94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1.0919999999999999E-2</v>
          </cell>
          <cell r="DB4">
            <v>119.76</v>
          </cell>
          <cell r="DC4">
            <v>0</v>
          </cell>
          <cell r="DD4">
            <v>0</v>
          </cell>
          <cell r="DE4">
            <v>1.0919999999999999E-2</v>
          </cell>
          <cell r="DF4">
            <v>119.76</v>
          </cell>
          <cell r="DG4">
            <v>0</v>
          </cell>
          <cell r="DH4">
            <v>0</v>
          </cell>
          <cell r="DI4">
            <v>2.7299999999999998E-3</v>
          </cell>
          <cell r="DJ4">
            <v>29.94</v>
          </cell>
          <cell r="DK4">
            <v>0</v>
          </cell>
          <cell r="DL4">
            <v>0</v>
          </cell>
          <cell r="DM4">
            <v>2.7299999999999998E-3</v>
          </cell>
          <cell r="DN4">
            <v>29.94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3.6400000000000002E-2</v>
          </cell>
          <cell r="DX4">
            <v>397.28000000000003</v>
          </cell>
          <cell r="DY4" t="str">
            <v/>
          </cell>
          <cell r="DZ4">
            <v>0</v>
          </cell>
          <cell r="EA4">
            <v>10914.285714285714</v>
          </cell>
        </row>
        <row r="5">
          <cell r="B5">
            <v>16478</v>
          </cell>
          <cell r="C5" t="str">
            <v>ANA-BALA ERIDILMIS YAG_15KQ</v>
          </cell>
          <cell r="D5" t="str">
            <v>TON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O5">
            <v>0</v>
          </cell>
          <cell r="AP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 t="str">
            <v/>
          </cell>
          <cell r="DZ5" t="str">
            <v>pasiv</v>
          </cell>
          <cell r="EA5" t="e">
            <v>#DIV/0!</v>
          </cell>
        </row>
        <row r="6">
          <cell r="B6">
            <v>57316</v>
          </cell>
          <cell r="C6" t="str">
            <v>ANA-BALA GHEE_4KQ*3_PLASTIK QAB</v>
          </cell>
          <cell r="D6" t="str">
            <v>TON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O6">
            <v>0</v>
          </cell>
          <cell r="AP6">
            <v>0</v>
          </cell>
          <cell r="AS6">
            <v>0</v>
          </cell>
          <cell r="AT6">
            <v>0</v>
          </cell>
          <cell r="AU6">
            <v>1.6E-2</v>
          </cell>
          <cell r="AV6">
            <v>129.97999999999999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1.6E-2</v>
          </cell>
          <cell r="DJ6">
            <v>129.97999999999999</v>
          </cell>
          <cell r="DK6">
            <v>0</v>
          </cell>
          <cell r="DL6">
            <v>0</v>
          </cell>
          <cell r="DM6">
            <v>1.6E-2</v>
          </cell>
          <cell r="DN6">
            <v>129.97999999999999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1.6E-2</v>
          </cell>
          <cell r="DX6">
            <v>129.97999999999999</v>
          </cell>
          <cell r="DY6" t="str">
            <v/>
          </cell>
          <cell r="DZ6">
            <v>0</v>
          </cell>
          <cell r="EA6">
            <v>8123.7499999999991</v>
          </cell>
        </row>
        <row r="7">
          <cell r="C7" t="str">
            <v>FINAL GHEE TOPLAMI</v>
          </cell>
          <cell r="D7" t="str">
            <v>TON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5.4599999999999996E-3</v>
          </cell>
          <cell r="AH7">
            <v>59.88</v>
          </cell>
          <cell r="AI7">
            <v>1.0919999999999999E-2</v>
          </cell>
          <cell r="AJ7">
            <v>119.76</v>
          </cell>
          <cell r="AK7">
            <v>3.64E-3</v>
          </cell>
          <cell r="AL7">
            <v>38</v>
          </cell>
          <cell r="AO7">
            <v>2.002E-2</v>
          </cell>
          <cell r="AP7">
            <v>217.64000000000001</v>
          </cell>
          <cell r="AS7">
            <v>0</v>
          </cell>
          <cell r="AT7">
            <v>0</v>
          </cell>
          <cell r="AU7">
            <v>5.2400000000000002E-2</v>
          </cell>
          <cell r="AV7">
            <v>527.26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2.7299999999999998E-3</v>
          </cell>
          <cell r="BN7">
            <v>29.94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2.7299999999999998E-3</v>
          </cell>
          <cell r="BT7">
            <v>29.94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2.7299999999999998E-3</v>
          </cell>
          <cell r="CL7">
            <v>29.94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1.0919999999999999E-2</v>
          </cell>
          <cell r="DB7">
            <v>119.76</v>
          </cell>
          <cell r="DC7">
            <v>0</v>
          </cell>
          <cell r="DD7">
            <v>0</v>
          </cell>
          <cell r="DE7">
            <v>1.0919999999999999E-2</v>
          </cell>
          <cell r="DF7">
            <v>119.76</v>
          </cell>
          <cell r="DG7">
            <v>0</v>
          </cell>
          <cell r="DH7">
            <v>0</v>
          </cell>
          <cell r="DI7">
            <v>1.873E-2</v>
          </cell>
          <cell r="DJ7">
            <v>159.91999999999999</v>
          </cell>
          <cell r="DK7">
            <v>0</v>
          </cell>
          <cell r="DL7">
            <v>0</v>
          </cell>
          <cell r="DM7">
            <v>1.873E-2</v>
          </cell>
          <cell r="DN7">
            <v>159.91999999999999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5.2400000000000002E-2</v>
          </cell>
          <cell r="DX7">
            <v>527.26</v>
          </cell>
          <cell r="DY7" t="str">
            <v/>
          </cell>
          <cell r="DZ7">
            <v>0</v>
          </cell>
          <cell r="EA7">
            <v>10062.213740458015</v>
          </cell>
        </row>
        <row r="8">
          <cell r="B8">
            <v>307396</v>
          </cell>
          <cell r="C8" t="str">
            <v>მც.ცხ-ანა ბალა-0.8კგ*12-პლასტ.ქილ</v>
          </cell>
          <cell r="D8" t="str">
            <v>TON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7.1999999999999998E-3</v>
          </cell>
          <cell r="AH8">
            <v>75.52</v>
          </cell>
          <cell r="AI8">
            <v>0</v>
          </cell>
          <cell r="AJ8">
            <v>0</v>
          </cell>
          <cell r="AK8">
            <v>8.0000000000000002E-3</v>
          </cell>
          <cell r="AL8">
            <v>76.47</v>
          </cell>
          <cell r="AO8">
            <v>1.52E-2</v>
          </cell>
          <cell r="AP8">
            <v>151.99</v>
          </cell>
          <cell r="AS8">
            <v>0</v>
          </cell>
          <cell r="AT8">
            <v>0</v>
          </cell>
          <cell r="AU8">
            <v>0.1192</v>
          </cell>
          <cell r="AV8">
            <v>1242.95</v>
          </cell>
          <cell r="AW8">
            <v>0</v>
          </cell>
          <cell r="AX8">
            <v>0</v>
          </cell>
          <cell r="AY8">
            <v>7.1999999999999998E-3</v>
          </cell>
          <cell r="AZ8">
            <v>77.489999999999995</v>
          </cell>
          <cell r="BA8">
            <v>0</v>
          </cell>
          <cell r="BB8">
            <v>0</v>
          </cell>
          <cell r="BC8">
            <v>4.7999999999999996E-3</v>
          </cell>
          <cell r="BD8">
            <v>51.66</v>
          </cell>
          <cell r="BE8">
            <v>1.2E-2</v>
          </cell>
          <cell r="BF8">
            <v>129.14999999999998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4.7999999999999996E-3</v>
          </cell>
          <cell r="BL8">
            <v>43.65</v>
          </cell>
          <cell r="BM8">
            <v>2.3999999999999998E-3</v>
          </cell>
          <cell r="BN8">
            <v>25.17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7.1999999999999998E-3</v>
          </cell>
          <cell r="BT8">
            <v>68.819999999999993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7.1999999999999998E-3</v>
          </cell>
          <cell r="CL8">
            <v>68.819999999999993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4.3999999999999997E-2</v>
          </cell>
          <cell r="CV8">
            <v>464.48</v>
          </cell>
          <cell r="CW8">
            <v>0</v>
          </cell>
          <cell r="CX8">
            <v>0</v>
          </cell>
          <cell r="CY8">
            <v>1.9199999999999998E-2</v>
          </cell>
          <cell r="CZ8">
            <v>206.64</v>
          </cell>
          <cell r="DA8">
            <v>5.5999999999999999E-3</v>
          </cell>
          <cell r="DB8">
            <v>60.27</v>
          </cell>
          <cell r="DC8">
            <v>9.5999999999999992E-3</v>
          </cell>
          <cell r="DD8">
            <v>95.93</v>
          </cell>
          <cell r="DE8">
            <v>3.44E-2</v>
          </cell>
          <cell r="DF8">
            <v>362.84</v>
          </cell>
          <cell r="DG8">
            <v>4.0000000000000001E-3</v>
          </cell>
          <cell r="DH8">
            <v>43.05</v>
          </cell>
          <cell r="DI8">
            <v>1.6000000000000001E-3</v>
          </cell>
          <cell r="DJ8">
            <v>17.22</v>
          </cell>
          <cell r="DK8">
            <v>8.0000000000000004E-4</v>
          </cell>
          <cell r="DL8">
            <v>5.4</v>
          </cell>
          <cell r="DM8">
            <v>6.4000000000000003E-3</v>
          </cell>
          <cell r="DN8">
            <v>65.67</v>
          </cell>
          <cell r="DO8">
            <v>1.12E-2</v>
          </cell>
          <cell r="DP8">
            <v>120.54</v>
          </cell>
          <cell r="DQ8">
            <v>8.8000000000000005E-3</v>
          </cell>
          <cell r="DR8">
            <v>85.64</v>
          </cell>
          <cell r="DS8">
            <v>2.4E-2</v>
          </cell>
          <cell r="DT8">
            <v>258.3</v>
          </cell>
          <cell r="DU8">
            <v>4.3999999999999997E-2</v>
          </cell>
          <cell r="DV8">
            <v>464.48</v>
          </cell>
          <cell r="DW8">
            <v>0.1192</v>
          </cell>
          <cell r="DX8">
            <v>1242.95</v>
          </cell>
          <cell r="DY8" t="str">
            <v/>
          </cell>
          <cell r="DZ8">
            <v>0</v>
          </cell>
          <cell r="EA8">
            <v>10427.432885906041</v>
          </cell>
        </row>
        <row r="9">
          <cell r="A9">
            <v>1</v>
          </cell>
          <cell r="B9">
            <v>273226</v>
          </cell>
          <cell r="C9" t="str">
            <v>მც.ცხ.-ანა ბალა-0.910კგ თუნ_12ც+1ც</v>
          </cell>
          <cell r="D9" t="str">
            <v>TON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O9">
            <v>0</v>
          </cell>
          <cell r="AP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 t="str">
            <v>Hedef</v>
          </cell>
          <cell r="DZ9" t="str">
            <v>pasiv</v>
          </cell>
          <cell r="EA9" t="e">
            <v>#DIV/0!</v>
          </cell>
        </row>
        <row r="10">
          <cell r="B10">
            <v>117495</v>
          </cell>
          <cell r="C10" t="str">
            <v>TEKSUN ERIDILMIS YAG_1.745KQ*6</v>
          </cell>
          <cell r="D10" t="str">
            <v>TON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O10">
            <v>0</v>
          </cell>
          <cell r="AP10">
            <v>0</v>
          </cell>
          <cell r="AS10">
            <v>0</v>
          </cell>
          <cell r="AT10">
            <v>0</v>
          </cell>
          <cell r="AU10">
            <v>3.6644999999999997E-2</v>
          </cell>
          <cell r="AV10">
            <v>366.03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1.047E-2</v>
          </cell>
          <cell r="CZ10">
            <v>104.58</v>
          </cell>
          <cell r="DA10">
            <v>2.6175E-2</v>
          </cell>
          <cell r="DB10">
            <v>261.45</v>
          </cell>
          <cell r="DC10">
            <v>0</v>
          </cell>
          <cell r="DD10">
            <v>0</v>
          </cell>
          <cell r="DE10">
            <v>3.6644999999999997E-2</v>
          </cell>
          <cell r="DF10">
            <v>366.03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3.6644999999999997E-2</v>
          </cell>
          <cell r="DX10">
            <v>366.03</v>
          </cell>
          <cell r="DY10" t="str">
            <v/>
          </cell>
          <cell r="DZ10">
            <v>0</v>
          </cell>
          <cell r="EA10">
            <v>9988.5386819484247</v>
          </cell>
        </row>
        <row r="11">
          <cell r="A11">
            <v>1</v>
          </cell>
          <cell r="B11">
            <v>345687</v>
          </cell>
          <cell r="C11" t="str">
            <v>მც.ცხ-კრისტიანსკოე-0.8კგ*12</v>
          </cell>
          <cell r="D11" t="str">
            <v>TON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O11">
            <v>0</v>
          </cell>
          <cell r="AP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 t="str">
            <v>Hedef</v>
          </cell>
          <cell r="DZ11" t="str">
            <v>pasiv</v>
          </cell>
          <cell r="EA11" t="e">
            <v>#DIV/0!</v>
          </cell>
        </row>
        <row r="12">
          <cell r="A12">
            <v>1</v>
          </cell>
          <cell r="B12">
            <v>347307</v>
          </cell>
          <cell r="C12" t="str">
            <v>მც.ცხ-კრისტიანსკოე_1.6კგ*6</v>
          </cell>
          <cell r="D12" t="str">
            <v>TON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O12">
            <v>0</v>
          </cell>
          <cell r="AP12">
            <v>0</v>
          </cell>
          <cell r="AS12">
            <v>0</v>
          </cell>
          <cell r="AT12">
            <v>0</v>
          </cell>
          <cell r="AU12">
            <v>-1.6000000000000001E-3</v>
          </cell>
          <cell r="AV12">
            <v>-19.350000000000001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-1.6000000000000001E-3</v>
          </cell>
          <cell r="BD12">
            <v>-19.350000000000001</v>
          </cell>
          <cell r="BE12">
            <v>-1.6000000000000001E-3</v>
          </cell>
          <cell r="BF12">
            <v>-19.350000000000001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-1.6000000000000001E-3</v>
          </cell>
          <cell r="DX12">
            <v>-19.350000000000001</v>
          </cell>
          <cell r="DY12" t="str">
            <v>Hedef</v>
          </cell>
          <cell r="DZ12">
            <v>0</v>
          </cell>
          <cell r="EA12">
            <v>12093.75</v>
          </cell>
        </row>
        <row r="13">
          <cell r="A13">
            <v>1</v>
          </cell>
          <cell r="B13">
            <v>273295</v>
          </cell>
          <cell r="C13" t="str">
            <v>მც.ცხ."ანა ბალა 4კგ_პლასტ.ქილ_12ც+1ც</v>
          </cell>
          <cell r="D13" t="str">
            <v>TON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0.156</v>
          </cell>
          <cell r="T13">
            <v>1287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0.156</v>
          </cell>
          <cell r="Z13">
            <v>1287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O13">
            <v>0</v>
          </cell>
          <cell r="AP13">
            <v>0</v>
          </cell>
          <cell r="AS13">
            <v>0</v>
          </cell>
          <cell r="AT13">
            <v>0</v>
          </cell>
          <cell r="AU13">
            <v>0.156</v>
          </cell>
          <cell r="AV13">
            <v>1287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0.156</v>
          </cell>
          <cell r="DX13">
            <v>1287</v>
          </cell>
          <cell r="DY13" t="str">
            <v>Hedef</v>
          </cell>
          <cell r="DZ13">
            <v>0</v>
          </cell>
          <cell r="EA13">
            <v>8250</v>
          </cell>
        </row>
        <row r="14">
          <cell r="A14">
            <v>1</v>
          </cell>
          <cell r="B14">
            <v>273318</v>
          </cell>
          <cell r="C14" t="str">
            <v>მც.ცხ.ტექს.910გრ_12ც+1ც</v>
          </cell>
          <cell r="D14" t="str">
            <v>TON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O14">
            <v>0</v>
          </cell>
          <cell r="P14">
            <v>0</v>
          </cell>
          <cell r="Q14">
            <v>0.16561999999999999</v>
          </cell>
          <cell r="R14">
            <v>1383.3</v>
          </cell>
          <cell r="S14">
            <v>8.2809999999999995E-2</v>
          </cell>
          <cell r="T14">
            <v>705.75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0.24842999999999998</v>
          </cell>
          <cell r="Z14">
            <v>2089.0500000000002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1.183E-2</v>
          </cell>
          <cell r="AJ14">
            <v>104.4</v>
          </cell>
          <cell r="AK14">
            <v>0</v>
          </cell>
          <cell r="AL14">
            <v>0</v>
          </cell>
          <cell r="AO14">
            <v>1.183E-2</v>
          </cell>
          <cell r="AP14">
            <v>104.4</v>
          </cell>
          <cell r="AS14">
            <v>0</v>
          </cell>
          <cell r="AT14">
            <v>0</v>
          </cell>
          <cell r="AU14">
            <v>0.41404999999999997</v>
          </cell>
          <cell r="AV14">
            <v>3547.52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1.183E-2</v>
          </cell>
          <cell r="BD14">
            <v>101.27</v>
          </cell>
          <cell r="BE14">
            <v>1.183E-2</v>
          </cell>
          <cell r="BF14">
            <v>101.27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0.14196</v>
          </cell>
          <cell r="CV14">
            <v>1252.8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0.14196</v>
          </cell>
          <cell r="DT14">
            <v>1252.8</v>
          </cell>
          <cell r="DU14">
            <v>0.14196</v>
          </cell>
          <cell r="DV14">
            <v>1252.8</v>
          </cell>
          <cell r="DW14">
            <v>0.41405000000000003</v>
          </cell>
          <cell r="DX14">
            <v>3547.5200000000004</v>
          </cell>
          <cell r="DY14" t="str">
            <v>Hedef</v>
          </cell>
          <cell r="DZ14">
            <v>0</v>
          </cell>
          <cell r="EA14">
            <v>8567.8541238980797</v>
          </cell>
        </row>
        <row r="15">
          <cell r="A15">
            <v>1</v>
          </cell>
          <cell r="B15">
            <v>273319</v>
          </cell>
          <cell r="C15" t="str">
            <v>მც.ცხ.ტექსუნი-1.745კგ_12ც+1ც</v>
          </cell>
          <cell r="D15" t="str">
            <v>TON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O15">
            <v>0</v>
          </cell>
          <cell r="P15">
            <v>0</v>
          </cell>
          <cell r="Q15">
            <v>0.22685</v>
          </cell>
          <cell r="R15">
            <v>1872.48</v>
          </cell>
          <cell r="S15">
            <v>2.2685E-2</v>
          </cell>
          <cell r="T15">
            <v>191.23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0.24953500000000001</v>
          </cell>
          <cell r="Z15">
            <v>2063.71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O15">
            <v>0</v>
          </cell>
          <cell r="AP15">
            <v>0</v>
          </cell>
          <cell r="AS15">
            <v>0</v>
          </cell>
          <cell r="AT15">
            <v>0</v>
          </cell>
          <cell r="AU15">
            <v>0.29490499999999997</v>
          </cell>
          <cell r="AV15">
            <v>2429.73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2.2685E-2</v>
          </cell>
          <cell r="BD15">
            <v>193.22</v>
          </cell>
          <cell r="BE15">
            <v>2.2685E-2</v>
          </cell>
          <cell r="BF15">
            <v>193.22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2.2685E-2</v>
          </cell>
          <cell r="DH15">
            <v>172.8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2.2685E-2</v>
          </cell>
          <cell r="DN15">
            <v>172.8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0.29490500000000003</v>
          </cell>
          <cell r="DX15">
            <v>2429.73</v>
          </cell>
          <cell r="DY15" t="str">
            <v>Hedef</v>
          </cell>
          <cell r="DZ15">
            <v>0</v>
          </cell>
          <cell r="EA15">
            <v>8239.0261270578649</v>
          </cell>
        </row>
        <row r="16">
          <cell r="A16">
            <v>1</v>
          </cell>
          <cell r="B16">
            <v>275149</v>
          </cell>
          <cell r="C16" t="str">
            <v>მც.ცხ.-ანა ბალა-15კგ_12ც+1ც</v>
          </cell>
          <cell r="D16" t="str">
            <v>TON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O16">
            <v>0</v>
          </cell>
          <cell r="AP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 t="str">
            <v>Hedef</v>
          </cell>
          <cell r="DZ16" t="str">
            <v>pasiv</v>
          </cell>
          <cell r="EA16" t="e">
            <v>#DIV/0!</v>
          </cell>
        </row>
        <row r="17">
          <cell r="B17">
            <v>358981</v>
          </cell>
          <cell r="C17" t="str">
            <v>მც.ცხ-კრისტიანსკოე_1.6კგ_12ც+1ც</v>
          </cell>
          <cell r="D17" t="str">
            <v>TON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4.1599999999999998E-2</v>
          </cell>
          <cell r="T17">
            <v>319.2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4.1599999999999998E-2</v>
          </cell>
          <cell r="Z17">
            <v>319.2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O17">
            <v>0</v>
          </cell>
          <cell r="AP17">
            <v>0</v>
          </cell>
          <cell r="AS17">
            <v>0</v>
          </cell>
          <cell r="AT17">
            <v>0</v>
          </cell>
          <cell r="AU17">
            <v>0.104</v>
          </cell>
          <cell r="AV17">
            <v>799.34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6.2399999999999997E-2</v>
          </cell>
          <cell r="DH17">
            <v>480.14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6.2399999999999997E-2</v>
          </cell>
          <cell r="DN17">
            <v>480.14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0.104</v>
          </cell>
          <cell r="DX17">
            <v>799.33999999999992</v>
          </cell>
          <cell r="DY17" t="str">
            <v/>
          </cell>
          <cell r="DZ17">
            <v>0</v>
          </cell>
          <cell r="EA17">
            <v>7685.9615384615381</v>
          </cell>
        </row>
        <row r="18">
          <cell r="B18">
            <v>358800</v>
          </cell>
          <cell r="C18" t="str">
            <v>მც.ცხ-კრისტიანსკოე-0.8კგ_12ც+1ც</v>
          </cell>
          <cell r="D18" t="str">
            <v>TON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2.0799999999999999E-2</v>
          </cell>
          <cell r="T18">
            <v>173.7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2.0799999999999999E-2</v>
          </cell>
          <cell r="Z18">
            <v>173.7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O18">
            <v>0</v>
          </cell>
          <cell r="AP18">
            <v>0</v>
          </cell>
          <cell r="AS18">
            <v>0</v>
          </cell>
          <cell r="AT18">
            <v>0</v>
          </cell>
          <cell r="AU18">
            <v>5.1999999999999998E-2</v>
          </cell>
          <cell r="AV18">
            <v>413.46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3.1199999999999999E-2</v>
          </cell>
          <cell r="DH18">
            <v>239.76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3.1199999999999999E-2</v>
          </cell>
          <cell r="DN18">
            <v>239.76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5.1999999999999998E-2</v>
          </cell>
          <cell r="DX18">
            <v>413.46</v>
          </cell>
          <cell r="DY18" t="str">
            <v/>
          </cell>
          <cell r="DZ18">
            <v>0</v>
          </cell>
          <cell r="EA18">
            <v>7951.1538461538457</v>
          </cell>
        </row>
        <row r="19">
          <cell r="B19">
            <v>307404</v>
          </cell>
          <cell r="C19" t="str">
            <v>მც.ცხ.-ანა ბალა-(1.745კგ*6)პლასტ.ქილ</v>
          </cell>
          <cell r="D19" t="str">
            <v>TON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5.2350000000000001E-3</v>
          </cell>
          <cell r="AL19">
            <v>52.29</v>
          </cell>
          <cell r="AO19">
            <v>5.2350000000000001E-3</v>
          </cell>
          <cell r="AP19">
            <v>52.29</v>
          </cell>
          <cell r="AS19">
            <v>0</v>
          </cell>
          <cell r="AT19">
            <v>0</v>
          </cell>
          <cell r="AU19">
            <v>6.8055000000000004E-2</v>
          </cell>
          <cell r="AV19">
            <v>679.77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4.1880000000000001E-2</v>
          </cell>
          <cell r="CZ19">
            <v>418.32</v>
          </cell>
          <cell r="DA19">
            <v>2.094E-2</v>
          </cell>
          <cell r="DB19">
            <v>209.16</v>
          </cell>
          <cell r="DC19">
            <v>0</v>
          </cell>
          <cell r="DD19">
            <v>0</v>
          </cell>
          <cell r="DE19">
            <v>6.2820000000000001E-2</v>
          </cell>
          <cell r="DF19">
            <v>627.48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6.8055000000000004E-2</v>
          </cell>
          <cell r="DX19">
            <v>679.77</v>
          </cell>
          <cell r="DY19" t="str">
            <v/>
          </cell>
          <cell r="DZ19">
            <v>0</v>
          </cell>
          <cell r="EA19">
            <v>9988.5386819484229</v>
          </cell>
        </row>
        <row r="20">
          <cell r="B20">
            <v>318434</v>
          </cell>
          <cell r="C20" t="str">
            <v>მც.ცხ-ანა ბალა-0.8კგ_12ც+1ც</v>
          </cell>
          <cell r="D20" t="str">
            <v>TON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1.04E-2</v>
          </cell>
          <cell r="T20">
            <v>95.45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1.04E-2</v>
          </cell>
          <cell r="Z20">
            <v>95.45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1.04E-2</v>
          </cell>
          <cell r="AJ20">
            <v>95.45</v>
          </cell>
          <cell r="AK20">
            <v>0</v>
          </cell>
          <cell r="AL20">
            <v>0</v>
          </cell>
          <cell r="AO20">
            <v>1.04E-2</v>
          </cell>
          <cell r="AP20">
            <v>95.45</v>
          </cell>
          <cell r="AS20">
            <v>0</v>
          </cell>
          <cell r="AT20">
            <v>0</v>
          </cell>
          <cell r="AU20">
            <v>0.38479999999999998</v>
          </cell>
          <cell r="AV20">
            <v>3455.06</v>
          </cell>
          <cell r="AW20">
            <v>0</v>
          </cell>
          <cell r="AX20">
            <v>0</v>
          </cell>
          <cell r="AY20">
            <v>1.04E-2</v>
          </cell>
          <cell r="AZ20">
            <v>94.46</v>
          </cell>
          <cell r="BA20">
            <v>0</v>
          </cell>
          <cell r="BB20">
            <v>0</v>
          </cell>
          <cell r="BC20">
            <v>5.1999999999999998E-2</v>
          </cell>
          <cell r="BD20">
            <v>480.19</v>
          </cell>
          <cell r="BE20">
            <v>6.2399999999999997E-2</v>
          </cell>
          <cell r="BF20">
            <v>574.65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0.14560000000000001</v>
          </cell>
          <cell r="CV20">
            <v>1365.26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0.14560000000000001</v>
          </cell>
          <cell r="DH20">
            <v>1228.8</v>
          </cell>
          <cell r="DI20">
            <v>0</v>
          </cell>
          <cell r="DJ20">
            <v>0</v>
          </cell>
          <cell r="DK20">
            <v>1.04E-2</v>
          </cell>
          <cell r="DL20">
            <v>95.45</v>
          </cell>
          <cell r="DM20">
            <v>0.156</v>
          </cell>
          <cell r="DN20">
            <v>1324.25</v>
          </cell>
          <cell r="DO20">
            <v>1.04E-2</v>
          </cell>
          <cell r="DP20">
            <v>90</v>
          </cell>
          <cell r="DQ20">
            <v>1.04E-2</v>
          </cell>
          <cell r="DR20">
            <v>94.46</v>
          </cell>
          <cell r="DS20">
            <v>0.12479999999999999</v>
          </cell>
          <cell r="DT20">
            <v>1180.8</v>
          </cell>
          <cell r="DU20">
            <v>0.14560000000000001</v>
          </cell>
          <cell r="DV20">
            <v>1365.26</v>
          </cell>
          <cell r="DW20">
            <v>0.38480000000000003</v>
          </cell>
          <cell r="DX20">
            <v>3455.06</v>
          </cell>
          <cell r="DY20" t="str">
            <v/>
          </cell>
          <cell r="DZ20">
            <v>0</v>
          </cell>
          <cell r="EA20">
            <v>8978.8461538461524</v>
          </cell>
        </row>
        <row r="21">
          <cell r="B21">
            <v>318685</v>
          </cell>
          <cell r="C21" t="str">
            <v>მც.ცხ.-ანა ბალა-1.745კგ-პლასტ-12ც+1ც</v>
          </cell>
          <cell r="D21" t="str">
            <v>TON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O21">
            <v>0</v>
          </cell>
          <cell r="P21">
            <v>0</v>
          </cell>
          <cell r="Q21">
            <v>2.2685E-2</v>
          </cell>
          <cell r="R21">
            <v>191.23</v>
          </cell>
          <cell r="S21">
            <v>9.0740000000000001E-2</v>
          </cell>
          <cell r="T21">
            <v>764.92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0.113425</v>
          </cell>
          <cell r="Z21">
            <v>956.15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O21">
            <v>0</v>
          </cell>
          <cell r="AP21">
            <v>0</v>
          </cell>
          <cell r="AS21">
            <v>0</v>
          </cell>
          <cell r="AT21">
            <v>0</v>
          </cell>
          <cell r="AU21">
            <v>0.34027499999999999</v>
          </cell>
          <cell r="AV21">
            <v>2728.98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2.2685E-2</v>
          </cell>
          <cell r="CV21">
            <v>191.23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0.20416500000000001</v>
          </cell>
          <cell r="DH21">
            <v>1581.6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0.20416500000000001</v>
          </cell>
          <cell r="DN21">
            <v>1581.6</v>
          </cell>
          <cell r="DO21">
            <v>0</v>
          </cell>
          <cell r="DP21">
            <v>0</v>
          </cell>
          <cell r="DQ21">
            <v>2.2685E-2</v>
          </cell>
          <cell r="DR21">
            <v>191.23</v>
          </cell>
          <cell r="DS21">
            <v>0</v>
          </cell>
          <cell r="DT21">
            <v>0</v>
          </cell>
          <cell r="DU21">
            <v>2.2685E-2</v>
          </cell>
          <cell r="DV21">
            <v>191.23</v>
          </cell>
          <cell r="DW21">
            <v>0.34027499999999999</v>
          </cell>
          <cell r="DX21">
            <v>2728.98</v>
          </cell>
          <cell r="DY21" t="str">
            <v/>
          </cell>
          <cell r="DZ21">
            <v>0</v>
          </cell>
          <cell r="EA21">
            <v>8019.9250606127398</v>
          </cell>
        </row>
        <row r="22">
          <cell r="B22">
            <v>117494</v>
          </cell>
          <cell r="C22" t="str">
            <v>TEKSUN ERIDILMIS YAG_910QR*6</v>
          </cell>
          <cell r="D22" t="str">
            <v>TON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1.82E-3</v>
          </cell>
          <cell r="AD22">
            <v>18.28</v>
          </cell>
          <cell r="AE22">
            <v>0</v>
          </cell>
          <cell r="AF22">
            <v>0</v>
          </cell>
          <cell r="AG22">
            <v>2.7299999999999998E-3</v>
          </cell>
          <cell r="AH22">
            <v>25.32</v>
          </cell>
          <cell r="AI22">
            <v>0</v>
          </cell>
          <cell r="AJ22">
            <v>0</v>
          </cell>
          <cell r="AK22">
            <v>2.4570000000000002E-2</v>
          </cell>
          <cell r="AL22">
            <v>241.5</v>
          </cell>
          <cell r="AO22">
            <v>2.912E-2</v>
          </cell>
          <cell r="AP22">
            <v>285.10000000000002</v>
          </cell>
          <cell r="AS22">
            <v>0</v>
          </cell>
          <cell r="AT22">
            <v>0</v>
          </cell>
          <cell r="AU22">
            <v>0.28847</v>
          </cell>
          <cell r="AV22">
            <v>2878.28</v>
          </cell>
          <cell r="AW22">
            <v>0</v>
          </cell>
          <cell r="AX22">
            <v>0</v>
          </cell>
          <cell r="AY22">
            <v>1.82E-3</v>
          </cell>
          <cell r="AZ22">
            <v>17.399999999999999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1.82E-3</v>
          </cell>
          <cell r="BF22">
            <v>17.399999999999999</v>
          </cell>
          <cell r="BG22">
            <v>5.4599999999999996E-3</v>
          </cell>
          <cell r="BH22">
            <v>54.84</v>
          </cell>
          <cell r="BI22">
            <v>1.5469999999999999E-2</v>
          </cell>
          <cell r="BJ22">
            <v>153.97999999999999</v>
          </cell>
          <cell r="BK22">
            <v>1.0919999999999999E-2</v>
          </cell>
          <cell r="BL22">
            <v>109.68</v>
          </cell>
          <cell r="BM22">
            <v>1.0919999999999999E-2</v>
          </cell>
          <cell r="BN22">
            <v>100.24</v>
          </cell>
          <cell r="BO22">
            <v>5.4599999999999996E-3</v>
          </cell>
          <cell r="BP22">
            <v>54.84</v>
          </cell>
          <cell r="BQ22">
            <v>0</v>
          </cell>
          <cell r="BR22">
            <v>0</v>
          </cell>
          <cell r="BS22">
            <v>4.8230000000000002E-2</v>
          </cell>
          <cell r="BT22">
            <v>473.58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5.0959999999999998E-2</v>
          </cell>
          <cell r="CB22">
            <v>511.84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5.0959999999999998E-2</v>
          </cell>
          <cell r="CJ22">
            <v>511.84</v>
          </cell>
          <cell r="CK22">
            <v>9.919E-2</v>
          </cell>
          <cell r="CL22">
            <v>985.42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7.3709999999999998E-2</v>
          </cell>
          <cell r="CV22">
            <v>740.34</v>
          </cell>
          <cell r="CW22">
            <v>0</v>
          </cell>
          <cell r="CX22">
            <v>0</v>
          </cell>
          <cell r="CY22">
            <v>1.0919999999999999E-2</v>
          </cell>
          <cell r="CZ22">
            <v>109.68</v>
          </cell>
          <cell r="DA22">
            <v>3.0939999999999999E-2</v>
          </cell>
          <cell r="DB22">
            <v>310.76</v>
          </cell>
          <cell r="DC22">
            <v>2.7299999999999998E-3</v>
          </cell>
          <cell r="DD22">
            <v>27.42</v>
          </cell>
          <cell r="DE22">
            <v>4.4589999999999991E-2</v>
          </cell>
          <cell r="DF22">
            <v>447.86</v>
          </cell>
          <cell r="DG22">
            <v>2.1839999999999998E-2</v>
          </cell>
          <cell r="DH22">
            <v>219.36</v>
          </cell>
          <cell r="DI22">
            <v>1.8200000000000001E-2</v>
          </cell>
          <cell r="DJ22">
            <v>182.8</v>
          </cell>
          <cell r="DK22">
            <v>0</v>
          </cell>
          <cell r="DL22">
            <v>0</v>
          </cell>
          <cell r="DM22">
            <v>4.0039999999999999E-2</v>
          </cell>
          <cell r="DN22">
            <v>402.16</v>
          </cell>
          <cell r="DO22">
            <v>1.6379999999999999E-2</v>
          </cell>
          <cell r="DP22">
            <v>164.52</v>
          </cell>
          <cell r="DQ22">
            <v>5.4599999999999996E-3</v>
          </cell>
          <cell r="DR22">
            <v>54.84</v>
          </cell>
          <cell r="DS22">
            <v>5.1869999999999999E-2</v>
          </cell>
          <cell r="DT22">
            <v>520.98</v>
          </cell>
          <cell r="DU22">
            <v>7.3709999999999998E-2</v>
          </cell>
          <cell r="DV22">
            <v>740.34</v>
          </cell>
          <cell r="DW22">
            <v>0.28846999999999995</v>
          </cell>
          <cell r="DX22">
            <v>2878.28</v>
          </cell>
          <cell r="DY22" t="str">
            <v/>
          </cell>
          <cell r="DZ22">
            <v>0</v>
          </cell>
          <cell r="EA22">
            <v>9977.7446528235196</v>
          </cell>
        </row>
        <row r="23">
          <cell r="B23">
            <v>238758</v>
          </cell>
          <cell r="C23" t="str">
            <v>მც.ცხ.ტექსუნი-14-კგ</v>
          </cell>
          <cell r="D23" t="str">
            <v>TON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O23">
            <v>0</v>
          </cell>
          <cell r="AP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 t="str">
            <v/>
          </cell>
          <cell r="DZ23" t="str">
            <v>pasiv</v>
          </cell>
          <cell r="EA23" t="e">
            <v>#DIV/0!</v>
          </cell>
        </row>
        <row r="24">
          <cell r="B24">
            <v>252574</v>
          </cell>
          <cell r="C24" t="str">
            <v>მც.ცხიმი კრისტიანსკოე_0.910კგ*12_პლასტ</v>
          </cell>
          <cell r="D24" t="str">
            <v>TON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O24">
            <v>0</v>
          </cell>
          <cell r="AP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 t="str">
            <v/>
          </cell>
          <cell r="DZ24" t="str">
            <v>pasiv</v>
          </cell>
          <cell r="EA24" t="e">
            <v>#DIV/0!</v>
          </cell>
        </row>
        <row r="25">
          <cell r="A25">
            <v>1</v>
          </cell>
          <cell r="B25">
            <v>275581</v>
          </cell>
          <cell r="C25" t="str">
            <v>მც.ცხ.ტექსუნი-3.8კგ-პლასტ_12ც+1ც</v>
          </cell>
          <cell r="D25" t="str">
            <v>TON</v>
          </cell>
          <cell r="E25">
            <v>0</v>
          </cell>
          <cell r="F25">
            <v>0</v>
          </cell>
          <cell r="G25">
            <v>4.9399999999999999E-2</v>
          </cell>
          <cell r="H25">
            <v>401.58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O25">
            <v>4.9399999999999999E-2</v>
          </cell>
          <cell r="P25">
            <v>401.58</v>
          </cell>
          <cell r="Q25">
            <v>0</v>
          </cell>
          <cell r="R25">
            <v>0</v>
          </cell>
          <cell r="S25">
            <v>4.9399999999999999E-2</v>
          </cell>
          <cell r="T25">
            <v>389.16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4.9399999999999999E-2</v>
          </cell>
          <cell r="Z25">
            <v>389.16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O25">
            <v>0</v>
          </cell>
          <cell r="AP25">
            <v>0</v>
          </cell>
          <cell r="AS25">
            <v>0</v>
          </cell>
          <cell r="AT25">
            <v>0</v>
          </cell>
          <cell r="AU25">
            <v>9.8799999999999999E-2</v>
          </cell>
          <cell r="AV25">
            <v>790.74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9.8799999999999999E-2</v>
          </cell>
          <cell r="DX25">
            <v>790.74</v>
          </cell>
          <cell r="DY25" t="str">
            <v>Hedef</v>
          </cell>
          <cell r="DZ25">
            <v>0</v>
          </cell>
          <cell r="EA25">
            <v>8003.4412955465586</v>
          </cell>
        </row>
        <row r="26">
          <cell r="B26">
            <v>238889</v>
          </cell>
          <cell r="C26" t="str">
            <v>მც.ცხ.ტექსუნი-3.8კგ*3-პლასტ</v>
          </cell>
          <cell r="D26" t="str">
            <v>TON</v>
          </cell>
          <cell r="E26">
            <v>0</v>
          </cell>
          <cell r="F26">
            <v>0</v>
          </cell>
          <cell r="G26">
            <v>8.3599999999999994E-2</v>
          </cell>
          <cell r="H26">
            <v>674.34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O26">
            <v>8.3599999999999994E-2</v>
          </cell>
          <cell r="P26">
            <v>674.34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O26">
            <v>0</v>
          </cell>
          <cell r="AP26">
            <v>0</v>
          </cell>
          <cell r="AS26">
            <v>0</v>
          </cell>
          <cell r="AT26">
            <v>0</v>
          </cell>
          <cell r="AU26">
            <v>9.5000000000000001E-2</v>
          </cell>
          <cell r="AV26">
            <v>777.84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1.14E-2</v>
          </cell>
          <cell r="BP26">
            <v>103.5</v>
          </cell>
          <cell r="BQ26">
            <v>0</v>
          </cell>
          <cell r="BR26">
            <v>0</v>
          </cell>
          <cell r="BS26">
            <v>1.14E-2</v>
          </cell>
          <cell r="BT26">
            <v>103.5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1.14E-2</v>
          </cell>
          <cell r="CL26">
            <v>103.5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9.5000000000000001E-2</v>
          </cell>
          <cell r="DX26">
            <v>777.84</v>
          </cell>
          <cell r="DY26" t="str">
            <v/>
          </cell>
          <cell r="DZ26">
            <v>0</v>
          </cell>
          <cell r="EA26">
            <v>8187.7894736842109</v>
          </cell>
        </row>
        <row r="27">
          <cell r="B27">
            <v>117507</v>
          </cell>
          <cell r="C27" t="str">
            <v>მც.ცხ.სუპერ სას-4კგ*4</v>
          </cell>
          <cell r="D27" t="str">
            <v>TON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O27">
            <v>0</v>
          </cell>
          <cell r="AP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 t="str">
            <v/>
          </cell>
          <cell r="DZ27" t="str">
            <v>pasiv</v>
          </cell>
          <cell r="EA27" t="e">
            <v>#DIV/0!</v>
          </cell>
        </row>
        <row r="28">
          <cell r="B28">
            <v>117506</v>
          </cell>
          <cell r="C28" t="str">
            <v>S.SUN ERIDILMIS YAG_1.745KQ*6</v>
          </cell>
          <cell r="D28" t="str">
            <v>TON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O28">
            <v>0</v>
          </cell>
          <cell r="AP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 t="str">
            <v/>
          </cell>
          <cell r="DZ28" t="str">
            <v>pasiv</v>
          </cell>
          <cell r="EA28" t="e">
            <v>#DIV/0!</v>
          </cell>
        </row>
        <row r="29">
          <cell r="B29">
            <v>0</v>
          </cell>
          <cell r="C29" t="str">
            <v>TEKSUN GHEE TOPLAMI</v>
          </cell>
          <cell r="D29" t="str">
            <v>TON</v>
          </cell>
          <cell r="E29">
            <v>0</v>
          </cell>
          <cell r="F29">
            <v>0</v>
          </cell>
          <cell r="G29">
            <v>0.13300000000000001</v>
          </cell>
          <cell r="H29">
            <v>1075.92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O29">
            <v>0.13300000000000001</v>
          </cell>
          <cell r="P29">
            <v>1075.92</v>
          </cell>
          <cell r="Q29">
            <v>0.415155</v>
          </cell>
          <cell r="R29">
            <v>3447.0099999999998</v>
          </cell>
          <cell r="S29">
            <v>0.474435</v>
          </cell>
          <cell r="T29">
            <v>3926.4099999999994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0.88958999999999988</v>
          </cell>
          <cell r="Z29">
            <v>7373.4199999999992</v>
          </cell>
          <cell r="AA29">
            <v>0</v>
          </cell>
          <cell r="AB29">
            <v>0</v>
          </cell>
          <cell r="AC29">
            <v>1.82E-3</v>
          </cell>
          <cell r="AD29">
            <v>18.28</v>
          </cell>
          <cell r="AE29">
            <v>0</v>
          </cell>
          <cell r="AF29">
            <v>0</v>
          </cell>
          <cell r="AG29">
            <v>9.9299999999999996E-3</v>
          </cell>
          <cell r="AH29">
            <v>100.84</v>
          </cell>
          <cell r="AI29">
            <v>2.223E-2</v>
          </cell>
          <cell r="AJ29">
            <v>199.85000000000002</v>
          </cell>
          <cell r="AK29">
            <v>3.7805000000000005E-2</v>
          </cell>
          <cell r="AL29">
            <v>370.26</v>
          </cell>
          <cell r="AO29">
            <v>7.1785000000000002E-2</v>
          </cell>
          <cell r="AP29">
            <v>689.23</v>
          </cell>
          <cell r="AS29">
            <v>0</v>
          </cell>
          <cell r="AT29">
            <v>0</v>
          </cell>
          <cell r="AU29">
            <v>2.4506000000000001</v>
          </cell>
          <cell r="AV29">
            <v>21377.35</v>
          </cell>
          <cell r="AW29">
            <v>0</v>
          </cell>
          <cell r="AX29">
            <v>0</v>
          </cell>
          <cell r="AY29">
            <v>1.9419999999999996E-2</v>
          </cell>
          <cell r="AZ29">
            <v>189.35</v>
          </cell>
          <cell r="BA29">
            <v>0</v>
          </cell>
          <cell r="BB29">
            <v>0</v>
          </cell>
          <cell r="BC29">
            <v>8.9714999999999989E-2</v>
          </cell>
          <cell r="BD29">
            <v>806.99</v>
          </cell>
          <cell r="BE29">
            <v>0.109135</v>
          </cell>
          <cell r="BF29">
            <v>996.33999999999992</v>
          </cell>
          <cell r="BG29">
            <v>5.4599999999999996E-3</v>
          </cell>
          <cell r="BH29">
            <v>54.84</v>
          </cell>
          <cell r="BI29">
            <v>1.5469999999999999E-2</v>
          </cell>
          <cell r="BJ29">
            <v>153.97999999999999</v>
          </cell>
          <cell r="BK29">
            <v>1.5719999999999998E-2</v>
          </cell>
          <cell r="BL29">
            <v>153.33000000000001</v>
          </cell>
          <cell r="BM29">
            <v>1.3319999999999999E-2</v>
          </cell>
          <cell r="BN29">
            <v>125.41</v>
          </cell>
          <cell r="BO29">
            <v>1.686E-2</v>
          </cell>
          <cell r="BP29">
            <v>158.34</v>
          </cell>
          <cell r="BQ29">
            <v>0</v>
          </cell>
          <cell r="BR29">
            <v>0</v>
          </cell>
          <cell r="BS29">
            <v>6.6830000000000001E-2</v>
          </cell>
          <cell r="BT29">
            <v>645.9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5.0959999999999998E-2</v>
          </cell>
          <cell r="CB29">
            <v>511.84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5.0959999999999998E-2</v>
          </cell>
          <cell r="CJ29">
            <v>511.84</v>
          </cell>
          <cell r="CK29">
            <v>0.11779000000000001</v>
          </cell>
          <cell r="CL29">
            <v>1157.74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0.42795500000000003</v>
          </cell>
          <cell r="CV29">
            <v>4014.11</v>
          </cell>
          <cell r="CW29">
            <v>0</v>
          </cell>
          <cell r="CX29">
            <v>0</v>
          </cell>
          <cell r="CY29">
            <v>8.2470000000000002E-2</v>
          </cell>
          <cell r="CZ29">
            <v>839.22</v>
          </cell>
          <cell r="DA29">
            <v>8.3654999999999993E-2</v>
          </cell>
          <cell r="DB29">
            <v>841.64</v>
          </cell>
          <cell r="DC29">
            <v>1.2329999999999999E-2</v>
          </cell>
          <cell r="DD29">
            <v>123.35000000000001</v>
          </cell>
          <cell r="DE29">
            <v>0.178455</v>
          </cell>
          <cell r="DF29">
            <v>1804.21</v>
          </cell>
          <cell r="DG29">
            <v>0.49189000000000005</v>
          </cell>
          <cell r="DH29">
            <v>3965.51</v>
          </cell>
          <cell r="DI29">
            <v>1.9800000000000002E-2</v>
          </cell>
          <cell r="DJ29">
            <v>200.02</v>
          </cell>
          <cell r="DK29">
            <v>1.12E-2</v>
          </cell>
          <cell r="DL29">
            <v>100.85000000000001</v>
          </cell>
          <cell r="DM29">
            <v>0.52288999999999997</v>
          </cell>
          <cell r="DN29">
            <v>4266.38</v>
          </cell>
          <cell r="DO29">
            <v>3.798E-2</v>
          </cell>
          <cell r="DP29">
            <v>375.06000000000006</v>
          </cell>
          <cell r="DQ29">
            <v>4.7345000000000005E-2</v>
          </cell>
          <cell r="DR29">
            <v>426.16999999999996</v>
          </cell>
          <cell r="DS29">
            <v>0.34262999999999999</v>
          </cell>
          <cell r="DT29">
            <v>3212.8799999999997</v>
          </cell>
          <cell r="DU29">
            <v>0.42795500000000003</v>
          </cell>
          <cell r="DV29">
            <v>4014.11</v>
          </cell>
          <cell r="DW29">
            <v>2.4506000000000001</v>
          </cell>
          <cell r="DX29">
            <v>21377.350000000002</v>
          </cell>
          <cell r="DY29" t="str">
            <v/>
          </cell>
          <cell r="DZ29">
            <v>0</v>
          </cell>
          <cell r="EA29">
            <v>8723.3126581245415</v>
          </cell>
        </row>
        <row r="30">
          <cell r="A30">
            <v>10000</v>
          </cell>
          <cell r="C30" t="str">
            <v>GHEE TOPLAMI</v>
          </cell>
          <cell r="D30" t="str">
            <v>TON</v>
          </cell>
          <cell r="E30">
            <v>0</v>
          </cell>
          <cell r="F30">
            <v>0</v>
          </cell>
          <cell r="G30">
            <v>0.13300000000000001</v>
          </cell>
          <cell r="H30">
            <v>1075.92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0.13300000000000001</v>
          </cell>
          <cell r="P30">
            <v>1075.92</v>
          </cell>
          <cell r="Q30">
            <v>0.415155</v>
          </cell>
          <cell r="R30">
            <v>3447.0099999999998</v>
          </cell>
          <cell r="S30">
            <v>0.474435</v>
          </cell>
          <cell r="T30">
            <v>3926.4099999999994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0.88958999999999988</v>
          </cell>
          <cell r="Z30">
            <v>7373.4199999999992</v>
          </cell>
          <cell r="AA30">
            <v>0</v>
          </cell>
          <cell r="AB30">
            <v>0</v>
          </cell>
          <cell r="AC30">
            <v>1.82E-3</v>
          </cell>
          <cell r="AD30">
            <v>18.28</v>
          </cell>
          <cell r="AE30">
            <v>0</v>
          </cell>
          <cell r="AF30">
            <v>0</v>
          </cell>
          <cell r="AG30">
            <v>1.5389999999999999E-2</v>
          </cell>
          <cell r="AH30">
            <v>160.72</v>
          </cell>
          <cell r="AI30">
            <v>3.3149999999999999E-2</v>
          </cell>
          <cell r="AJ30">
            <v>319.61</v>
          </cell>
          <cell r="AK30">
            <v>4.1445000000000003E-2</v>
          </cell>
          <cell r="AL30">
            <v>408.26</v>
          </cell>
          <cell r="AM30">
            <v>0</v>
          </cell>
          <cell r="AN30">
            <v>0</v>
          </cell>
          <cell r="AO30">
            <v>9.1804999999999998E-2</v>
          </cell>
          <cell r="AP30">
            <v>906.87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2.5030000000000001</v>
          </cell>
          <cell r="AV30">
            <v>21904.609999999997</v>
          </cell>
          <cell r="AW30">
            <v>0</v>
          </cell>
          <cell r="AX30">
            <v>0</v>
          </cell>
          <cell r="AY30">
            <v>1.9419999999999996E-2</v>
          </cell>
          <cell r="AZ30">
            <v>189.35</v>
          </cell>
          <cell r="BA30">
            <v>0</v>
          </cell>
          <cell r="BB30">
            <v>0</v>
          </cell>
          <cell r="BC30">
            <v>8.9714999999999989E-2</v>
          </cell>
          <cell r="BD30">
            <v>806.99</v>
          </cell>
          <cell r="BE30">
            <v>0.109135</v>
          </cell>
          <cell r="BF30">
            <v>996.33999999999992</v>
          </cell>
          <cell r="BG30">
            <v>5.4599999999999996E-3</v>
          </cell>
          <cell r="BH30">
            <v>54.84</v>
          </cell>
          <cell r="BI30">
            <v>1.5469999999999999E-2</v>
          </cell>
          <cell r="BJ30">
            <v>153.97999999999999</v>
          </cell>
          <cell r="BK30">
            <v>1.5719999999999998E-2</v>
          </cell>
          <cell r="BL30">
            <v>153.33000000000001</v>
          </cell>
          <cell r="BM30">
            <v>1.6049999999999998E-2</v>
          </cell>
          <cell r="BN30">
            <v>155.35</v>
          </cell>
          <cell r="BO30">
            <v>1.686E-2</v>
          </cell>
          <cell r="BP30">
            <v>158.34</v>
          </cell>
          <cell r="BQ30">
            <v>0</v>
          </cell>
          <cell r="BR30">
            <v>0</v>
          </cell>
          <cell r="BS30">
            <v>6.9559999999999997E-2</v>
          </cell>
          <cell r="BT30">
            <v>675.84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5.0959999999999998E-2</v>
          </cell>
          <cell r="CB30">
            <v>511.84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5.0959999999999998E-2</v>
          </cell>
          <cell r="CJ30">
            <v>511.84</v>
          </cell>
          <cell r="CK30">
            <v>0.12052</v>
          </cell>
          <cell r="CL30">
            <v>1187.68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0.42795500000000003</v>
          </cell>
          <cell r="CV30">
            <v>4014.11</v>
          </cell>
          <cell r="CW30">
            <v>0</v>
          </cell>
          <cell r="CX30">
            <v>0</v>
          </cell>
          <cell r="CY30">
            <v>8.2470000000000002E-2</v>
          </cell>
          <cell r="CZ30">
            <v>839.22</v>
          </cell>
          <cell r="DA30">
            <v>9.4574999999999992E-2</v>
          </cell>
          <cell r="DB30">
            <v>961.4</v>
          </cell>
          <cell r="DC30">
            <v>1.2329999999999999E-2</v>
          </cell>
          <cell r="DD30">
            <v>123.35000000000001</v>
          </cell>
          <cell r="DE30">
            <v>0.18937500000000002</v>
          </cell>
          <cell r="DF30">
            <v>1923.97</v>
          </cell>
          <cell r="DG30">
            <v>0.49189000000000005</v>
          </cell>
          <cell r="DH30">
            <v>3965.51</v>
          </cell>
          <cell r="DI30">
            <v>3.8530000000000002E-2</v>
          </cell>
          <cell r="DJ30">
            <v>359.94</v>
          </cell>
          <cell r="DK30">
            <v>1.12E-2</v>
          </cell>
          <cell r="DL30">
            <v>100.85000000000001</v>
          </cell>
          <cell r="DM30">
            <v>0.54161999999999999</v>
          </cell>
          <cell r="DN30">
            <v>4426.3</v>
          </cell>
          <cell r="DO30">
            <v>3.798E-2</v>
          </cell>
          <cell r="DP30">
            <v>375.06000000000006</v>
          </cell>
          <cell r="DQ30">
            <v>4.7345000000000005E-2</v>
          </cell>
          <cell r="DR30">
            <v>426.16999999999996</v>
          </cell>
          <cell r="DS30">
            <v>0.34262999999999999</v>
          </cell>
          <cell r="DT30">
            <v>3212.8799999999997</v>
          </cell>
          <cell r="DU30">
            <v>0.42795500000000003</v>
          </cell>
          <cell r="DV30">
            <v>4014.11</v>
          </cell>
          <cell r="DW30">
            <v>2.5030000000000001</v>
          </cell>
          <cell r="DX30">
            <v>21904.61</v>
          </cell>
          <cell r="DY30" t="str">
            <v/>
          </cell>
          <cell r="DZ30">
            <v>0</v>
          </cell>
          <cell r="EA30">
            <v>8751.3423891330403</v>
          </cell>
        </row>
        <row r="31">
          <cell r="B31">
            <v>16054</v>
          </cell>
          <cell r="C31" t="str">
            <v>VITAM PAKET 0.25*48</v>
          </cell>
          <cell r="D31" t="str">
            <v>TON</v>
          </cell>
          <cell r="E31">
            <v>0</v>
          </cell>
          <cell r="F31">
            <v>0</v>
          </cell>
          <cell r="G31">
            <v>2.5000000000000001E-3</v>
          </cell>
          <cell r="H31">
            <v>17.28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O31">
            <v>2.5000000000000001E-3</v>
          </cell>
          <cell r="P31">
            <v>17.28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0.01</v>
          </cell>
          <cell r="AD31">
            <v>75.599999999999994</v>
          </cell>
          <cell r="AE31">
            <v>0</v>
          </cell>
          <cell r="AF31">
            <v>0</v>
          </cell>
          <cell r="AG31">
            <v>2.1000000000000001E-2</v>
          </cell>
          <cell r="AH31">
            <v>158.76</v>
          </cell>
          <cell r="AI31">
            <v>8.7500000000000008E-3</v>
          </cell>
          <cell r="AJ31">
            <v>66.150000000000006</v>
          </cell>
          <cell r="AK31">
            <v>6.1749999999999999E-2</v>
          </cell>
          <cell r="AL31">
            <v>466.83</v>
          </cell>
          <cell r="AO31">
            <v>0.10150000000000001</v>
          </cell>
          <cell r="AP31">
            <v>767.33999999999992</v>
          </cell>
          <cell r="AS31">
            <v>0</v>
          </cell>
          <cell r="AT31">
            <v>0</v>
          </cell>
          <cell r="AU31">
            <v>0.72450000000000003</v>
          </cell>
          <cell r="AV31">
            <v>5466.04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2.5000000000000001E-3</v>
          </cell>
          <cell r="BL31">
            <v>18.899999999999999</v>
          </cell>
          <cell r="BM31">
            <v>1.4E-2</v>
          </cell>
          <cell r="BN31">
            <v>105.84</v>
          </cell>
          <cell r="BO31">
            <v>0.37524999999999997</v>
          </cell>
          <cell r="BP31">
            <v>2836.89</v>
          </cell>
          <cell r="BQ31">
            <v>0</v>
          </cell>
          <cell r="BR31">
            <v>1.4311468676808659E-17</v>
          </cell>
          <cell r="BS31">
            <v>0.39174999999999999</v>
          </cell>
          <cell r="BT31">
            <v>2961.63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-7.5000000000000002E-4</v>
          </cell>
          <cell r="CD31">
            <v>-7.26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-7.5000000000000002E-4</v>
          </cell>
          <cell r="CJ31">
            <v>-7.26</v>
          </cell>
          <cell r="CK31">
            <v>0.39100000000000001</v>
          </cell>
          <cell r="CL31">
            <v>2954.37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8.1750000000000003E-2</v>
          </cell>
          <cell r="CV31">
            <v>616.23</v>
          </cell>
          <cell r="CW31">
            <v>0</v>
          </cell>
          <cell r="CX31">
            <v>0</v>
          </cell>
          <cell r="CY31">
            <v>2.9749999999999999E-2</v>
          </cell>
          <cell r="CZ31">
            <v>224.17</v>
          </cell>
          <cell r="DA31">
            <v>3.5999999999999997E-2</v>
          </cell>
          <cell r="DB31">
            <v>272.16000000000003</v>
          </cell>
          <cell r="DC31">
            <v>5.2500000000000003E-3</v>
          </cell>
          <cell r="DD31">
            <v>35.159999999999997</v>
          </cell>
          <cell r="DE31">
            <v>7.1000000000000008E-2</v>
          </cell>
          <cell r="DF31">
            <v>531.49</v>
          </cell>
          <cell r="DG31">
            <v>1.125E-2</v>
          </cell>
          <cell r="DH31">
            <v>84.15</v>
          </cell>
          <cell r="DI31">
            <v>5.2999999999999999E-2</v>
          </cell>
          <cell r="DJ31">
            <v>400.68</v>
          </cell>
          <cell r="DK31">
            <v>1.2500000000000001E-2</v>
          </cell>
          <cell r="DL31">
            <v>94.5</v>
          </cell>
          <cell r="DM31">
            <v>7.6749999999999999E-2</v>
          </cell>
          <cell r="DN31">
            <v>579.33000000000004</v>
          </cell>
          <cell r="DO31">
            <v>4.8000000000000001E-2</v>
          </cell>
          <cell r="DP31">
            <v>362.88</v>
          </cell>
          <cell r="DQ31">
            <v>9.75E-3</v>
          </cell>
          <cell r="DR31">
            <v>71.91</v>
          </cell>
          <cell r="DS31">
            <v>2.4E-2</v>
          </cell>
          <cell r="DT31">
            <v>181.44</v>
          </cell>
          <cell r="DU31">
            <v>8.1750000000000003E-2</v>
          </cell>
          <cell r="DV31">
            <v>616.23</v>
          </cell>
          <cell r="DW31">
            <v>0.72450000000000003</v>
          </cell>
          <cell r="DX31">
            <v>5466.04</v>
          </cell>
          <cell r="DY31" t="str">
            <v/>
          </cell>
          <cell r="DZ31">
            <v>0</v>
          </cell>
          <cell r="EA31">
            <v>7544.5686680469289</v>
          </cell>
        </row>
        <row r="32">
          <cell r="B32">
            <v>116341</v>
          </cell>
          <cell r="C32" t="str">
            <v>SAUSTREBA QARGIDALI_0.25KG*48</v>
          </cell>
          <cell r="D32" t="str">
            <v>TON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O32">
            <v>0</v>
          </cell>
          <cell r="AP32">
            <v>0</v>
          </cell>
          <cell r="AS32">
            <v>0</v>
          </cell>
          <cell r="AT32">
            <v>0</v>
          </cell>
          <cell r="AU32">
            <v>-4.0000000000000001E-3</v>
          </cell>
          <cell r="AV32">
            <v>-40.92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-3.7499999999999999E-3</v>
          </cell>
          <cell r="BP32">
            <v>-33.15</v>
          </cell>
          <cell r="BQ32">
            <v>0</v>
          </cell>
          <cell r="BR32">
            <v>0</v>
          </cell>
          <cell r="BS32">
            <v>-3.7499999999999999E-3</v>
          </cell>
          <cell r="BT32">
            <v>-33.15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-3.7499999999999999E-3</v>
          </cell>
          <cell r="CL32">
            <v>-33.15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-6.0000000000000001E-3</v>
          </cell>
          <cell r="CZ32">
            <v>-51.3</v>
          </cell>
          <cell r="DA32">
            <v>6.0000000000000001E-3</v>
          </cell>
          <cell r="DB32">
            <v>45.36</v>
          </cell>
          <cell r="DC32">
            <v>-2.5000000000000001E-4</v>
          </cell>
          <cell r="DD32">
            <v>-1.83</v>
          </cell>
          <cell r="DE32">
            <v>-2.5000000000000001E-4</v>
          </cell>
          <cell r="DF32">
            <v>-7.7699999999999978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-4.0000000000000001E-3</v>
          </cell>
          <cell r="DX32">
            <v>-40.919999999999995</v>
          </cell>
          <cell r="DY32" t="str">
            <v/>
          </cell>
          <cell r="DZ32">
            <v>0</v>
          </cell>
          <cell r="EA32">
            <v>10229.999999999998</v>
          </cell>
        </row>
        <row r="33">
          <cell r="B33">
            <v>32613</v>
          </cell>
          <cell r="C33" t="str">
            <v>MOCUZE MARGARIN QARGIDALI_250 GR*48_SIRNIYYAT YAGI</v>
          </cell>
          <cell r="D33" t="str">
            <v>TON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O33">
            <v>0</v>
          </cell>
          <cell r="AP33">
            <v>0</v>
          </cell>
          <cell r="AS33">
            <v>0</v>
          </cell>
          <cell r="AT33">
            <v>0</v>
          </cell>
          <cell r="AU33">
            <v>7.5000000000000002E-4</v>
          </cell>
          <cell r="AV33">
            <v>3.66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3.7499999999999999E-3</v>
          </cell>
          <cell r="BD33">
            <v>31.5</v>
          </cell>
          <cell r="BE33">
            <v>3.7499999999999999E-3</v>
          </cell>
          <cell r="BF33">
            <v>31.5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-6.0000000000000001E-3</v>
          </cell>
          <cell r="BP33">
            <v>-53.04</v>
          </cell>
          <cell r="BQ33">
            <v>0</v>
          </cell>
          <cell r="BR33">
            <v>0</v>
          </cell>
          <cell r="BS33">
            <v>-6.0000000000000001E-3</v>
          </cell>
          <cell r="BT33">
            <v>-53.04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-6.0000000000000001E-3</v>
          </cell>
          <cell r="CL33">
            <v>-53.04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3.0000000000000001E-3</v>
          </cell>
          <cell r="CV33">
            <v>25.2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3.0000000000000001E-3</v>
          </cell>
          <cell r="DT33">
            <v>25.2</v>
          </cell>
          <cell r="DU33">
            <v>3.0000000000000001E-3</v>
          </cell>
          <cell r="DV33">
            <v>25.2</v>
          </cell>
          <cell r="DW33">
            <v>7.499999999999998E-4</v>
          </cell>
          <cell r="DX33">
            <v>3.66</v>
          </cell>
          <cell r="DY33" t="str">
            <v/>
          </cell>
          <cell r="DZ33">
            <v>0</v>
          </cell>
          <cell r="EA33">
            <v>4880.0000000000018</v>
          </cell>
        </row>
        <row r="34">
          <cell r="B34">
            <v>16055</v>
          </cell>
          <cell r="C34" t="str">
            <v>მარგარინი-სანა/0.25*48/ კგ</v>
          </cell>
          <cell r="D34" t="str">
            <v>TON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O34">
            <v>0</v>
          </cell>
          <cell r="AP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 t="str">
            <v/>
          </cell>
          <cell r="DZ34" t="str">
            <v>pasiv</v>
          </cell>
          <cell r="EA34" t="e">
            <v>#DIV/0!</v>
          </cell>
        </row>
        <row r="35">
          <cell r="B35">
            <v>132744</v>
          </cell>
          <cell r="C35" t="str">
            <v>C.SUPRA XEMIR_250QR*48</v>
          </cell>
          <cell r="D35" t="str">
            <v>TON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-1.5E-3</v>
          </cell>
          <cell r="AD35">
            <v>-13.62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2E-3</v>
          </cell>
          <cell r="AL35">
            <v>14.88</v>
          </cell>
          <cell r="AO35">
            <v>5.0000000000000001E-4</v>
          </cell>
          <cell r="AP35">
            <v>1.2600000000000016</v>
          </cell>
          <cell r="AS35">
            <v>0</v>
          </cell>
          <cell r="AT35">
            <v>0</v>
          </cell>
          <cell r="AU35">
            <v>0.89924999999999999</v>
          </cell>
          <cell r="AV35">
            <v>5467.21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1.25E-3</v>
          </cell>
          <cell r="BD35">
            <v>9.3000000000000007</v>
          </cell>
          <cell r="BE35">
            <v>1.25E-3</v>
          </cell>
          <cell r="BF35">
            <v>9.3000000000000007</v>
          </cell>
          <cell r="BG35">
            <v>0</v>
          </cell>
          <cell r="BH35">
            <v>0</v>
          </cell>
          <cell r="BI35">
            <v>2.4E-2</v>
          </cell>
          <cell r="BJ35">
            <v>178.56</v>
          </cell>
          <cell r="BK35">
            <v>0</v>
          </cell>
          <cell r="BL35">
            <v>0</v>
          </cell>
          <cell r="BM35">
            <v>2.5000000000000001E-3</v>
          </cell>
          <cell r="BN35">
            <v>18.600000000000001</v>
          </cell>
          <cell r="BO35">
            <v>0.84</v>
          </cell>
          <cell r="BP35">
            <v>5040</v>
          </cell>
          <cell r="BQ35">
            <v>0</v>
          </cell>
          <cell r="BR35">
            <v>7.9797279894933126E-17</v>
          </cell>
          <cell r="BS35">
            <v>0.86650000000000005</v>
          </cell>
          <cell r="BT35">
            <v>5237.16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3.2499999999999999E-3</v>
          </cell>
          <cell r="BZ35">
            <v>24.18</v>
          </cell>
          <cell r="CA35">
            <v>1.5E-3</v>
          </cell>
          <cell r="CB35">
            <v>11.16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4.7499999999999999E-3</v>
          </cell>
          <cell r="CJ35">
            <v>35.340000000000003</v>
          </cell>
          <cell r="CK35">
            <v>0.87125000000000008</v>
          </cell>
          <cell r="CL35">
            <v>5272.5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5.4999999999999997E-3</v>
          </cell>
          <cell r="CV35">
            <v>40.92</v>
          </cell>
          <cell r="CW35">
            <v>0</v>
          </cell>
          <cell r="CX35">
            <v>0</v>
          </cell>
          <cell r="CY35">
            <v>1.7999999999999999E-2</v>
          </cell>
          <cell r="CZ35">
            <v>124.92</v>
          </cell>
          <cell r="DA35">
            <v>0</v>
          </cell>
          <cell r="DB35">
            <v>0</v>
          </cell>
          <cell r="DC35">
            <v>2.7499999999999998E-3</v>
          </cell>
          <cell r="DD35">
            <v>18.309999999999999</v>
          </cell>
          <cell r="DE35">
            <v>2.0749999999999998E-2</v>
          </cell>
          <cell r="DF35">
            <v>143.22999999999999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2.5000000000000001E-3</v>
          </cell>
          <cell r="DP35">
            <v>18.600000000000001</v>
          </cell>
          <cell r="DQ35">
            <v>0</v>
          </cell>
          <cell r="DR35">
            <v>0</v>
          </cell>
          <cell r="DS35">
            <v>3.0000000000000001E-3</v>
          </cell>
          <cell r="DT35">
            <v>22.32</v>
          </cell>
          <cell r="DU35">
            <v>5.4999999999999997E-3</v>
          </cell>
          <cell r="DV35">
            <v>40.92</v>
          </cell>
          <cell r="DW35">
            <v>0.89924999999999999</v>
          </cell>
          <cell r="DX35">
            <v>5467.21</v>
          </cell>
          <cell r="DY35" t="str">
            <v/>
          </cell>
          <cell r="DZ35">
            <v>0</v>
          </cell>
          <cell r="EA35">
            <v>6079.7442313038646</v>
          </cell>
        </row>
        <row r="36">
          <cell r="B36">
            <v>53554</v>
          </cell>
          <cell r="C36" t="str">
            <v>CVENI SUPRA 10 KG</v>
          </cell>
          <cell r="D36" t="str">
            <v>TON</v>
          </cell>
          <cell r="E36">
            <v>0</v>
          </cell>
          <cell r="F36">
            <v>0</v>
          </cell>
          <cell r="G36">
            <v>0.03</v>
          </cell>
          <cell r="H36">
            <v>180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O36">
            <v>0.03</v>
          </cell>
          <cell r="P36">
            <v>180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O36">
            <v>0</v>
          </cell>
          <cell r="AP36">
            <v>0</v>
          </cell>
          <cell r="AS36">
            <v>0</v>
          </cell>
          <cell r="AT36">
            <v>0</v>
          </cell>
          <cell r="AU36">
            <v>0.04</v>
          </cell>
          <cell r="AV36">
            <v>234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0.01</v>
          </cell>
          <cell r="CV36">
            <v>54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0.01</v>
          </cell>
          <cell r="DP36">
            <v>54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0.01</v>
          </cell>
          <cell r="DV36">
            <v>54</v>
          </cell>
          <cell r="DW36">
            <v>0.04</v>
          </cell>
          <cell r="DX36">
            <v>234</v>
          </cell>
          <cell r="DY36" t="str">
            <v/>
          </cell>
          <cell r="DZ36">
            <v>0</v>
          </cell>
          <cell r="EA36">
            <v>5850</v>
          </cell>
        </row>
        <row r="37">
          <cell r="A37">
            <v>1</v>
          </cell>
          <cell r="B37">
            <v>275667</v>
          </cell>
          <cell r="C37" t="str">
            <v>მარგარინი-ჩვენი სუფრა-10კგ_12ც+1ც</v>
          </cell>
          <cell r="D37" t="str">
            <v>TON</v>
          </cell>
          <cell r="E37">
            <v>0.26</v>
          </cell>
          <cell r="F37">
            <v>1440</v>
          </cell>
          <cell r="G37">
            <v>0.78</v>
          </cell>
          <cell r="H37">
            <v>3960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O37">
            <v>1.04</v>
          </cell>
          <cell r="P37">
            <v>5400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O37">
            <v>0</v>
          </cell>
          <cell r="AP37">
            <v>0</v>
          </cell>
          <cell r="AS37">
            <v>0</v>
          </cell>
          <cell r="AT37">
            <v>0</v>
          </cell>
          <cell r="AU37">
            <v>1.04</v>
          </cell>
          <cell r="AV37">
            <v>5400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1.04</v>
          </cell>
          <cell r="DX37">
            <v>5400</v>
          </cell>
          <cell r="DY37" t="str">
            <v>Hedef</v>
          </cell>
          <cell r="DZ37">
            <v>0</v>
          </cell>
          <cell r="EA37">
            <v>5192.3076923076924</v>
          </cell>
        </row>
        <row r="38">
          <cell r="A38">
            <v>1</v>
          </cell>
          <cell r="B38">
            <v>275568</v>
          </cell>
          <cell r="C38" t="str">
            <v>მარგარინი სულთან ქათ–ქათ 10 კგ_12ც+1ც</v>
          </cell>
          <cell r="D38" t="str">
            <v>TON</v>
          </cell>
          <cell r="E38">
            <v>0.26</v>
          </cell>
          <cell r="F38">
            <v>1470</v>
          </cell>
          <cell r="G38">
            <v>0.13</v>
          </cell>
          <cell r="H38">
            <v>750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O38">
            <v>0.39</v>
          </cell>
          <cell r="P38">
            <v>2220</v>
          </cell>
          <cell r="Q38">
            <v>1.56</v>
          </cell>
          <cell r="R38">
            <v>8670</v>
          </cell>
          <cell r="S38">
            <v>1.17</v>
          </cell>
          <cell r="T38">
            <v>6574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2.73</v>
          </cell>
          <cell r="Z38">
            <v>15244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O38">
            <v>0</v>
          </cell>
          <cell r="AP38">
            <v>0</v>
          </cell>
          <cell r="AS38">
            <v>0</v>
          </cell>
          <cell r="AT38">
            <v>0</v>
          </cell>
          <cell r="AU38">
            <v>3.9</v>
          </cell>
          <cell r="AV38">
            <v>21964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0.13</v>
          </cell>
          <cell r="BD38">
            <v>750</v>
          </cell>
          <cell r="BE38">
            <v>0.13</v>
          </cell>
          <cell r="BF38">
            <v>750</v>
          </cell>
          <cell r="BG38">
            <v>0</v>
          </cell>
          <cell r="BH38">
            <v>0</v>
          </cell>
          <cell r="BI38">
            <v>0.13</v>
          </cell>
          <cell r="BJ38">
            <v>750</v>
          </cell>
          <cell r="BK38">
            <v>0.13</v>
          </cell>
          <cell r="BL38">
            <v>750</v>
          </cell>
          <cell r="BM38">
            <v>0</v>
          </cell>
          <cell r="BN38">
            <v>0</v>
          </cell>
          <cell r="BO38">
            <v>0.13</v>
          </cell>
          <cell r="BP38">
            <v>750</v>
          </cell>
          <cell r="BQ38">
            <v>0</v>
          </cell>
          <cell r="BR38">
            <v>0</v>
          </cell>
          <cell r="BS38">
            <v>0.39</v>
          </cell>
          <cell r="BT38">
            <v>2250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0.13</v>
          </cell>
          <cell r="CH38">
            <v>750</v>
          </cell>
          <cell r="CI38">
            <v>0.13</v>
          </cell>
          <cell r="CJ38">
            <v>750</v>
          </cell>
          <cell r="CK38">
            <v>0.52</v>
          </cell>
          <cell r="CL38">
            <v>3000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0.13</v>
          </cell>
          <cell r="CV38">
            <v>750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0.13</v>
          </cell>
          <cell r="DR38">
            <v>750</v>
          </cell>
          <cell r="DS38">
            <v>0</v>
          </cell>
          <cell r="DT38">
            <v>0</v>
          </cell>
          <cell r="DU38">
            <v>0.13</v>
          </cell>
          <cell r="DV38">
            <v>750</v>
          </cell>
          <cell r="DW38">
            <v>3.9</v>
          </cell>
          <cell r="DX38">
            <v>21964</v>
          </cell>
          <cell r="DY38" t="str">
            <v>Hedef</v>
          </cell>
          <cell r="DZ38">
            <v>0</v>
          </cell>
          <cell r="EA38">
            <v>5631.7948717948721</v>
          </cell>
        </row>
        <row r="39">
          <cell r="B39">
            <v>33271</v>
          </cell>
          <cell r="C39" t="str">
            <v>მარგარინი სულთან ქათ–ქათ 10 კგ</v>
          </cell>
          <cell r="D39" t="str">
            <v>TON</v>
          </cell>
          <cell r="E39">
            <v>0.02</v>
          </cell>
          <cell r="F39">
            <v>125</v>
          </cell>
          <cell r="G39">
            <v>0.04</v>
          </cell>
          <cell r="H39">
            <v>240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O39">
            <v>0.06</v>
          </cell>
          <cell r="P39">
            <v>365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O39">
            <v>0</v>
          </cell>
          <cell r="AP39">
            <v>0</v>
          </cell>
          <cell r="AS39">
            <v>0</v>
          </cell>
          <cell r="AT39">
            <v>0</v>
          </cell>
          <cell r="AU39">
            <v>2.02</v>
          </cell>
          <cell r="AV39">
            <v>11646.91</v>
          </cell>
          <cell r="AW39">
            <v>0</v>
          </cell>
          <cell r="AX39">
            <v>0</v>
          </cell>
          <cell r="AY39">
            <v>0.02</v>
          </cell>
          <cell r="AZ39">
            <v>131.26</v>
          </cell>
          <cell r="BA39">
            <v>0</v>
          </cell>
          <cell r="BB39">
            <v>0</v>
          </cell>
          <cell r="BC39">
            <v>0.02</v>
          </cell>
          <cell r="BD39">
            <v>125</v>
          </cell>
          <cell r="BE39">
            <v>0.04</v>
          </cell>
          <cell r="BF39">
            <v>256.26</v>
          </cell>
          <cell r="BG39">
            <v>0.15</v>
          </cell>
          <cell r="BH39">
            <v>937.5</v>
          </cell>
          <cell r="BI39">
            <v>1.5</v>
          </cell>
          <cell r="BJ39">
            <v>8400</v>
          </cell>
          <cell r="BK39">
            <v>0</v>
          </cell>
          <cell r="BL39">
            <v>0</v>
          </cell>
          <cell r="BM39">
            <v>0.11</v>
          </cell>
          <cell r="BN39">
            <v>672.5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1.76</v>
          </cell>
          <cell r="BT39">
            <v>10010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0.13</v>
          </cell>
          <cell r="CH39">
            <v>828.15</v>
          </cell>
          <cell r="CI39">
            <v>0.13</v>
          </cell>
          <cell r="CJ39">
            <v>828.15</v>
          </cell>
          <cell r="CK39">
            <v>1.8900000000000001</v>
          </cell>
          <cell r="CL39">
            <v>10838.15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0.03</v>
          </cell>
          <cell r="DN39">
            <v>187.5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2.02</v>
          </cell>
          <cell r="DX39">
            <v>11646.91</v>
          </cell>
          <cell r="DY39" t="str">
            <v/>
          </cell>
          <cell r="DZ39">
            <v>0</v>
          </cell>
          <cell r="EA39">
            <v>5765.7970297029706</v>
          </cell>
        </row>
        <row r="40">
          <cell r="A40">
            <v>1</v>
          </cell>
          <cell r="B40">
            <v>272294</v>
          </cell>
          <cell r="C40" t="str">
            <v>მარგარინი_ვიტამი_0.25კგ_480ც+48ც</v>
          </cell>
          <cell r="D40" t="str">
            <v>TON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O40">
            <v>0</v>
          </cell>
          <cell r="P40">
            <v>0</v>
          </cell>
          <cell r="Q40">
            <v>1.32</v>
          </cell>
          <cell r="R40">
            <v>7603.2</v>
          </cell>
          <cell r="S40">
            <v>0.13200000000000001</v>
          </cell>
          <cell r="T40">
            <v>829.44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1.452</v>
          </cell>
          <cell r="Z40">
            <v>8432.64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O40">
            <v>0</v>
          </cell>
          <cell r="AP40">
            <v>0</v>
          </cell>
          <cell r="AS40">
            <v>0</v>
          </cell>
          <cell r="AT40">
            <v>0</v>
          </cell>
          <cell r="AU40">
            <v>2.1120000000000001</v>
          </cell>
          <cell r="AV40">
            <v>12510.72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0.13200000000000001</v>
          </cell>
          <cell r="BD40">
            <v>838.08</v>
          </cell>
          <cell r="BE40">
            <v>0.13200000000000001</v>
          </cell>
          <cell r="BF40">
            <v>838.08</v>
          </cell>
          <cell r="BG40">
            <v>0</v>
          </cell>
          <cell r="BH40">
            <v>0</v>
          </cell>
          <cell r="BI40">
            <v>0.13200000000000001</v>
          </cell>
          <cell r="BJ40">
            <v>829.44</v>
          </cell>
          <cell r="BK40">
            <v>0</v>
          </cell>
          <cell r="BL40">
            <v>0</v>
          </cell>
          <cell r="BM40">
            <v>0.13200000000000001</v>
          </cell>
          <cell r="BN40">
            <v>838.08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0.26400000000000001</v>
          </cell>
          <cell r="BT40">
            <v>1667.52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0.26400000000000001</v>
          </cell>
          <cell r="CL40">
            <v>1667.52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0.13200000000000001</v>
          </cell>
          <cell r="CV40">
            <v>812.16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0.13200000000000001</v>
          </cell>
          <cell r="DH40">
            <v>760.32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0.13200000000000001</v>
          </cell>
          <cell r="DN40">
            <v>760.32</v>
          </cell>
          <cell r="DO40">
            <v>0.13200000000000001</v>
          </cell>
          <cell r="DP40">
            <v>812.16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0.13200000000000001</v>
          </cell>
          <cell r="DV40">
            <v>812.16</v>
          </cell>
          <cell r="DW40">
            <v>2.1120000000000001</v>
          </cell>
          <cell r="DX40">
            <v>12510.72</v>
          </cell>
          <cell r="DY40" t="str">
            <v>Hedef</v>
          </cell>
          <cell r="DZ40">
            <v>0</v>
          </cell>
          <cell r="EA40">
            <v>5923.6363636363631</v>
          </cell>
        </row>
        <row r="41">
          <cell r="A41">
            <v>1</v>
          </cell>
          <cell r="B41">
            <v>272314</v>
          </cell>
          <cell r="C41" t="str">
            <v>მარგ.მოჯუზე_250გრ_48ც+4ც</v>
          </cell>
          <cell r="D41" t="str">
            <v>TON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1.2999999999999999E-2</v>
          </cell>
          <cell r="T41">
            <v>90.24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1.2999999999999999E-2</v>
          </cell>
          <cell r="Z41">
            <v>90.24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O41">
            <v>0</v>
          </cell>
          <cell r="AP41">
            <v>0</v>
          </cell>
          <cell r="AS41">
            <v>0</v>
          </cell>
          <cell r="AT41">
            <v>0</v>
          </cell>
          <cell r="AU41">
            <v>0.16900000000000001</v>
          </cell>
          <cell r="AV41">
            <v>1207.68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0.156</v>
          </cell>
          <cell r="BD41">
            <v>1117.44</v>
          </cell>
          <cell r="BE41">
            <v>0.156</v>
          </cell>
          <cell r="BF41">
            <v>1117.44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0.16900000000000001</v>
          </cell>
          <cell r="DX41">
            <v>1207.68</v>
          </cell>
          <cell r="DY41" t="str">
            <v>Hedef</v>
          </cell>
          <cell r="DZ41">
            <v>0</v>
          </cell>
          <cell r="EA41">
            <v>7146.0355029585799</v>
          </cell>
        </row>
        <row r="42">
          <cell r="A42">
            <v>1</v>
          </cell>
          <cell r="B42">
            <v>272422</v>
          </cell>
          <cell r="C42" t="str">
            <v>მარგ.საოცრება_250გრ_48ც+4ც</v>
          </cell>
          <cell r="D42" t="str">
            <v>TON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2.5999999999999999E-2</v>
          </cell>
          <cell r="T42">
            <v>164.16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2.5999999999999999E-2</v>
          </cell>
          <cell r="Z42">
            <v>164.16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O42">
            <v>0</v>
          </cell>
          <cell r="AP42">
            <v>0</v>
          </cell>
          <cell r="AS42">
            <v>0</v>
          </cell>
          <cell r="AT42">
            <v>0</v>
          </cell>
          <cell r="AU42">
            <v>3.9E-2</v>
          </cell>
          <cell r="AV42">
            <v>247.97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1.2999999999999999E-2</v>
          </cell>
          <cell r="BD42">
            <v>83.81</v>
          </cell>
          <cell r="BE42">
            <v>1.2999999999999999E-2</v>
          </cell>
          <cell r="BF42">
            <v>83.81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3.9E-2</v>
          </cell>
          <cell r="DX42">
            <v>247.97</v>
          </cell>
          <cell r="DY42" t="str">
            <v>Hedef</v>
          </cell>
          <cell r="DZ42">
            <v>0</v>
          </cell>
          <cell r="EA42">
            <v>6358.2051282051279</v>
          </cell>
        </row>
        <row r="43">
          <cell r="A43">
            <v>1</v>
          </cell>
          <cell r="B43">
            <v>272312</v>
          </cell>
          <cell r="C43" t="str">
            <v>მარგ.ჩვენი სუფრა ცომ_250გრ_48ც+4ც</v>
          </cell>
          <cell r="D43" t="str">
            <v>TON</v>
          </cell>
          <cell r="E43">
            <v>0</v>
          </cell>
          <cell r="F43">
            <v>0</v>
          </cell>
          <cell r="G43">
            <v>6.5000000000000002E-2</v>
          </cell>
          <cell r="H43">
            <v>412.06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O43">
            <v>6.5000000000000002E-2</v>
          </cell>
          <cell r="P43">
            <v>412.06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O43">
            <v>0</v>
          </cell>
          <cell r="AP43">
            <v>0</v>
          </cell>
          <cell r="AS43">
            <v>0</v>
          </cell>
          <cell r="AT43">
            <v>0</v>
          </cell>
          <cell r="AU43">
            <v>0.156</v>
          </cell>
          <cell r="AV43">
            <v>996.58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3.9E-2</v>
          </cell>
          <cell r="BD43">
            <v>247.23</v>
          </cell>
          <cell r="BE43">
            <v>3.9E-2</v>
          </cell>
          <cell r="BF43">
            <v>247.23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1.2999999999999999E-2</v>
          </cell>
          <cell r="BV43">
            <v>82.41</v>
          </cell>
          <cell r="BW43">
            <v>0</v>
          </cell>
          <cell r="BX43">
            <v>0</v>
          </cell>
          <cell r="BY43">
            <v>3.9E-2</v>
          </cell>
          <cell r="BZ43">
            <v>254.88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5.1999999999999998E-2</v>
          </cell>
          <cell r="CJ43">
            <v>337.29</v>
          </cell>
          <cell r="CK43">
            <v>5.1999999999999998E-2</v>
          </cell>
          <cell r="CL43">
            <v>337.29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0.156</v>
          </cell>
          <cell r="DX43">
            <v>996.57999999999993</v>
          </cell>
          <cell r="DY43" t="str">
            <v>Hedef</v>
          </cell>
          <cell r="DZ43">
            <v>0</v>
          </cell>
          <cell r="EA43">
            <v>6388.333333333333</v>
          </cell>
        </row>
        <row r="44">
          <cell r="A44">
            <v>1</v>
          </cell>
          <cell r="B44">
            <v>272313</v>
          </cell>
          <cell r="C44" t="str">
            <v>მარგ.ჩვენი სუფრა ცომ_250გრ_480ც+48ც</v>
          </cell>
          <cell r="D44" t="str">
            <v>TON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O44">
            <v>0</v>
          </cell>
          <cell r="AP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 t="str">
            <v>Hedef</v>
          </cell>
          <cell r="DZ44" t="str">
            <v>pasiv</v>
          </cell>
          <cell r="EA44" t="e">
            <v>#DIV/0!</v>
          </cell>
        </row>
        <row r="45">
          <cell r="A45">
            <v>1</v>
          </cell>
          <cell r="B45">
            <v>272253</v>
          </cell>
          <cell r="C45" t="str">
            <v>მარგარინი_ვიტამი0.25კგ_48ც+4ც</v>
          </cell>
          <cell r="D45" t="str">
            <v>TON</v>
          </cell>
          <cell r="E45">
            <v>0.13</v>
          </cell>
          <cell r="F45">
            <v>864</v>
          </cell>
          <cell r="G45">
            <v>5.1999999999999998E-2</v>
          </cell>
          <cell r="H45">
            <v>339.55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O45">
            <v>0.182</v>
          </cell>
          <cell r="P45">
            <v>1203.55</v>
          </cell>
          <cell r="Q45">
            <v>2.5999999999999999E-2</v>
          </cell>
          <cell r="R45">
            <v>167.62</v>
          </cell>
          <cell r="S45">
            <v>2.5999999999999999E-2</v>
          </cell>
          <cell r="T45">
            <v>165.89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5.1999999999999998E-2</v>
          </cell>
          <cell r="Z45">
            <v>333.51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O45">
            <v>0</v>
          </cell>
          <cell r="AP45">
            <v>0</v>
          </cell>
          <cell r="AS45">
            <v>0</v>
          </cell>
          <cell r="AT45">
            <v>0</v>
          </cell>
          <cell r="AU45">
            <v>0.78</v>
          </cell>
          <cell r="AV45">
            <v>4962.76</v>
          </cell>
          <cell r="AW45">
            <v>0</v>
          </cell>
          <cell r="AX45">
            <v>0</v>
          </cell>
          <cell r="AY45">
            <v>1.2999999999999999E-2</v>
          </cell>
          <cell r="AZ45">
            <v>82.94</v>
          </cell>
          <cell r="BA45">
            <v>0</v>
          </cell>
          <cell r="BB45">
            <v>0</v>
          </cell>
          <cell r="BC45">
            <v>2.5999999999999999E-2</v>
          </cell>
          <cell r="BD45">
            <v>167.62</v>
          </cell>
          <cell r="BE45">
            <v>3.9E-2</v>
          </cell>
          <cell r="BF45">
            <v>250.56</v>
          </cell>
          <cell r="BG45">
            <v>0</v>
          </cell>
          <cell r="BH45">
            <v>0</v>
          </cell>
          <cell r="BI45">
            <v>2.5999999999999999E-2</v>
          </cell>
          <cell r="BJ45">
            <v>167.62</v>
          </cell>
          <cell r="BK45">
            <v>0.14299999999999999</v>
          </cell>
          <cell r="BL45">
            <v>841.11</v>
          </cell>
          <cell r="BM45">
            <v>2.5999999999999999E-2</v>
          </cell>
          <cell r="BN45">
            <v>167.62</v>
          </cell>
          <cell r="BO45">
            <v>6.5000000000000002E-2</v>
          </cell>
          <cell r="BP45">
            <v>405.65</v>
          </cell>
          <cell r="BQ45">
            <v>0</v>
          </cell>
          <cell r="BR45">
            <v>2.4286128663675299E-17</v>
          </cell>
          <cell r="BS45">
            <v>0.26</v>
          </cell>
          <cell r="BT45">
            <v>1582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0.26</v>
          </cell>
          <cell r="CL45">
            <v>1582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0.13</v>
          </cell>
          <cell r="CV45">
            <v>829.94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2.5999999999999999E-2</v>
          </cell>
          <cell r="DH45">
            <v>165.6</v>
          </cell>
          <cell r="DI45">
            <v>2.5999999999999999E-2</v>
          </cell>
          <cell r="DJ45">
            <v>165.6</v>
          </cell>
          <cell r="DK45">
            <v>5.1999999999999998E-2</v>
          </cell>
          <cell r="DL45">
            <v>345.6</v>
          </cell>
          <cell r="DM45">
            <v>0.11700000000000001</v>
          </cell>
          <cell r="DN45">
            <v>763.2</v>
          </cell>
          <cell r="DO45">
            <v>7.8E-2</v>
          </cell>
          <cell r="DP45">
            <v>491.26</v>
          </cell>
          <cell r="DQ45">
            <v>5.1999999999999998E-2</v>
          </cell>
          <cell r="DR45">
            <v>338.68</v>
          </cell>
          <cell r="DS45">
            <v>0</v>
          </cell>
          <cell r="DT45">
            <v>0</v>
          </cell>
          <cell r="DU45">
            <v>0.13</v>
          </cell>
          <cell r="DV45">
            <v>829.94</v>
          </cell>
          <cell r="DW45">
            <v>0.78</v>
          </cell>
          <cell r="DX45">
            <v>4962.76</v>
          </cell>
          <cell r="DY45" t="str">
            <v>Hedef</v>
          </cell>
          <cell r="DZ45">
            <v>0</v>
          </cell>
          <cell r="EA45">
            <v>6362.5128205128203</v>
          </cell>
        </row>
        <row r="46">
          <cell r="A46">
            <v>2</v>
          </cell>
          <cell r="C46" t="str">
            <v>MARGARIN TOPLAMI</v>
          </cell>
          <cell r="D46" t="str">
            <v>TON</v>
          </cell>
          <cell r="E46">
            <v>0.67</v>
          </cell>
          <cell r="F46">
            <v>3899</v>
          </cell>
          <cell r="G46">
            <v>1.0995000000000001</v>
          </cell>
          <cell r="H46">
            <v>5898.89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O46">
            <v>1.7694999999999999</v>
          </cell>
          <cell r="P46">
            <v>9797.89</v>
          </cell>
          <cell r="Q46">
            <v>2.9059999999999997</v>
          </cell>
          <cell r="R46">
            <v>16440.82</v>
          </cell>
          <cell r="S46">
            <v>1.367</v>
          </cell>
          <cell r="T46">
            <v>7823.7300000000005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4.2729999999999997</v>
          </cell>
          <cell r="Z46">
            <v>24264.55</v>
          </cell>
          <cell r="AA46">
            <v>0</v>
          </cell>
          <cell r="AB46">
            <v>0</v>
          </cell>
          <cell r="AC46">
            <v>8.5000000000000006E-3</v>
          </cell>
          <cell r="AD46">
            <v>61.98</v>
          </cell>
          <cell r="AE46">
            <v>0</v>
          </cell>
          <cell r="AF46">
            <v>0</v>
          </cell>
          <cell r="AG46">
            <v>2.1000000000000001E-2</v>
          </cell>
          <cell r="AH46">
            <v>158.76</v>
          </cell>
          <cell r="AI46">
            <v>8.7500000000000008E-3</v>
          </cell>
          <cell r="AJ46">
            <v>66.150000000000006</v>
          </cell>
          <cell r="AK46">
            <v>6.3750000000000001E-2</v>
          </cell>
          <cell r="AL46">
            <v>481.71</v>
          </cell>
          <cell r="AO46">
            <v>0.10200000000000001</v>
          </cell>
          <cell r="AP46">
            <v>768.59999999999991</v>
          </cell>
          <cell r="AS46">
            <v>0</v>
          </cell>
          <cell r="AT46">
            <v>0</v>
          </cell>
          <cell r="AU46">
            <v>11.8765</v>
          </cell>
          <cell r="AV46">
            <v>70066.61</v>
          </cell>
          <cell r="AW46">
            <v>0</v>
          </cell>
          <cell r="AX46">
            <v>0</v>
          </cell>
          <cell r="AY46">
            <v>3.3000000000000002E-2</v>
          </cell>
          <cell r="AZ46">
            <v>214.2</v>
          </cell>
          <cell r="BA46">
            <v>0</v>
          </cell>
          <cell r="BB46">
            <v>0</v>
          </cell>
          <cell r="BC46">
            <v>0.52100000000000002</v>
          </cell>
          <cell r="BD46">
            <v>3369.98</v>
          </cell>
          <cell r="BE46">
            <v>0.55400000000000016</v>
          </cell>
          <cell r="BF46">
            <v>3584.18</v>
          </cell>
          <cell r="BG46">
            <v>0.15</v>
          </cell>
          <cell r="BH46">
            <v>937.5</v>
          </cell>
          <cell r="BI46">
            <v>1.8120000000000001</v>
          </cell>
          <cell r="BJ46">
            <v>10325.620000000001</v>
          </cell>
          <cell r="BK46">
            <v>0.27549999999999997</v>
          </cell>
          <cell r="BL46">
            <v>1610.01</v>
          </cell>
          <cell r="BM46">
            <v>0.28450000000000003</v>
          </cell>
          <cell r="BN46">
            <v>1802.6399999999999</v>
          </cell>
          <cell r="BO46">
            <v>1.4005000000000001</v>
          </cell>
          <cell r="BP46">
            <v>8946.35</v>
          </cell>
          <cell r="BQ46">
            <v>0</v>
          </cell>
          <cell r="BR46">
            <v>1.1839487723541708E-16</v>
          </cell>
          <cell r="BS46">
            <v>3.9225000000000003</v>
          </cell>
          <cell r="BT46">
            <v>23622.12</v>
          </cell>
          <cell r="BU46">
            <v>1.2999999999999999E-2</v>
          </cell>
          <cell r="BV46">
            <v>82.41</v>
          </cell>
          <cell r="BW46">
            <v>0</v>
          </cell>
          <cell r="BX46">
            <v>0</v>
          </cell>
          <cell r="BY46">
            <v>4.2250000000000003E-2</v>
          </cell>
          <cell r="BZ46">
            <v>279.06</v>
          </cell>
          <cell r="CA46">
            <v>1.5E-3</v>
          </cell>
          <cell r="CB46">
            <v>11.16</v>
          </cell>
          <cell r="CC46">
            <v>-7.5000000000000002E-4</v>
          </cell>
          <cell r="CD46">
            <v>-7.26</v>
          </cell>
          <cell r="CE46">
            <v>0</v>
          </cell>
          <cell r="CF46">
            <v>0</v>
          </cell>
          <cell r="CG46">
            <v>0.26</v>
          </cell>
          <cell r="CH46">
            <v>1578.15</v>
          </cell>
          <cell r="CI46">
            <v>0.316</v>
          </cell>
          <cell r="CJ46">
            <v>1943.52</v>
          </cell>
          <cell r="CK46">
            <v>4.238500000000001</v>
          </cell>
          <cell r="CL46">
            <v>25565.640000000003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0.49225000000000002</v>
          </cell>
          <cell r="CV46">
            <v>3128.45</v>
          </cell>
          <cell r="CW46">
            <v>0</v>
          </cell>
          <cell r="CX46">
            <v>0</v>
          </cell>
          <cell r="CY46">
            <v>4.1749999999999995E-2</v>
          </cell>
          <cell r="CZ46">
            <v>297.79000000000002</v>
          </cell>
          <cell r="DA46">
            <v>4.1999999999999996E-2</v>
          </cell>
          <cell r="DB46">
            <v>317.52000000000004</v>
          </cell>
          <cell r="DC46">
            <v>7.7499999999999999E-3</v>
          </cell>
          <cell r="DD46">
            <v>51.64</v>
          </cell>
          <cell r="DE46">
            <v>9.1499999999999998E-2</v>
          </cell>
          <cell r="DF46">
            <v>666.95</v>
          </cell>
          <cell r="DG46">
            <v>0.16925000000000001</v>
          </cell>
          <cell r="DH46">
            <v>1010.07</v>
          </cell>
          <cell r="DI46">
            <v>7.9000000000000001E-2</v>
          </cell>
          <cell r="DJ46">
            <v>566.28</v>
          </cell>
          <cell r="DK46">
            <v>6.4500000000000002E-2</v>
          </cell>
          <cell r="DL46">
            <v>440.1</v>
          </cell>
          <cell r="DM46">
            <v>0.35575000000000001</v>
          </cell>
          <cell r="DN46">
            <v>2290.3500000000004</v>
          </cell>
          <cell r="DO46">
            <v>0.27050000000000002</v>
          </cell>
          <cell r="DP46">
            <v>1738.8999999999999</v>
          </cell>
          <cell r="DQ46">
            <v>0.19175</v>
          </cell>
          <cell r="DR46">
            <v>1160.5899999999999</v>
          </cell>
          <cell r="DS46">
            <v>0.03</v>
          </cell>
          <cell r="DT46">
            <v>228.95999999999998</v>
          </cell>
          <cell r="DU46">
            <v>0.49225000000000002</v>
          </cell>
          <cell r="DV46">
            <v>3128.45</v>
          </cell>
          <cell r="DW46">
            <v>11.8765</v>
          </cell>
          <cell r="DX46">
            <v>70066.61</v>
          </cell>
          <cell r="DY46" t="str">
            <v>Hedef</v>
          </cell>
          <cell r="DZ46">
            <v>0</v>
          </cell>
          <cell r="EA46">
            <v>5899.6008925188398</v>
          </cell>
        </row>
        <row r="47">
          <cell r="B47">
            <v>130456</v>
          </cell>
          <cell r="C47" t="str">
            <v>სპრედი კრისტიანსკოე_200გრ*48</v>
          </cell>
          <cell r="D47" t="str">
            <v>TON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2.8E-3</v>
          </cell>
          <cell r="AL47">
            <v>24.16</v>
          </cell>
          <cell r="AO47">
            <v>2.8E-3</v>
          </cell>
          <cell r="AP47">
            <v>24.16</v>
          </cell>
          <cell r="AS47">
            <v>0</v>
          </cell>
          <cell r="AT47">
            <v>0</v>
          </cell>
          <cell r="AU47">
            <v>2.8199999999999999E-2</v>
          </cell>
          <cell r="AV47">
            <v>266.99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-4.0000000000000002E-4</v>
          </cell>
          <cell r="BD47">
            <v>-5.36</v>
          </cell>
          <cell r="BE47">
            <v>-4.0000000000000002E-4</v>
          </cell>
          <cell r="BF47">
            <v>-5.36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2.3999999999999998E-3</v>
          </cell>
          <cell r="CB47">
            <v>25.2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2.3999999999999998E-3</v>
          </cell>
          <cell r="CJ47">
            <v>25.2</v>
          </cell>
          <cell r="CK47">
            <v>2.3999999999999998E-3</v>
          </cell>
          <cell r="CL47">
            <v>25.2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8.3999999999999995E-3</v>
          </cell>
          <cell r="DB47">
            <v>88.2</v>
          </cell>
          <cell r="DC47">
            <v>1.4E-2</v>
          </cell>
          <cell r="DD47">
            <v>124.29</v>
          </cell>
          <cell r="DE47">
            <v>2.24E-2</v>
          </cell>
          <cell r="DF47">
            <v>212.49</v>
          </cell>
          <cell r="DG47">
            <v>1E-3</v>
          </cell>
          <cell r="DH47">
            <v>10.5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1E-3</v>
          </cell>
          <cell r="DN47">
            <v>10.5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2.8199999999999999E-2</v>
          </cell>
          <cell r="DX47">
            <v>266.99</v>
          </cell>
          <cell r="DY47" t="str">
            <v/>
          </cell>
          <cell r="DZ47">
            <v>0</v>
          </cell>
          <cell r="EA47">
            <v>9467.7304964539017</v>
          </cell>
        </row>
        <row r="48">
          <cell r="B48">
            <v>219188</v>
          </cell>
          <cell r="C48" t="str">
            <v>სპრედი კალინკა-500გრ*12</v>
          </cell>
          <cell r="D48" t="str">
            <v>TON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O48">
            <v>0</v>
          </cell>
          <cell r="AP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 t="str">
            <v/>
          </cell>
          <cell r="DZ48" t="str">
            <v>pasiv</v>
          </cell>
          <cell r="EA48" t="e">
            <v>#DIV/0!</v>
          </cell>
        </row>
        <row r="49">
          <cell r="B49">
            <v>366937</v>
          </cell>
          <cell r="C49" t="str">
            <v>სპრედი_ჩვენი სუფრა_1კგ_15ც+1ც</v>
          </cell>
          <cell r="D49" t="str">
            <v>TON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O49">
            <v>0</v>
          </cell>
          <cell r="AP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 t="str">
            <v/>
          </cell>
          <cell r="DZ49" t="str">
            <v>pasiv</v>
          </cell>
          <cell r="EA49" t="e">
            <v>#DIV/0!</v>
          </cell>
        </row>
        <row r="50">
          <cell r="B50">
            <v>366938</v>
          </cell>
          <cell r="C50" t="str">
            <v>სპრედი_ჩვენი სუფრა_0.5კგ_15ც+1ც</v>
          </cell>
          <cell r="D50" t="str">
            <v>TON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O50">
            <v>0</v>
          </cell>
          <cell r="AP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 t="str">
            <v/>
          </cell>
          <cell r="DZ50" t="str">
            <v>pasiv</v>
          </cell>
          <cell r="EA50" t="e">
            <v>#DIV/0!</v>
          </cell>
        </row>
        <row r="51">
          <cell r="B51">
            <v>366939</v>
          </cell>
          <cell r="C51" t="str">
            <v>სპრედი_კრისტიანსკოე_82%_500გ_15ც+1ც</v>
          </cell>
          <cell r="D51" t="str">
            <v>TON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O51">
            <v>0</v>
          </cell>
          <cell r="AP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 t="str">
            <v/>
          </cell>
          <cell r="DZ51" t="str">
            <v>pasiv</v>
          </cell>
          <cell r="EA51" t="e">
            <v>#DIV/0!</v>
          </cell>
        </row>
        <row r="52">
          <cell r="B52">
            <v>366940</v>
          </cell>
          <cell r="C52" t="str">
            <v>სპრედი_კრისტიანსკოე_200გ_15ც+1ც</v>
          </cell>
          <cell r="D52" t="str">
            <v>TON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O52">
            <v>0</v>
          </cell>
          <cell r="AP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 t="str">
            <v/>
          </cell>
          <cell r="DZ52" t="str">
            <v>pasiv</v>
          </cell>
          <cell r="EA52" t="e">
            <v>#DIV/0!</v>
          </cell>
        </row>
        <row r="53">
          <cell r="B53">
            <v>366941</v>
          </cell>
          <cell r="C53" t="str">
            <v>სპრედი_კალინკა_1კგ_15ც+1ც</v>
          </cell>
          <cell r="D53" t="str">
            <v>TON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O53">
            <v>0</v>
          </cell>
          <cell r="AP53">
            <v>0</v>
          </cell>
          <cell r="AS53">
            <v>0</v>
          </cell>
          <cell r="AT53">
            <v>0</v>
          </cell>
          <cell r="AU53">
            <v>1.6E-2</v>
          </cell>
          <cell r="AV53">
            <v>160.05000000000001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1.6E-2</v>
          </cell>
          <cell r="BD53">
            <v>160.05000000000001</v>
          </cell>
          <cell r="BE53">
            <v>1.6E-2</v>
          </cell>
          <cell r="BF53">
            <v>160.05000000000001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1.6E-2</v>
          </cell>
          <cell r="DX53">
            <v>160.05000000000001</v>
          </cell>
          <cell r="DY53" t="str">
            <v/>
          </cell>
          <cell r="DZ53">
            <v>0</v>
          </cell>
          <cell r="EA53">
            <v>10003.125</v>
          </cell>
        </row>
        <row r="54">
          <cell r="B54">
            <v>367191</v>
          </cell>
          <cell r="C54" t="str">
            <v>სპრედ.ტკბ.ნაღების_კულინარკა_500გ_15ც+1ც</v>
          </cell>
          <cell r="D54" t="str">
            <v>TON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O54">
            <v>0</v>
          </cell>
          <cell r="AP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 t="str">
            <v/>
          </cell>
          <cell r="DZ54" t="str">
            <v>pasiv</v>
          </cell>
          <cell r="EA54" t="e">
            <v>#DIV/0!</v>
          </cell>
        </row>
        <row r="55">
          <cell r="B55">
            <v>304368</v>
          </cell>
          <cell r="C55" t="str">
            <v>კრისტიანსკოე-1კგ*12_სპრედი</v>
          </cell>
          <cell r="D55" t="str">
            <v>TON</v>
          </cell>
          <cell r="E55">
            <v>0</v>
          </cell>
          <cell r="F55">
            <v>0</v>
          </cell>
          <cell r="G55">
            <v>5.0000000000000001E-3</v>
          </cell>
          <cell r="H55">
            <v>39.36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O55">
            <v>5.0000000000000001E-3</v>
          </cell>
          <cell r="P55">
            <v>39.36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4.0000000000000001E-3</v>
          </cell>
          <cell r="AD55">
            <v>34.44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1.7999999999999999E-2</v>
          </cell>
          <cell r="AL55">
            <v>154.97999999999999</v>
          </cell>
          <cell r="AO55">
            <v>2.1999999999999999E-2</v>
          </cell>
          <cell r="AP55">
            <v>189.42</v>
          </cell>
          <cell r="AS55">
            <v>0</v>
          </cell>
          <cell r="AT55">
            <v>0</v>
          </cell>
          <cell r="AU55">
            <v>0.35199999999999998</v>
          </cell>
          <cell r="AV55">
            <v>2806.25</v>
          </cell>
          <cell r="AW55">
            <v>0</v>
          </cell>
          <cell r="AX55">
            <v>0</v>
          </cell>
          <cell r="AY55">
            <v>1.0999999999999999E-2</v>
          </cell>
          <cell r="AZ55">
            <v>94.71</v>
          </cell>
          <cell r="BA55">
            <v>0</v>
          </cell>
          <cell r="BB55">
            <v>0</v>
          </cell>
          <cell r="BC55">
            <v>1.2E-2</v>
          </cell>
          <cell r="BD55">
            <v>99.29</v>
          </cell>
          <cell r="BE55">
            <v>2.3E-2</v>
          </cell>
          <cell r="BF55">
            <v>194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8.0000000000000002E-3</v>
          </cell>
          <cell r="BN55">
            <v>68.88</v>
          </cell>
          <cell r="BO55">
            <v>-2E-3</v>
          </cell>
          <cell r="BP55">
            <v>-23.08</v>
          </cell>
          <cell r="BQ55">
            <v>0</v>
          </cell>
          <cell r="BR55">
            <v>0</v>
          </cell>
          <cell r="BS55">
            <v>6.0000000000000001E-3</v>
          </cell>
          <cell r="BT55">
            <v>45.8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1.2E-2</v>
          </cell>
          <cell r="CB55">
            <v>103.32</v>
          </cell>
          <cell r="CC55">
            <v>0</v>
          </cell>
          <cell r="CD55">
            <v>0</v>
          </cell>
          <cell r="CE55">
            <v>0.03</v>
          </cell>
          <cell r="CF55">
            <v>231.24</v>
          </cell>
          <cell r="CG55">
            <v>1.4999999999999999E-2</v>
          </cell>
          <cell r="CH55">
            <v>119.06</v>
          </cell>
          <cell r="CI55">
            <v>5.7000000000000002E-2</v>
          </cell>
          <cell r="CJ55">
            <v>453.62</v>
          </cell>
          <cell r="CK55">
            <v>6.3E-2</v>
          </cell>
          <cell r="CL55">
            <v>499.42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2.1999999999999999E-2</v>
          </cell>
          <cell r="CV55">
            <v>189.42</v>
          </cell>
          <cell r="CW55">
            <v>0</v>
          </cell>
          <cell r="CX55">
            <v>0</v>
          </cell>
          <cell r="CY55">
            <v>8.1000000000000003E-2</v>
          </cell>
          <cell r="CZ55">
            <v>629.37</v>
          </cell>
          <cell r="DA55">
            <v>4.8000000000000001E-2</v>
          </cell>
          <cell r="DB55">
            <v>413.28</v>
          </cell>
          <cell r="DC55">
            <v>6.0000000000000001E-3</v>
          </cell>
          <cell r="DD55">
            <v>51.66</v>
          </cell>
          <cell r="DE55">
            <v>0.13500000000000001</v>
          </cell>
          <cell r="DF55">
            <v>1094.3100000000002</v>
          </cell>
          <cell r="DG55">
            <v>1.2E-2</v>
          </cell>
          <cell r="DH55">
            <v>84.1</v>
          </cell>
          <cell r="DI55">
            <v>5.1999999999999998E-2</v>
          </cell>
          <cell r="DJ55">
            <v>376.96</v>
          </cell>
          <cell r="DK55">
            <v>1.7999999999999999E-2</v>
          </cell>
          <cell r="DL55">
            <v>139.26</v>
          </cell>
          <cell r="DM55">
            <v>8.2000000000000003E-2</v>
          </cell>
          <cell r="DN55">
            <v>600.32000000000005</v>
          </cell>
          <cell r="DO55">
            <v>1.2E-2</v>
          </cell>
          <cell r="DP55">
            <v>103.32</v>
          </cell>
          <cell r="DQ55">
            <v>0</v>
          </cell>
          <cell r="DR55">
            <v>0</v>
          </cell>
          <cell r="DS55">
            <v>0.01</v>
          </cell>
          <cell r="DT55">
            <v>86.1</v>
          </cell>
          <cell r="DU55">
            <v>2.1999999999999999E-2</v>
          </cell>
          <cell r="DV55">
            <v>189.42</v>
          </cell>
          <cell r="DW55">
            <v>0.35200000000000009</v>
          </cell>
          <cell r="DX55">
            <v>2806.2500000000005</v>
          </cell>
          <cell r="DY55" t="str">
            <v/>
          </cell>
          <cell r="DZ55">
            <v>0</v>
          </cell>
          <cell r="EA55">
            <v>7972.301136363636</v>
          </cell>
        </row>
        <row r="56">
          <cell r="B56">
            <v>371794</v>
          </cell>
          <cell r="C56" t="str">
            <v>სპრედი_დორინუშკა_4.7კგ</v>
          </cell>
          <cell r="D56" t="str">
            <v>TON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O56">
            <v>0</v>
          </cell>
          <cell r="AP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 t="str">
            <v/>
          </cell>
          <cell r="DZ56" t="str">
            <v>pasiv</v>
          </cell>
          <cell r="EA56" t="e">
            <v>#DIV/0!</v>
          </cell>
        </row>
        <row r="57">
          <cell r="B57">
            <v>348174</v>
          </cell>
          <cell r="C57" t="str">
            <v>სპრედი_კულინარკა_72.5%_1კგ_15ც+1ც</v>
          </cell>
          <cell r="D57" t="str">
            <v>TON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O57">
            <v>0</v>
          </cell>
          <cell r="AP57">
            <v>0</v>
          </cell>
          <cell r="AS57">
            <v>0</v>
          </cell>
          <cell r="AT57">
            <v>0</v>
          </cell>
          <cell r="AU57">
            <v>1.6E-2</v>
          </cell>
          <cell r="AV57">
            <v>112.5</v>
          </cell>
          <cell r="AW57">
            <v>0</v>
          </cell>
          <cell r="AX57">
            <v>0</v>
          </cell>
          <cell r="AY57">
            <v>1.6E-2</v>
          </cell>
          <cell r="AZ57">
            <v>112.5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1.6E-2</v>
          </cell>
          <cell r="BF57">
            <v>112.5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1.6E-2</v>
          </cell>
          <cell r="DX57">
            <v>112.5</v>
          </cell>
          <cell r="DY57" t="str">
            <v/>
          </cell>
          <cell r="DZ57">
            <v>0</v>
          </cell>
          <cell r="EA57">
            <v>7031.25</v>
          </cell>
        </row>
        <row r="58">
          <cell r="B58">
            <v>110622</v>
          </cell>
          <cell r="C58" t="str">
            <v>ნარ.მც.ნაღების-კრისტიანსკოე-82%-5კგ</v>
          </cell>
          <cell r="D58" t="str">
            <v>TON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O58">
            <v>0</v>
          </cell>
          <cell r="AP58">
            <v>0</v>
          </cell>
          <cell r="AS58">
            <v>0</v>
          </cell>
          <cell r="AT58">
            <v>0</v>
          </cell>
          <cell r="AU58">
            <v>0.125</v>
          </cell>
          <cell r="AV58">
            <v>866.2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0.125</v>
          </cell>
          <cell r="DL58">
            <v>866.2</v>
          </cell>
          <cell r="DM58">
            <v>0.125</v>
          </cell>
          <cell r="DN58">
            <v>866.2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0.125</v>
          </cell>
          <cell r="DX58">
            <v>866.2</v>
          </cell>
          <cell r="DY58" t="str">
            <v/>
          </cell>
          <cell r="DZ58">
            <v>0</v>
          </cell>
          <cell r="EA58">
            <v>6929.6</v>
          </cell>
        </row>
        <row r="59">
          <cell r="B59">
            <v>232697</v>
          </cell>
          <cell r="C59" t="str">
            <v>სპრედ.ტკბ.ნაღების_კულინარკა_500გრ*12_მ_72%</v>
          </cell>
          <cell r="D59" t="str">
            <v>TON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O59">
            <v>0</v>
          </cell>
          <cell r="AP59">
            <v>0</v>
          </cell>
          <cell r="AS59">
            <v>0</v>
          </cell>
          <cell r="AT59">
            <v>0</v>
          </cell>
          <cell r="AU59">
            <v>7.2999999999999995E-2</v>
          </cell>
          <cell r="AV59">
            <v>614.89</v>
          </cell>
          <cell r="AW59">
            <v>0</v>
          </cell>
          <cell r="AX59">
            <v>0</v>
          </cell>
          <cell r="AY59">
            <v>2.7E-2</v>
          </cell>
          <cell r="AZ59">
            <v>225.6</v>
          </cell>
          <cell r="BA59">
            <v>0</v>
          </cell>
          <cell r="BB59">
            <v>0</v>
          </cell>
          <cell r="BC59">
            <v>-5.0000000000000001E-4</v>
          </cell>
          <cell r="BD59">
            <v>-2.72</v>
          </cell>
          <cell r="BE59">
            <v>2.6499999999999999E-2</v>
          </cell>
          <cell r="BF59">
            <v>222.88</v>
          </cell>
          <cell r="BG59">
            <v>0</v>
          </cell>
          <cell r="BH59">
            <v>0</v>
          </cell>
          <cell r="BI59">
            <v>-2E-3</v>
          </cell>
          <cell r="BJ59">
            <v>-16.8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-2E-3</v>
          </cell>
          <cell r="BT59">
            <v>-16.8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2.5000000000000001E-3</v>
          </cell>
          <cell r="CB59">
            <v>21</v>
          </cell>
          <cell r="CC59">
            <v>0</v>
          </cell>
          <cell r="CD59">
            <v>0</v>
          </cell>
          <cell r="CE59">
            <v>1.7999999999999999E-2</v>
          </cell>
          <cell r="CF59">
            <v>151.19999999999999</v>
          </cell>
          <cell r="CG59">
            <v>0</v>
          </cell>
          <cell r="CH59">
            <v>0</v>
          </cell>
          <cell r="CI59">
            <v>2.0500000000000001E-2</v>
          </cell>
          <cell r="CJ59">
            <v>172.2</v>
          </cell>
          <cell r="CK59">
            <v>1.8500000000000003E-2</v>
          </cell>
          <cell r="CL59">
            <v>155.39999999999998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1.7000000000000001E-2</v>
          </cell>
          <cell r="CZ59">
            <v>141.72</v>
          </cell>
          <cell r="DA59">
            <v>5.0000000000000001E-4</v>
          </cell>
          <cell r="DB59">
            <v>20.16</v>
          </cell>
          <cell r="DC59">
            <v>1.0500000000000001E-2</v>
          </cell>
          <cell r="DD59">
            <v>74.73</v>
          </cell>
          <cell r="DE59">
            <v>2.8000000000000004E-2</v>
          </cell>
          <cell r="DF59">
            <v>236.61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7.3000000000000009E-2</v>
          </cell>
          <cell r="DX59">
            <v>614.89</v>
          </cell>
          <cell r="DY59" t="str">
            <v/>
          </cell>
          <cell r="DZ59">
            <v>0</v>
          </cell>
          <cell r="EA59">
            <v>8423.1506849315065</v>
          </cell>
        </row>
        <row r="60">
          <cell r="B60">
            <v>224070</v>
          </cell>
          <cell r="C60" t="str">
            <v>სპრედი კრესტიანსკოე_82%_500გრ*12</v>
          </cell>
          <cell r="D60" t="str">
            <v>TON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O60">
            <v>0</v>
          </cell>
          <cell r="AP60">
            <v>0</v>
          </cell>
          <cell r="AS60">
            <v>0</v>
          </cell>
          <cell r="AT60">
            <v>0</v>
          </cell>
          <cell r="AU60">
            <v>5.45E-2</v>
          </cell>
          <cell r="AV60">
            <v>538.55999999999995</v>
          </cell>
          <cell r="AW60">
            <v>0</v>
          </cell>
          <cell r="AX60">
            <v>0</v>
          </cell>
          <cell r="AY60">
            <v>1.7999999999999999E-2</v>
          </cell>
          <cell r="AZ60">
            <v>177.84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1.7999999999999999E-2</v>
          </cell>
          <cell r="BF60">
            <v>177.84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1E-3</v>
          </cell>
          <cell r="CB60">
            <v>9.8800000000000008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1E-3</v>
          </cell>
          <cell r="CJ60">
            <v>9.8800000000000008</v>
          </cell>
          <cell r="CK60">
            <v>1E-3</v>
          </cell>
          <cell r="CL60">
            <v>9.8800000000000008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3.5999999999999997E-2</v>
          </cell>
          <cell r="CZ60">
            <v>355.68</v>
          </cell>
          <cell r="DA60">
            <v>-5.0000000000000001E-4</v>
          </cell>
          <cell r="DB60">
            <v>-4.84</v>
          </cell>
          <cell r="DC60">
            <v>0</v>
          </cell>
          <cell r="DD60">
            <v>0</v>
          </cell>
          <cell r="DE60">
            <v>3.5499999999999997E-2</v>
          </cell>
          <cell r="DF60">
            <v>350.84000000000003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5.4499999999999993E-2</v>
          </cell>
          <cell r="DX60">
            <v>538.56000000000006</v>
          </cell>
          <cell r="DY60" t="str">
            <v/>
          </cell>
          <cell r="DZ60">
            <v>0</v>
          </cell>
          <cell r="EA60">
            <v>9881.8348623853235</v>
          </cell>
        </row>
        <row r="61">
          <cell r="B61">
            <v>275728</v>
          </cell>
          <cell r="C61" t="str">
            <v>სპრედი_კალინკა_1კგ*12</v>
          </cell>
          <cell r="D61" t="str">
            <v>TON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O61">
            <v>0</v>
          </cell>
          <cell r="AP61">
            <v>0</v>
          </cell>
          <cell r="AS61">
            <v>0</v>
          </cell>
          <cell r="AT61">
            <v>0</v>
          </cell>
          <cell r="AU61">
            <v>-2.1000000000000001E-2</v>
          </cell>
          <cell r="AV61">
            <v>-244.11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-2.1000000000000001E-2</v>
          </cell>
          <cell r="CZ61">
            <v>-244.11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-2.1000000000000001E-2</v>
          </cell>
          <cell r="DF61">
            <v>-244.11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-2.1000000000000001E-2</v>
          </cell>
          <cell r="DX61">
            <v>-244.11</v>
          </cell>
          <cell r="DY61" t="str">
            <v/>
          </cell>
          <cell r="DZ61">
            <v>0</v>
          </cell>
          <cell r="EA61">
            <v>11624.285714285714</v>
          </cell>
        </row>
        <row r="62">
          <cell r="A62">
            <v>1</v>
          </cell>
          <cell r="B62">
            <v>330581</v>
          </cell>
          <cell r="C62" t="str">
            <v>სპრედი_ფინალი_1კგ*12</v>
          </cell>
          <cell r="D62" t="str">
            <v>TON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1E-3</v>
          </cell>
          <cell r="AF62">
            <v>7.43</v>
          </cell>
          <cell r="AG62">
            <v>6.0000000000000001E-3</v>
          </cell>
          <cell r="AH62">
            <v>49.8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O62">
            <v>7.0000000000000001E-3</v>
          </cell>
          <cell r="AP62">
            <v>57.23</v>
          </cell>
          <cell r="AS62">
            <v>0</v>
          </cell>
          <cell r="AT62">
            <v>0</v>
          </cell>
          <cell r="AU62">
            <v>-0.03</v>
          </cell>
          <cell r="AV62">
            <v>-326.45</v>
          </cell>
          <cell r="AW62">
            <v>0</v>
          </cell>
          <cell r="AX62">
            <v>0</v>
          </cell>
          <cell r="AY62">
            <v>-1.6E-2</v>
          </cell>
          <cell r="AZ62">
            <v>-177.92</v>
          </cell>
          <cell r="BA62">
            <v>0</v>
          </cell>
          <cell r="BB62">
            <v>0</v>
          </cell>
          <cell r="BC62">
            <v>-8.0000000000000002E-3</v>
          </cell>
          <cell r="BD62">
            <v>-65.12</v>
          </cell>
          <cell r="BE62">
            <v>-2.4E-2</v>
          </cell>
          <cell r="BF62">
            <v>-243.04</v>
          </cell>
          <cell r="BG62">
            <v>0</v>
          </cell>
          <cell r="BH62">
            <v>0</v>
          </cell>
          <cell r="BI62">
            <v>-1.7999999999999999E-2</v>
          </cell>
          <cell r="BJ62">
            <v>-149.4</v>
          </cell>
          <cell r="BK62">
            <v>0</v>
          </cell>
          <cell r="BL62">
            <v>0</v>
          </cell>
          <cell r="BM62">
            <v>6.0000000000000001E-3</v>
          </cell>
          <cell r="BN62">
            <v>49.8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-1.2E-2</v>
          </cell>
          <cell r="BT62">
            <v>-99.6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-1.2E-2</v>
          </cell>
          <cell r="CL62">
            <v>-99.6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8.0000000000000002E-3</v>
          </cell>
          <cell r="CV62">
            <v>66.400000000000006</v>
          </cell>
          <cell r="CW62">
            <v>0</v>
          </cell>
          <cell r="CX62">
            <v>0</v>
          </cell>
          <cell r="CY62">
            <v>-1.4E-2</v>
          </cell>
          <cell r="CZ62">
            <v>-147.44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-1.4E-2</v>
          </cell>
          <cell r="DF62">
            <v>-147.44</v>
          </cell>
          <cell r="DG62">
            <v>0</v>
          </cell>
          <cell r="DH62">
            <v>0</v>
          </cell>
          <cell r="DI62">
            <v>0</v>
          </cell>
          <cell r="DJ62">
            <v>-0.89999999999999902</v>
          </cell>
          <cell r="DK62">
            <v>5.0000000000000001E-3</v>
          </cell>
          <cell r="DL62">
            <v>40.9</v>
          </cell>
          <cell r="DM62">
            <v>5.0000000000000001E-3</v>
          </cell>
          <cell r="DN62">
            <v>40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8.0000000000000002E-3</v>
          </cell>
          <cell r="DT62">
            <v>66.400000000000006</v>
          </cell>
          <cell r="DU62">
            <v>8.0000000000000002E-3</v>
          </cell>
          <cell r="DV62">
            <v>66.400000000000006</v>
          </cell>
          <cell r="DW62">
            <v>-3.0000000000000006E-2</v>
          </cell>
          <cell r="DX62">
            <v>-326.44999999999993</v>
          </cell>
          <cell r="DY62" t="str">
            <v>Hedef</v>
          </cell>
          <cell r="DZ62">
            <v>0</v>
          </cell>
          <cell r="EA62">
            <v>10881.666666666662</v>
          </cell>
        </row>
        <row r="63">
          <cell r="A63">
            <v>1</v>
          </cell>
          <cell r="B63">
            <v>334029</v>
          </cell>
          <cell r="C63" t="str">
            <v>სპრედი_კულინარკა_82.5%_1კგ*12</v>
          </cell>
          <cell r="D63" t="str">
            <v>TON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O63">
            <v>0</v>
          </cell>
          <cell r="AP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 t="str">
            <v>Hedef</v>
          </cell>
          <cell r="DZ63" t="str">
            <v>pasiv</v>
          </cell>
          <cell r="EA63" t="e">
            <v>#DIV/0!</v>
          </cell>
        </row>
        <row r="64">
          <cell r="A64">
            <v>1</v>
          </cell>
          <cell r="B64">
            <v>334100</v>
          </cell>
          <cell r="C64" t="str">
            <v>სპრედი_კულინარკა_72.5%_1კგ*12</v>
          </cell>
          <cell r="D64" t="str">
            <v>TON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O64">
            <v>0</v>
          </cell>
          <cell r="AP64">
            <v>0</v>
          </cell>
          <cell r="AS64">
            <v>0</v>
          </cell>
          <cell r="AT64">
            <v>0</v>
          </cell>
          <cell r="AU64">
            <v>1.4E-2</v>
          </cell>
          <cell r="AV64">
            <v>100.36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2E-3</v>
          </cell>
          <cell r="CB64">
            <v>15.76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2E-3</v>
          </cell>
          <cell r="CJ64">
            <v>15.76</v>
          </cell>
          <cell r="CK64">
            <v>2E-3</v>
          </cell>
          <cell r="CL64">
            <v>15.76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1.2E-2</v>
          </cell>
          <cell r="DD64">
            <v>84.6</v>
          </cell>
          <cell r="DE64">
            <v>1.2E-2</v>
          </cell>
          <cell r="DF64">
            <v>84.6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1.4E-2</v>
          </cell>
          <cell r="DX64">
            <v>100.36</v>
          </cell>
          <cell r="DY64" t="str">
            <v>Hedef</v>
          </cell>
          <cell r="DZ64">
            <v>0</v>
          </cell>
          <cell r="EA64">
            <v>7168.5714285714284</v>
          </cell>
        </row>
        <row r="65">
          <cell r="A65">
            <v>1</v>
          </cell>
          <cell r="B65">
            <v>272921</v>
          </cell>
          <cell r="C65" t="str">
            <v>კრისტიანსკოე სპრედი-1კგ_15ც+1ც</v>
          </cell>
          <cell r="D65" t="str">
            <v>TON</v>
          </cell>
          <cell r="E65">
            <v>0</v>
          </cell>
          <cell r="F65">
            <v>0</v>
          </cell>
          <cell r="G65">
            <v>6.4000000000000001E-2</v>
          </cell>
          <cell r="H65">
            <v>482.16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O65">
            <v>6.4000000000000001E-2</v>
          </cell>
          <cell r="P65">
            <v>482.16</v>
          </cell>
          <cell r="Q65">
            <v>1.6E-2</v>
          </cell>
          <cell r="R65">
            <v>120.54</v>
          </cell>
          <cell r="S65">
            <v>0.16</v>
          </cell>
          <cell r="T65">
            <v>1172.19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0.17599999999999999</v>
          </cell>
          <cell r="Z65">
            <v>1292.73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O65">
            <v>0</v>
          </cell>
          <cell r="AP65">
            <v>0</v>
          </cell>
          <cell r="AS65">
            <v>0</v>
          </cell>
          <cell r="AT65">
            <v>0</v>
          </cell>
          <cell r="AU65">
            <v>3.04</v>
          </cell>
          <cell r="AV65">
            <v>21594.68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2.6240000000000001</v>
          </cell>
          <cell r="BD65">
            <v>18506.150000000001</v>
          </cell>
          <cell r="BE65">
            <v>2.6240000000000001</v>
          </cell>
          <cell r="BF65">
            <v>18506.150000000001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0.128</v>
          </cell>
          <cell r="CV65">
            <v>944.64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4.8000000000000001E-2</v>
          </cell>
          <cell r="DL65">
            <v>369</v>
          </cell>
          <cell r="DM65">
            <v>4.8000000000000001E-2</v>
          </cell>
          <cell r="DN65">
            <v>369</v>
          </cell>
          <cell r="DO65">
            <v>0</v>
          </cell>
          <cell r="DP65">
            <v>0</v>
          </cell>
          <cell r="DQ65">
            <v>0.128</v>
          </cell>
          <cell r="DR65">
            <v>944.64</v>
          </cell>
          <cell r="DS65">
            <v>0</v>
          </cell>
          <cell r="DT65">
            <v>0</v>
          </cell>
          <cell r="DU65">
            <v>0.128</v>
          </cell>
          <cell r="DV65">
            <v>944.64</v>
          </cell>
          <cell r="DW65">
            <v>3.0400000000000005</v>
          </cell>
          <cell r="DX65">
            <v>21594.68</v>
          </cell>
          <cell r="DY65" t="str">
            <v>Hedef</v>
          </cell>
          <cell r="DZ65">
            <v>0</v>
          </cell>
          <cell r="EA65">
            <v>7103.5131578947357</v>
          </cell>
        </row>
        <row r="66">
          <cell r="A66">
            <v>1</v>
          </cell>
          <cell r="B66">
            <v>272726</v>
          </cell>
          <cell r="C66" t="str">
            <v>კრისტიანსკოე-5კგ_სპრედი_15ც+1ც</v>
          </cell>
          <cell r="D66" t="str">
            <v>TON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0.08</v>
          </cell>
          <cell r="T66">
            <v>590.4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0.08</v>
          </cell>
          <cell r="Z66">
            <v>590.4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O66">
            <v>0</v>
          </cell>
          <cell r="AP66">
            <v>0</v>
          </cell>
          <cell r="AS66">
            <v>0</v>
          </cell>
          <cell r="AT66">
            <v>0</v>
          </cell>
          <cell r="AU66">
            <v>0.24</v>
          </cell>
          <cell r="AV66">
            <v>1783.5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0.16</v>
          </cell>
          <cell r="DL66">
            <v>1193.0999999999999</v>
          </cell>
          <cell r="DM66">
            <v>0.16</v>
          </cell>
          <cell r="DN66">
            <v>1193.0999999999999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0.24</v>
          </cell>
          <cell r="DX66">
            <v>1783.5</v>
          </cell>
          <cell r="DY66" t="str">
            <v>Hedef</v>
          </cell>
          <cell r="DZ66">
            <v>0</v>
          </cell>
          <cell r="EA66">
            <v>7431.25</v>
          </cell>
        </row>
        <row r="67">
          <cell r="A67">
            <v>1</v>
          </cell>
          <cell r="B67">
            <v>272919</v>
          </cell>
          <cell r="C67" t="str">
            <v>სპრედი ფერმერ მოსკოვსკოე_1კგ_15ც+1ც</v>
          </cell>
          <cell r="D67" t="str">
            <v>TON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1.6E-2</v>
          </cell>
          <cell r="T67">
            <v>112.04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1.6E-2</v>
          </cell>
          <cell r="Z67">
            <v>112.04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O67">
            <v>0</v>
          </cell>
          <cell r="AP67">
            <v>0</v>
          </cell>
          <cell r="AS67">
            <v>0</v>
          </cell>
          <cell r="AT67">
            <v>0</v>
          </cell>
          <cell r="AU67">
            <v>4.8000000000000001E-2</v>
          </cell>
          <cell r="AV67">
            <v>336.12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1.6E-2</v>
          </cell>
          <cell r="BD67">
            <v>112.04</v>
          </cell>
          <cell r="BE67">
            <v>1.6E-2</v>
          </cell>
          <cell r="BF67">
            <v>112.04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1.6E-2</v>
          </cell>
          <cell r="DL67">
            <v>112.04</v>
          </cell>
          <cell r="DM67">
            <v>1.6E-2</v>
          </cell>
          <cell r="DN67">
            <v>112.04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4.8000000000000001E-2</v>
          </cell>
          <cell r="DX67">
            <v>336.12</v>
          </cell>
          <cell r="DY67" t="str">
            <v>Hedef</v>
          </cell>
          <cell r="DZ67">
            <v>0</v>
          </cell>
          <cell r="EA67">
            <v>7002.5</v>
          </cell>
        </row>
        <row r="68">
          <cell r="A68">
            <v>1</v>
          </cell>
          <cell r="B68">
            <v>272683</v>
          </cell>
          <cell r="C68" t="str">
            <v>სპრედი_კულინარკა_5 კგ_15ც+1ც</v>
          </cell>
          <cell r="D68" t="str">
            <v>TON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0.08</v>
          </cell>
          <cell r="T68">
            <v>604.79999999999995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0.08</v>
          </cell>
          <cell r="Z68">
            <v>604.79999999999995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O68">
            <v>0</v>
          </cell>
          <cell r="AP68">
            <v>0</v>
          </cell>
          <cell r="AS68">
            <v>0</v>
          </cell>
          <cell r="AT68">
            <v>0</v>
          </cell>
          <cell r="AU68">
            <v>0.08</v>
          </cell>
          <cell r="AV68">
            <v>604.79999999999995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0.08</v>
          </cell>
          <cell r="DX68">
            <v>604.79999999999995</v>
          </cell>
          <cell r="DY68" t="str">
            <v>Hedef</v>
          </cell>
          <cell r="DZ68">
            <v>0</v>
          </cell>
          <cell r="EA68">
            <v>7559.9999999999991</v>
          </cell>
        </row>
        <row r="69">
          <cell r="B69">
            <v>248598</v>
          </cell>
          <cell r="C69" t="str">
            <v>სპრედ.ტკბ.ნაღების_კულინარკა_1 კგ*12_ჰ</v>
          </cell>
          <cell r="D69" t="str">
            <v>TON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O69">
            <v>0</v>
          </cell>
          <cell r="AP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 t="str">
            <v/>
          </cell>
          <cell r="DZ69" t="str">
            <v>pasiv</v>
          </cell>
          <cell r="EA69" t="e">
            <v>#DIV/0!</v>
          </cell>
        </row>
        <row r="70">
          <cell r="A70">
            <v>1</v>
          </cell>
          <cell r="B70">
            <v>349470</v>
          </cell>
          <cell r="C70" t="str">
            <v>სპრედი_ჩვენი სუფრა_0.5კგ*12</v>
          </cell>
          <cell r="D70" t="str">
            <v>TON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O70">
            <v>0</v>
          </cell>
          <cell r="AP70">
            <v>0</v>
          </cell>
          <cell r="AS70">
            <v>0</v>
          </cell>
          <cell r="AT70">
            <v>0</v>
          </cell>
          <cell r="AU70">
            <v>-5.0999999999999997E-2</v>
          </cell>
          <cell r="AV70">
            <v>-498.91</v>
          </cell>
          <cell r="AW70">
            <v>0</v>
          </cell>
          <cell r="AX70">
            <v>0</v>
          </cell>
          <cell r="AY70">
            <v>-6.4999999999999997E-3</v>
          </cell>
          <cell r="AZ70">
            <v>-63.05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-6.4999999999999997E-3</v>
          </cell>
          <cell r="BF70">
            <v>-63.05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1.5E-3</v>
          </cell>
          <cell r="BL70">
            <v>12.6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1.5E-3</v>
          </cell>
          <cell r="BT70">
            <v>12.6</v>
          </cell>
          <cell r="BU70">
            <v>5.0000000000000001E-3</v>
          </cell>
          <cell r="BV70">
            <v>38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5.0000000000000001E-3</v>
          </cell>
          <cell r="CJ70">
            <v>38</v>
          </cell>
          <cell r="CK70">
            <v>6.5000000000000006E-3</v>
          </cell>
          <cell r="CL70">
            <v>50.6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-3.95E-2</v>
          </cell>
          <cell r="CZ70">
            <v>-393.54</v>
          </cell>
          <cell r="DA70">
            <v>0</v>
          </cell>
          <cell r="DB70">
            <v>0</v>
          </cell>
          <cell r="DC70">
            <v>-1.15E-2</v>
          </cell>
          <cell r="DD70">
            <v>-92.92</v>
          </cell>
          <cell r="DE70">
            <v>-5.1000000000000004E-2</v>
          </cell>
          <cell r="DF70">
            <v>-486.46000000000004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-5.1000000000000004E-2</v>
          </cell>
          <cell r="DX70">
            <v>-498.91</v>
          </cell>
          <cell r="DY70" t="str">
            <v>Hedef</v>
          </cell>
          <cell r="DZ70">
            <v>0</v>
          </cell>
          <cell r="EA70">
            <v>9782.5490196078426</v>
          </cell>
        </row>
        <row r="71">
          <cell r="A71">
            <v>1</v>
          </cell>
          <cell r="B71">
            <v>349471</v>
          </cell>
          <cell r="C71" t="str">
            <v>სპრედი_ჩვენი სუფრა_1კგ*12</v>
          </cell>
          <cell r="D71" t="str">
            <v>TON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O71">
            <v>0</v>
          </cell>
          <cell r="AP71">
            <v>0</v>
          </cell>
          <cell r="AS71">
            <v>0</v>
          </cell>
          <cell r="AT71">
            <v>0</v>
          </cell>
          <cell r="AU71">
            <v>1.4999999999999999E-2</v>
          </cell>
          <cell r="AV71">
            <v>105.85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-7.0000000000000001E-3</v>
          </cell>
          <cell r="BD71">
            <v>-57.75</v>
          </cell>
          <cell r="BE71">
            <v>-7.0000000000000001E-3</v>
          </cell>
          <cell r="BF71">
            <v>-57.75</v>
          </cell>
          <cell r="BG71">
            <v>0</v>
          </cell>
          <cell r="BH71">
            <v>0</v>
          </cell>
          <cell r="BI71">
            <v>-2E-3</v>
          </cell>
          <cell r="BJ71">
            <v>-12.8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-2E-3</v>
          </cell>
          <cell r="BT71">
            <v>-12.8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-2E-3</v>
          </cell>
          <cell r="CL71">
            <v>-12.8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2.4E-2</v>
          </cell>
          <cell r="CZ71">
            <v>176.4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2.4E-2</v>
          </cell>
          <cell r="DF71">
            <v>176.4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1.4999999999999999E-2</v>
          </cell>
          <cell r="DX71">
            <v>105.85</v>
          </cell>
          <cell r="DY71" t="str">
            <v>Hedef</v>
          </cell>
          <cell r="DZ71">
            <v>0</v>
          </cell>
          <cell r="EA71">
            <v>7056.666666666667</v>
          </cell>
        </row>
        <row r="72">
          <cell r="B72">
            <v>358977</v>
          </cell>
          <cell r="C72" t="str">
            <v>სპრედი_ჩვენი სუფრა_1კგ_11ც+1ც</v>
          </cell>
          <cell r="D72" t="str">
            <v>TON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O72">
            <v>0</v>
          </cell>
          <cell r="AP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 t="str">
            <v/>
          </cell>
          <cell r="DZ72" t="str">
            <v>pasiv</v>
          </cell>
          <cell r="EA72" t="e">
            <v>#DIV/0!</v>
          </cell>
        </row>
        <row r="73">
          <cell r="B73">
            <v>358978</v>
          </cell>
          <cell r="C73" t="str">
            <v>სპრედი_ჩვენი სუფრა_0.5კგ_11ც+1ც</v>
          </cell>
          <cell r="D73" t="str">
            <v>TON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O73">
            <v>0</v>
          </cell>
          <cell r="AP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 t="str">
            <v/>
          </cell>
          <cell r="DZ73" t="str">
            <v>pasiv</v>
          </cell>
          <cell r="EA73" t="e">
            <v>#DIV/0!</v>
          </cell>
        </row>
        <row r="74">
          <cell r="B74">
            <v>217766</v>
          </cell>
          <cell r="C74" t="str">
            <v>სპრედი ფერმერ მოსკოვსკოე_1კგ*9</v>
          </cell>
          <cell r="D74" t="str">
            <v>TON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O74">
            <v>0</v>
          </cell>
          <cell r="AP74">
            <v>0</v>
          </cell>
          <cell r="AS74">
            <v>0</v>
          </cell>
          <cell r="AT74">
            <v>0</v>
          </cell>
          <cell r="AU74">
            <v>-5.0000000000000001E-3</v>
          </cell>
          <cell r="AV74">
            <v>-44.8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-5.0000000000000001E-3</v>
          </cell>
          <cell r="BD74">
            <v>-44.8</v>
          </cell>
          <cell r="BE74">
            <v>-5.0000000000000001E-3</v>
          </cell>
          <cell r="BF74">
            <v>-44.8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-5.0000000000000001E-3</v>
          </cell>
          <cell r="DX74">
            <v>-44.8</v>
          </cell>
          <cell r="DY74" t="str">
            <v/>
          </cell>
          <cell r="DZ74">
            <v>0</v>
          </cell>
          <cell r="EA74">
            <v>8960</v>
          </cell>
        </row>
        <row r="75">
          <cell r="B75">
            <v>248632</v>
          </cell>
          <cell r="C75" t="str">
            <v>კრისტიანსკოე-1კგ*12_სპრედი</v>
          </cell>
          <cell r="D75" t="str">
            <v>TON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O75">
            <v>0</v>
          </cell>
          <cell r="AP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 t="str">
            <v/>
          </cell>
          <cell r="DZ75" t="str">
            <v>pasiv</v>
          </cell>
          <cell r="EA75" t="e">
            <v>#DIV/0!</v>
          </cell>
        </row>
        <row r="76">
          <cell r="B76">
            <v>352053</v>
          </cell>
          <cell r="C76" t="str">
            <v>სპრედი_ფინალი_1კგ*12_15ც+1ც</v>
          </cell>
          <cell r="D76" t="str">
            <v>TON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4.8000000000000001E-2</v>
          </cell>
          <cell r="T76">
            <v>336.54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4.8000000000000001E-2</v>
          </cell>
          <cell r="Z76">
            <v>336.54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O76">
            <v>0</v>
          </cell>
          <cell r="AP76">
            <v>0</v>
          </cell>
          <cell r="AS76">
            <v>0</v>
          </cell>
          <cell r="AT76">
            <v>0</v>
          </cell>
          <cell r="AU76">
            <v>0.08</v>
          </cell>
          <cell r="AV76">
            <v>566.44000000000005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3.2000000000000001E-2</v>
          </cell>
          <cell r="BD76">
            <v>229.9</v>
          </cell>
          <cell r="BE76">
            <v>3.2000000000000001E-2</v>
          </cell>
          <cell r="BF76">
            <v>229.9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0.08</v>
          </cell>
          <cell r="DX76">
            <v>566.44000000000005</v>
          </cell>
          <cell r="DY76" t="str">
            <v/>
          </cell>
          <cell r="DZ76">
            <v>0</v>
          </cell>
          <cell r="EA76">
            <v>7080.5000000000009</v>
          </cell>
        </row>
        <row r="77">
          <cell r="B77">
            <v>141988</v>
          </cell>
          <cell r="C77" t="str">
            <v>KALINKA KERELI YAG_5KQ</v>
          </cell>
          <cell r="D77" t="str">
            <v>TON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O77">
            <v>0</v>
          </cell>
          <cell r="AP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 t="str">
            <v/>
          </cell>
          <cell r="DZ77" t="str">
            <v>pasiv</v>
          </cell>
          <cell r="EA77" t="e">
            <v>#DIV/0!</v>
          </cell>
        </row>
        <row r="78">
          <cell r="B78">
            <v>223355</v>
          </cell>
          <cell r="C78" t="str">
            <v>სპრედი_კულინარკა_5 კგ_აზ</v>
          </cell>
          <cell r="D78" t="str">
            <v>TON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0.06</v>
          </cell>
          <cell r="J78">
            <v>529.20000000000005</v>
          </cell>
          <cell r="K78">
            <v>0</v>
          </cell>
          <cell r="L78">
            <v>0</v>
          </cell>
          <cell r="O78">
            <v>0.06</v>
          </cell>
          <cell r="P78">
            <v>529.20000000000005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5.0000000000000001E-3</v>
          </cell>
          <cell r="AL78">
            <v>42</v>
          </cell>
          <cell r="AO78">
            <v>5.0000000000000001E-3</v>
          </cell>
          <cell r="AP78">
            <v>42</v>
          </cell>
          <cell r="AS78">
            <v>0</v>
          </cell>
          <cell r="AT78">
            <v>0</v>
          </cell>
          <cell r="AU78">
            <v>0.185</v>
          </cell>
          <cell r="AV78">
            <v>1629.6</v>
          </cell>
          <cell r="AW78">
            <v>0</v>
          </cell>
          <cell r="AX78">
            <v>0</v>
          </cell>
          <cell r="AY78">
            <v>0.03</v>
          </cell>
          <cell r="AZ78">
            <v>264.60000000000002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0.03</v>
          </cell>
          <cell r="BF78">
            <v>264.60000000000002</v>
          </cell>
          <cell r="BG78">
            <v>0</v>
          </cell>
          <cell r="BH78">
            <v>0</v>
          </cell>
          <cell r="BI78">
            <v>0.05</v>
          </cell>
          <cell r="BJ78">
            <v>441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0.05</v>
          </cell>
          <cell r="BT78">
            <v>441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0.04</v>
          </cell>
          <cell r="CH78">
            <v>352.8</v>
          </cell>
          <cell r="CI78">
            <v>0.04</v>
          </cell>
          <cell r="CJ78">
            <v>352.8</v>
          </cell>
          <cell r="CK78">
            <v>0.09</v>
          </cell>
          <cell r="CL78">
            <v>793.8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0.185</v>
          </cell>
          <cell r="DX78">
            <v>1629.6000000000001</v>
          </cell>
          <cell r="DY78" t="str">
            <v/>
          </cell>
          <cell r="DZ78">
            <v>0</v>
          </cell>
          <cell r="EA78">
            <v>8808.6486486486501</v>
          </cell>
        </row>
        <row r="79">
          <cell r="A79">
            <v>3</v>
          </cell>
          <cell r="C79" t="str">
            <v>TEREYAGI</v>
          </cell>
          <cell r="D79" t="str">
            <v>TON</v>
          </cell>
          <cell r="E79">
            <v>0</v>
          </cell>
          <cell r="F79">
            <v>0</v>
          </cell>
          <cell r="G79">
            <v>6.9000000000000006E-2</v>
          </cell>
          <cell r="H79">
            <v>521.52</v>
          </cell>
          <cell r="I79">
            <v>0.06</v>
          </cell>
          <cell r="J79">
            <v>529.20000000000005</v>
          </cell>
          <cell r="K79">
            <v>0</v>
          </cell>
          <cell r="L79">
            <v>0</v>
          </cell>
          <cell r="O79">
            <v>0.129</v>
          </cell>
          <cell r="P79">
            <v>1050.72</v>
          </cell>
          <cell r="Q79">
            <v>1.6E-2</v>
          </cell>
          <cell r="R79">
            <v>120.54</v>
          </cell>
          <cell r="S79">
            <v>0.38400000000000001</v>
          </cell>
          <cell r="T79">
            <v>2815.9700000000003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0.4</v>
          </cell>
          <cell r="Z79">
            <v>2936.51</v>
          </cell>
          <cell r="AA79">
            <v>0</v>
          </cell>
          <cell r="AB79">
            <v>0</v>
          </cell>
          <cell r="AC79">
            <v>4.0000000000000001E-3</v>
          </cell>
          <cell r="AD79">
            <v>34.44</v>
          </cell>
          <cell r="AE79">
            <v>1E-3</v>
          </cell>
          <cell r="AF79">
            <v>7.43</v>
          </cell>
          <cell r="AG79">
            <v>6.0000000000000001E-3</v>
          </cell>
          <cell r="AH79">
            <v>49.8</v>
          </cell>
          <cell r="AI79">
            <v>0</v>
          </cell>
          <cell r="AJ79">
            <v>0</v>
          </cell>
          <cell r="AK79">
            <v>2.58E-2</v>
          </cell>
          <cell r="AL79">
            <v>221.14</v>
          </cell>
          <cell r="AO79">
            <v>3.6799999999999999E-2</v>
          </cell>
          <cell r="AP79">
            <v>312.80999999999995</v>
          </cell>
          <cell r="AS79">
            <v>0</v>
          </cell>
          <cell r="AT79">
            <v>0</v>
          </cell>
          <cell r="AU79">
            <v>4.2596999999999996</v>
          </cell>
          <cell r="AV79">
            <v>30972.519999999997</v>
          </cell>
          <cell r="AW79">
            <v>0</v>
          </cell>
          <cell r="AX79">
            <v>0</v>
          </cell>
          <cell r="AY79">
            <v>7.9499999999999987E-2</v>
          </cell>
          <cell r="AZ79">
            <v>634.28</v>
          </cell>
          <cell r="BA79">
            <v>0</v>
          </cell>
          <cell r="BB79">
            <v>0</v>
          </cell>
          <cell r="BC79">
            <v>2.6791</v>
          </cell>
          <cell r="BD79">
            <v>18931.680000000004</v>
          </cell>
          <cell r="BE79">
            <v>2.7585999999999999</v>
          </cell>
          <cell r="BF79">
            <v>19565.960000000003</v>
          </cell>
          <cell r="BG79">
            <v>0</v>
          </cell>
          <cell r="BH79">
            <v>0</v>
          </cell>
          <cell r="BI79">
            <v>2.8000000000000004E-2</v>
          </cell>
          <cell r="BJ79">
            <v>262</v>
          </cell>
          <cell r="BK79">
            <v>1.5E-3</v>
          </cell>
          <cell r="BL79">
            <v>12.6</v>
          </cell>
          <cell r="BM79">
            <v>1.4E-2</v>
          </cell>
          <cell r="BN79">
            <v>118.67999999999999</v>
          </cell>
          <cell r="BO79">
            <v>-2E-3</v>
          </cell>
          <cell r="BP79">
            <v>-23.08</v>
          </cell>
          <cell r="BQ79">
            <v>0</v>
          </cell>
          <cell r="BR79">
            <v>0</v>
          </cell>
          <cell r="BS79">
            <v>4.1500000000000002E-2</v>
          </cell>
          <cell r="BT79">
            <v>370.2</v>
          </cell>
          <cell r="BU79">
            <v>5.0000000000000001E-3</v>
          </cell>
          <cell r="BV79">
            <v>38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1.9900000000000001E-2</v>
          </cell>
          <cell r="CB79">
            <v>175.15999999999997</v>
          </cell>
          <cell r="CC79">
            <v>0</v>
          </cell>
          <cell r="CD79">
            <v>0</v>
          </cell>
          <cell r="CE79">
            <v>4.8000000000000001E-2</v>
          </cell>
          <cell r="CF79">
            <v>382.44</v>
          </cell>
          <cell r="CG79">
            <v>5.5E-2</v>
          </cell>
          <cell r="CH79">
            <v>471.86</v>
          </cell>
          <cell r="CI79">
            <v>0.12790000000000001</v>
          </cell>
          <cell r="CJ79">
            <v>1067.46</v>
          </cell>
          <cell r="CK79">
            <v>0.1694</v>
          </cell>
          <cell r="CL79">
            <v>1437.6599999999999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0.158</v>
          </cell>
          <cell r="CV79">
            <v>1200.46</v>
          </cell>
          <cell r="CW79">
            <v>0</v>
          </cell>
          <cell r="CX79">
            <v>0</v>
          </cell>
          <cell r="CY79">
            <v>8.3500000000000005E-2</v>
          </cell>
          <cell r="CZ79">
            <v>518.08000000000004</v>
          </cell>
          <cell r="DA79">
            <v>5.6399999999999999E-2</v>
          </cell>
          <cell r="DB79">
            <v>516.79999999999995</v>
          </cell>
          <cell r="DC79">
            <v>3.0999999999999996E-2</v>
          </cell>
          <cell r="DD79">
            <v>242.35999999999996</v>
          </cell>
          <cell r="DE79">
            <v>0.17090000000000002</v>
          </cell>
          <cell r="DF79">
            <v>1277.2400000000002</v>
          </cell>
          <cell r="DG79">
            <v>1.3000000000000001E-2</v>
          </cell>
          <cell r="DH79">
            <v>94.6</v>
          </cell>
          <cell r="DI79">
            <v>5.1999999999999998E-2</v>
          </cell>
          <cell r="DJ79">
            <v>376.06</v>
          </cell>
          <cell r="DK79">
            <v>0.372</v>
          </cell>
          <cell r="DL79">
            <v>2720.5</v>
          </cell>
          <cell r="DM79">
            <v>0.43700000000000006</v>
          </cell>
          <cell r="DN79">
            <v>3191.16</v>
          </cell>
          <cell r="DO79">
            <v>1.2E-2</v>
          </cell>
          <cell r="DP79">
            <v>103.32</v>
          </cell>
          <cell r="DQ79">
            <v>0.128</v>
          </cell>
          <cell r="DR79">
            <v>944.64</v>
          </cell>
          <cell r="DS79">
            <v>1.8000000000000002E-2</v>
          </cell>
          <cell r="DT79">
            <v>152.5</v>
          </cell>
          <cell r="DU79">
            <v>0.158</v>
          </cell>
          <cell r="DV79">
            <v>1200.46</v>
          </cell>
          <cell r="DW79">
            <v>4.2596999999999996</v>
          </cell>
          <cell r="DX79">
            <v>30972.519999999997</v>
          </cell>
          <cell r="DY79" t="str">
            <v>Hedef</v>
          </cell>
          <cell r="DZ79">
            <v>0</v>
          </cell>
          <cell r="EA79">
            <v>7271.0566471817265</v>
          </cell>
        </row>
        <row r="80">
          <cell r="C80" t="str">
            <v>KATI YAG TOPLAMI</v>
          </cell>
          <cell r="D80" t="str">
            <v>TON</v>
          </cell>
          <cell r="E80">
            <v>0.67</v>
          </cell>
          <cell r="F80">
            <v>3899</v>
          </cell>
          <cell r="G80">
            <v>1.3015000000000001</v>
          </cell>
          <cell r="H80">
            <v>7496.33</v>
          </cell>
          <cell r="I80">
            <v>0.06</v>
          </cell>
          <cell r="J80">
            <v>529.20000000000005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2.0314999999999999</v>
          </cell>
          <cell r="P80">
            <v>11924.529999999999</v>
          </cell>
          <cell r="Q80">
            <v>3.3371549999999996</v>
          </cell>
          <cell r="R80">
            <v>20008.37</v>
          </cell>
          <cell r="S80">
            <v>2.2254350000000001</v>
          </cell>
          <cell r="T80">
            <v>14566.11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5.5625900000000001</v>
          </cell>
          <cell r="Z80">
            <v>34574.479999999996</v>
          </cell>
          <cell r="AA80">
            <v>0</v>
          </cell>
          <cell r="AB80">
            <v>0</v>
          </cell>
          <cell r="AC80">
            <v>1.4320000000000001E-2</v>
          </cell>
          <cell r="AD80">
            <v>114.69999999999999</v>
          </cell>
          <cell r="AE80">
            <v>1E-3</v>
          </cell>
          <cell r="AF80">
            <v>7.43</v>
          </cell>
          <cell r="AG80">
            <v>4.2390000000000004E-2</v>
          </cell>
          <cell r="AH80">
            <v>369.28</v>
          </cell>
          <cell r="AI80">
            <v>4.19E-2</v>
          </cell>
          <cell r="AJ80">
            <v>385.76</v>
          </cell>
          <cell r="AK80">
            <v>0.130995</v>
          </cell>
          <cell r="AL80">
            <v>1111.1099999999999</v>
          </cell>
          <cell r="AM80">
            <v>0</v>
          </cell>
          <cell r="AN80">
            <v>0</v>
          </cell>
          <cell r="AO80">
            <v>0.230605</v>
          </cell>
          <cell r="AP80">
            <v>1988.2799999999997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18.639199999999999</v>
          </cell>
          <cell r="AV80">
            <v>122943.74</v>
          </cell>
          <cell r="AW80">
            <v>0</v>
          </cell>
          <cell r="AX80">
            <v>0</v>
          </cell>
          <cell r="AY80">
            <v>0.13191999999999998</v>
          </cell>
          <cell r="AZ80">
            <v>1037.83</v>
          </cell>
          <cell r="BA80">
            <v>0</v>
          </cell>
          <cell r="BB80">
            <v>0</v>
          </cell>
          <cell r="BC80">
            <v>3.2898149999999999</v>
          </cell>
          <cell r="BD80">
            <v>23108.650000000005</v>
          </cell>
          <cell r="BE80">
            <v>3.4217350000000004</v>
          </cell>
          <cell r="BF80">
            <v>24146.480000000003</v>
          </cell>
          <cell r="BG80">
            <v>0.15545999999999999</v>
          </cell>
          <cell r="BH80">
            <v>992.34</v>
          </cell>
          <cell r="BI80">
            <v>1.8554700000000002</v>
          </cell>
          <cell r="BJ80">
            <v>10741.6</v>
          </cell>
          <cell r="BK80">
            <v>0.29271999999999998</v>
          </cell>
          <cell r="BL80">
            <v>1775.9399999999998</v>
          </cell>
          <cell r="BM80">
            <v>0.31455000000000005</v>
          </cell>
          <cell r="BN80">
            <v>2076.67</v>
          </cell>
          <cell r="BO80">
            <v>1.4153600000000002</v>
          </cell>
          <cell r="BP80">
            <v>9081.61</v>
          </cell>
          <cell r="BQ80">
            <v>0</v>
          </cell>
          <cell r="BR80">
            <v>1.1839487723541708E-16</v>
          </cell>
          <cell r="BS80">
            <v>4.0335600000000005</v>
          </cell>
          <cell r="BT80">
            <v>24668.16</v>
          </cell>
          <cell r="BU80">
            <v>1.7999999999999999E-2</v>
          </cell>
          <cell r="BV80">
            <v>120.41</v>
          </cell>
          <cell r="BW80">
            <v>0</v>
          </cell>
          <cell r="BX80">
            <v>0</v>
          </cell>
          <cell r="BY80">
            <v>4.2250000000000003E-2</v>
          </cell>
          <cell r="BZ80">
            <v>279.06</v>
          </cell>
          <cell r="CA80">
            <v>7.2360000000000008E-2</v>
          </cell>
          <cell r="CB80">
            <v>698.16</v>
          </cell>
          <cell r="CC80">
            <v>-7.5000000000000002E-4</v>
          </cell>
          <cell r="CD80">
            <v>-7.26</v>
          </cell>
          <cell r="CE80">
            <v>4.8000000000000001E-2</v>
          </cell>
          <cell r="CF80">
            <v>382.44</v>
          </cell>
          <cell r="CG80">
            <v>0.315</v>
          </cell>
          <cell r="CH80">
            <v>2050.0100000000002</v>
          </cell>
          <cell r="CI80">
            <v>0.49486000000000002</v>
          </cell>
          <cell r="CJ80">
            <v>3522.82</v>
          </cell>
          <cell r="CK80">
            <v>4.5284200000000014</v>
          </cell>
          <cell r="CL80">
            <v>28190.980000000003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1.0782050000000001</v>
          </cell>
          <cell r="CV80">
            <v>8343.02</v>
          </cell>
          <cell r="CW80">
            <v>0</v>
          </cell>
          <cell r="CX80">
            <v>0</v>
          </cell>
          <cell r="CY80">
            <v>0.20772000000000002</v>
          </cell>
          <cell r="CZ80">
            <v>1655.0900000000001</v>
          </cell>
          <cell r="DA80">
            <v>0.19297499999999998</v>
          </cell>
          <cell r="DB80">
            <v>1795.7199999999998</v>
          </cell>
          <cell r="DC80">
            <v>5.1079999999999993E-2</v>
          </cell>
          <cell r="DD80">
            <v>417.34999999999997</v>
          </cell>
          <cell r="DE80">
            <v>0.45177500000000004</v>
          </cell>
          <cell r="DF80">
            <v>3868.1600000000003</v>
          </cell>
          <cell r="DG80">
            <v>0.67414000000000007</v>
          </cell>
          <cell r="DH80">
            <v>5070.18</v>
          </cell>
          <cell r="DI80">
            <v>0.16953000000000001</v>
          </cell>
          <cell r="DJ80">
            <v>1302.28</v>
          </cell>
          <cell r="DK80">
            <v>0.44769999999999999</v>
          </cell>
          <cell r="DL80">
            <v>3261.45</v>
          </cell>
          <cell r="DM80">
            <v>1.3343700000000001</v>
          </cell>
          <cell r="DN80">
            <v>9907.8100000000013</v>
          </cell>
          <cell r="DO80">
            <v>0.32048000000000004</v>
          </cell>
          <cell r="DP80">
            <v>2217.2799999999997</v>
          </cell>
          <cell r="DQ80">
            <v>0.367095</v>
          </cell>
          <cell r="DR80">
            <v>2531.4</v>
          </cell>
          <cell r="DS80">
            <v>0.39062999999999998</v>
          </cell>
          <cell r="DT80">
            <v>3594.3399999999997</v>
          </cell>
          <cell r="DU80">
            <v>1.0782050000000001</v>
          </cell>
          <cell r="DV80">
            <v>8343.02</v>
          </cell>
          <cell r="DW80">
            <v>18.639199999999999</v>
          </cell>
          <cell r="DX80">
            <v>122943.74</v>
          </cell>
          <cell r="DY80" t="str">
            <v/>
          </cell>
          <cell r="DZ80">
            <v>0</v>
          </cell>
          <cell r="EA80">
            <v>6595.9772951628829</v>
          </cell>
        </row>
        <row r="81">
          <cell r="B81">
            <v>309959</v>
          </cell>
          <cell r="C81" t="str">
            <v>შესქ.რძის შემცველი პროდ_8.5%_მოხარშ_2.5კგ*4</v>
          </cell>
          <cell r="D81" t="str">
            <v>TON</v>
          </cell>
          <cell r="E81">
            <v>0</v>
          </cell>
          <cell r="F81">
            <v>0</v>
          </cell>
          <cell r="G81">
            <v>0.01</v>
          </cell>
          <cell r="H81">
            <v>66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O81">
            <v>0.01</v>
          </cell>
          <cell r="P81">
            <v>66</v>
          </cell>
          <cell r="Q81">
            <v>0.02</v>
          </cell>
          <cell r="R81">
            <v>132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0.02</v>
          </cell>
          <cell r="Z81">
            <v>132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O81">
            <v>0</v>
          </cell>
          <cell r="AP81">
            <v>0</v>
          </cell>
          <cell r="AS81">
            <v>0</v>
          </cell>
          <cell r="AT81">
            <v>0</v>
          </cell>
          <cell r="AU81">
            <v>6.25E-2</v>
          </cell>
          <cell r="AV81">
            <v>412.5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0.03</v>
          </cell>
          <cell r="CV81">
            <v>198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2.5000000000000001E-3</v>
          </cell>
          <cell r="DL81">
            <v>16.5</v>
          </cell>
          <cell r="DM81">
            <v>2.5000000000000001E-3</v>
          </cell>
          <cell r="DN81">
            <v>16.5</v>
          </cell>
          <cell r="DO81">
            <v>0</v>
          </cell>
          <cell r="DP81">
            <v>0</v>
          </cell>
          <cell r="DQ81">
            <v>0.03</v>
          </cell>
          <cell r="DR81">
            <v>198</v>
          </cell>
          <cell r="DS81">
            <v>0</v>
          </cell>
          <cell r="DT81">
            <v>0</v>
          </cell>
          <cell r="DU81">
            <v>0.03</v>
          </cell>
          <cell r="DV81">
            <v>198</v>
          </cell>
          <cell r="DW81">
            <v>6.25E-2</v>
          </cell>
          <cell r="DX81">
            <v>412.5</v>
          </cell>
          <cell r="DY81" t="str">
            <v/>
          </cell>
          <cell r="DZ81">
            <v>0</v>
          </cell>
          <cell r="EA81">
            <v>6600</v>
          </cell>
        </row>
        <row r="82">
          <cell r="B82">
            <v>309970</v>
          </cell>
          <cell r="C82" t="str">
            <v>შესქ.რძის შემცველი პროდ_8.5%_მოხარშ_6კგ</v>
          </cell>
          <cell r="D82" t="str">
            <v>TON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O82">
            <v>0</v>
          </cell>
          <cell r="AP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 t="str">
            <v/>
          </cell>
          <cell r="DZ82" t="str">
            <v>pasiv</v>
          </cell>
          <cell r="EA82" t="e">
            <v>#DIV/0!</v>
          </cell>
        </row>
        <row r="83">
          <cell r="B83">
            <v>309971</v>
          </cell>
          <cell r="C83" t="str">
            <v>შესქ.რძის შემცველი პროდ_8.5%_20კგ</v>
          </cell>
          <cell r="D83" t="str">
            <v>TON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O83">
            <v>0</v>
          </cell>
          <cell r="AP83">
            <v>0</v>
          </cell>
          <cell r="AS83">
            <v>0</v>
          </cell>
          <cell r="AT83">
            <v>0</v>
          </cell>
          <cell r="AU83">
            <v>0.06</v>
          </cell>
          <cell r="AV83">
            <v>330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0.02</v>
          </cell>
          <cell r="BL83">
            <v>110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0.02</v>
          </cell>
          <cell r="BT83">
            <v>110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0.02</v>
          </cell>
          <cell r="CL83">
            <v>110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0.04</v>
          </cell>
          <cell r="DJ83">
            <v>220</v>
          </cell>
          <cell r="DK83">
            <v>0</v>
          </cell>
          <cell r="DL83">
            <v>0</v>
          </cell>
          <cell r="DM83">
            <v>0.04</v>
          </cell>
          <cell r="DN83">
            <v>220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0.06</v>
          </cell>
          <cell r="DX83">
            <v>330</v>
          </cell>
          <cell r="DY83" t="str">
            <v/>
          </cell>
          <cell r="DZ83">
            <v>0</v>
          </cell>
          <cell r="EA83">
            <v>5500</v>
          </cell>
        </row>
        <row r="84">
          <cell r="B84">
            <v>309989</v>
          </cell>
          <cell r="C84" t="str">
            <v>შესქ.რძის შემცველი პროდ_8.5%_2.5კგ*4</v>
          </cell>
          <cell r="D84" t="str">
            <v>TON</v>
          </cell>
          <cell r="E84">
            <v>0.05</v>
          </cell>
          <cell r="F84">
            <v>290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O84">
            <v>0.05</v>
          </cell>
          <cell r="P84">
            <v>290</v>
          </cell>
          <cell r="Q84">
            <v>0.01</v>
          </cell>
          <cell r="R84">
            <v>58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0.01</v>
          </cell>
          <cell r="Z84">
            <v>58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O84">
            <v>0</v>
          </cell>
          <cell r="AP84">
            <v>0</v>
          </cell>
          <cell r="AS84">
            <v>0</v>
          </cell>
          <cell r="AT84">
            <v>0</v>
          </cell>
          <cell r="AU84">
            <v>9.7500000000000003E-2</v>
          </cell>
          <cell r="AV84">
            <v>565.5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1.2500000000000001E-2</v>
          </cell>
          <cell r="BL84">
            <v>72.5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1.2500000000000001E-2</v>
          </cell>
          <cell r="BT84">
            <v>72.5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1.2500000000000001E-2</v>
          </cell>
          <cell r="CL84">
            <v>72.5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0.02</v>
          </cell>
          <cell r="CV84">
            <v>116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5.0000000000000001E-3</v>
          </cell>
          <cell r="DL84">
            <v>29</v>
          </cell>
          <cell r="DM84">
            <v>5.0000000000000001E-3</v>
          </cell>
          <cell r="DN84">
            <v>29</v>
          </cell>
          <cell r="DO84">
            <v>0</v>
          </cell>
          <cell r="DP84">
            <v>0</v>
          </cell>
          <cell r="DQ84">
            <v>0.02</v>
          </cell>
          <cell r="DR84">
            <v>116</v>
          </cell>
          <cell r="DS84">
            <v>0</v>
          </cell>
          <cell r="DT84">
            <v>0</v>
          </cell>
          <cell r="DU84">
            <v>0.02</v>
          </cell>
          <cell r="DV84">
            <v>116</v>
          </cell>
          <cell r="DW84">
            <v>9.7500000000000003E-2</v>
          </cell>
          <cell r="DX84">
            <v>565.5</v>
          </cell>
          <cell r="DY84" t="str">
            <v/>
          </cell>
          <cell r="DZ84">
            <v>0</v>
          </cell>
          <cell r="EA84">
            <v>5800</v>
          </cell>
        </row>
        <row r="85">
          <cell r="B85">
            <v>281650</v>
          </cell>
          <cell r="C85" t="str">
            <v>შესქ.რძის შემცველი პროდ_კულინარკა_მოხარშ_0.37კგ*20</v>
          </cell>
          <cell r="D85" t="str">
            <v>TON</v>
          </cell>
          <cell r="E85">
            <v>3.7000000000000002E-3</v>
          </cell>
          <cell r="F85">
            <v>37.729999999999997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O85">
            <v>3.7000000000000002E-3</v>
          </cell>
          <cell r="P85">
            <v>37.729999999999997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1.8500000000000001E-3</v>
          </cell>
          <cell r="AD85">
            <v>20.399999999999999</v>
          </cell>
          <cell r="AE85">
            <v>3.6999999999999999E-4</v>
          </cell>
          <cell r="AF85">
            <v>3.66</v>
          </cell>
          <cell r="AG85">
            <v>7.3999999999999999E-4</v>
          </cell>
          <cell r="AH85">
            <v>8.16</v>
          </cell>
          <cell r="AI85">
            <v>0</v>
          </cell>
          <cell r="AJ85">
            <v>0</v>
          </cell>
          <cell r="AK85">
            <v>1.1100000000000001E-3</v>
          </cell>
          <cell r="AL85">
            <v>12.24</v>
          </cell>
          <cell r="AO85">
            <v>4.0699999999999998E-3</v>
          </cell>
          <cell r="AP85">
            <v>44.46</v>
          </cell>
          <cell r="AS85">
            <v>0</v>
          </cell>
          <cell r="AT85">
            <v>0</v>
          </cell>
          <cell r="AU85">
            <v>0.13283</v>
          </cell>
          <cell r="AV85">
            <v>1442.74</v>
          </cell>
          <cell r="AW85">
            <v>0</v>
          </cell>
          <cell r="AX85">
            <v>0</v>
          </cell>
          <cell r="AY85">
            <v>3.7000000000000002E-3</v>
          </cell>
          <cell r="AZ85">
            <v>37.340000000000003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3.7000000000000002E-3</v>
          </cell>
          <cell r="BF85">
            <v>37.340000000000003</v>
          </cell>
          <cell r="BG85">
            <v>1.702E-2</v>
          </cell>
          <cell r="BH85">
            <v>179.08</v>
          </cell>
          <cell r="BI85">
            <v>0</v>
          </cell>
          <cell r="BJ85">
            <v>0</v>
          </cell>
          <cell r="BK85">
            <v>7.4000000000000003E-3</v>
          </cell>
          <cell r="BL85">
            <v>81.599999999999994</v>
          </cell>
          <cell r="BM85">
            <v>5.1799999999999997E-3</v>
          </cell>
          <cell r="BN85">
            <v>57.12</v>
          </cell>
          <cell r="BO85">
            <v>8.1399999999999997E-3</v>
          </cell>
          <cell r="BP85">
            <v>89.76</v>
          </cell>
          <cell r="BQ85">
            <v>0</v>
          </cell>
          <cell r="BR85">
            <v>0</v>
          </cell>
          <cell r="BS85">
            <v>3.848E-2</v>
          </cell>
          <cell r="BT85">
            <v>415.72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2.2200000000000002E-3</v>
          </cell>
          <cell r="CB85">
            <v>24.48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2.2200000000000002E-3</v>
          </cell>
          <cell r="CJ85">
            <v>24.48</v>
          </cell>
          <cell r="CK85">
            <v>4.07E-2</v>
          </cell>
          <cell r="CL85">
            <v>440.20000000000005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1.4800000000000001E-2</v>
          </cell>
          <cell r="CV85">
            <v>163.19999999999999</v>
          </cell>
          <cell r="CW85">
            <v>0</v>
          </cell>
          <cell r="CX85">
            <v>0</v>
          </cell>
          <cell r="CY85">
            <v>4.4400000000000002E-2</v>
          </cell>
          <cell r="CZ85">
            <v>489.6</v>
          </cell>
          <cell r="DA85">
            <v>1.4800000000000001E-2</v>
          </cell>
          <cell r="DB85">
            <v>163.19999999999999</v>
          </cell>
          <cell r="DC85">
            <v>4.4400000000000004E-3</v>
          </cell>
          <cell r="DD85">
            <v>42.53</v>
          </cell>
          <cell r="DE85">
            <v>6.3640000000000002E-2</v>
          </cell>
          <cell r="DF85">
            <v>695.32999999999993</v>
          </cell>
          <cell r="DG85">
            <v>0</v>
          </cell>
          <cell r="DH85">
            <v>0</v>
          </cell>
          <cell r="DI85">
            <v>2.2200000000000002E-3</v>
          </cell>
          <cell r="DJ85">
            <v>24.48</v>
          </cell>
          <cell r="DK85">
            <v>0</v>
          </cell>
          <cell r="DL85">
            <v>0</v>
          </cell>
          <cell r="DM85">
            <v>2.2200000000000002E-3</v>
          </cell>
          <cell r="DN85">
            <v>24.48</v>
          </cell>
          <cell r="DO85">
            <v>7.4000000000000003E-3</v>
          </cell>
          <cell r="DP85">
            <v>81.599999999999994</v>
          </cell>
          <cell r="DQ85">
            <v>7.4000000000000003E-3</v>
          </cell>
          <cell r="DR85">
            <v>81.599999999999994</v>
          </cell>
          <cell r="DS85">
            <v>0</v>
          </cell>
          <cell r="DT85">
            <v>0</v>
          </cell>
          <cell r="DU85">
            <v>1.4800000000000001E-2</v>
          </cell>
          <cell r="DV85">
            <v>163.19999999999999</v>
          </cell>
          <cell r="DW85">
            <v>0.13283</v>
          </cell>
          <cell r="DX85">
            <v>1442.74</v>
          </cell>
          <cell r="DY85" t="str">
            <v/>
          </cell>
          <cell r="DZ85">
            <v>0</v>
          </cell>
          <cell r="EA85">
            <v>10861.552360159601</v>
          </cell>
        </row>
        <row r="86">
          <cell r="B86">
            <v>281770</v>
          </cell>
          <cell r="C86" t="str">
            <v>შესქ.რძის შემცველი პროდ_კულინარკა_მოხარშ_0.95კგ*12</v>
          </cell>
          <cell r="D86" t="str">
            <v>TON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1.4250000000000001E-2</v>
          </cell>
          <cell r="T86">
            <v>125.4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1.4250000000000001E-2</v>
          </cell>
          <cell r="Z86">
            <v>125.4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O86">
            <v>0</v>
          </cell>
          <cell r="AP86">
            <v>0</v>
          </cell>
          <cell r="AS86">
            <v>0</v>
          </cell>
          <cell r="AT86">
            <v>0</v>
          </cell>
          <cell r="AU86">
            <v>0.1007</v>
          </cell>
          <cell r="AV86">
            <v>944.23</v>
          </cell>
          <cell r="AW86">
            <v>0</v>
          </cell>
          <cell r="AX86">
            <v>0</v>
          </cell>
          <cell r="AY86">
            <v>4.7499999999999999E-3</v>
          </cell>
          <cell r="AZ86">
            <v>43.23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4.7499999999999999E-3</v>
          </cell>
          <cell r="BF86">
            <v>43.23</v>
          </cell>
          <cell r="BG86">
            <v>1.14E-2</v>
          </cell>
          <cell r="BH86">
            <v>97.2</v>
          </cell>
          <cell r="BI86">
            <v>7.6E-3</v>
          </cell>
          <cell r="BJ86">
            <v>76.48</v>
          </cell>
          <cell r="BK86">
            <v>0</v>
          </cell>
          <cell r="BL86">
            <v>0</v>
          </cell>
          <cell r="BM86">
            <v>1.14E-2</v>
          </cell>
          <cell r="BN86">
            <v>109.44</v>
          </cell>
          <cell r="BO86">
            <v>5.7000000000000002E-3</v>
          </cell>
          <cell r="BP86">
            <v>54.72</v>
          </cell>
          <cell r="BQ86">
            <v>0</v>
          </cell>
          <cell r="BR86">
            <v>0</v>
          </cell>
          <cell r="BS86">
            <v>3.61E-2</v>
          </cell>
          <cell r="BT86">
            <v>337.84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2.2800000000000001E-2</v>
          </cell>
          <cell r="CD86">
            <v>218.88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2.2800000000000001E-2</v>
          </cell>
          <cell r="CJ86">
            <v>218.88</v>
          </cell>
          <cell r="CK86">
            <v>5.8900000000000001E-2</v>
          </cell>
          <cell r="CL86">
            <v>556.72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1.14E-2</v>
          </cell>
          <cell r="CZ86">
            <v>109.44</v>
          </cell>
          <cell r="DA86">
            <v>1.14E-2</v>
          </cell>
          <cell r="DB86">
            <v>109.44</v>
          </cell>
          <cell r="DC86">
            <v>0</v>
          </cell>
          <cell r="DD86">
            <v>0</v>
          </cell>
          <cell r="DE86">
            <v>2.2800000000000001E-2</v>
          </cell>
          <cell r="DF86">
            <v>218.88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0.1007</v>
          </cell>
          <cell r="DX86">
            <v>944.23</v>
          </cell>
          <cell r="DY86" t="str">
            <v/>
          </cell>
          <cell r="DZ86">
            <v>0</v>
          </cell>
          <cell r="EA86">
            <v>9376.6633565044685</v>
          </cell>
        </row>
        <row r="87">
          <cell r="B87">
            <v>280757</v>
          </cell>
          <cell r="C87" t="str">
            <v>შესქ.რძის შემცვლ.პრ_კულინარკა_მოხარშ.0.95კგ_11ც+1ც</v>
          </cell>
          <cell r="D87" t="str">
            <v>TON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O87">
            <v>0</v>
          </cell>
          <cell r="AP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 t="str">
            <v/>
          </cell>
          <cell r="DZ87" t="str">
            <v>pasiv</v>
          </cell>
          <cell r="EA87" t="e">
            <v>#DIV/0!</v>
          </cell>
        </row>
        <row r="88">
          <cell r="B88">
            <v>291183</v>
          </cell>
          <cell r="C88" t="str">
            <v>შესქ.რძის შემცველი პროდ_კულინარკა_0.37კგ*20</v>
          </cell>
          <cell r="D88" t="str">
            <v>TON</v>
          </cell>
          <cell r="E88">
            <v>5.5500000000000002E-3</v>
          </cell>
          <cell r="F88">
            <v>56.6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O88">
            <v>5.5500000000000002E-3</v>
          </cell>
          <cell r="P88">
            <v>56.6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5.5500000000000002E-3</v>
          </cell>
          <cell r="AD88">
            <v>61.2</v>
          </cell>
          <cell r="AE88">
            <v>0</v>
          </cell>
          <cell r="AF88">
            <v>0</v>
          </cell>
          <cell r="AG88">
            <v>7.3999999999999999E-4</v>
          </cell>
          <cell r="AH88">
            <v>8.16</v>
          </cell>
          <cell r="AI88">
            <v>0</v>
          </cell>
          <cell r="AJ88">
            <v>0</v>
          </cell>
          <cell r="AK88">
            <v>3.7000000000000002E-3</v>
          </cell>
          <cell r="AL88">
            <v>40.799999999999997</v>
          </cell>
          <cell r="AO88">
            <v>9.9900000000000006E-3</v>
          </cell>
          <cell r="AP88">
            <v>110.16</v>
          </cell>
          <cell r="AS88">
            <v>0</v>
          </cell>
          <cell r="AT88">
            <v>0</v>
          </cell>
          <cell r="AU88">
            <v>0.19980000000000001</v>
          </cell>
          <cell r="AV88">
            <v>2167.71</v>
          </cell>
          <cell r="AW88">
            <v>0</v>
          </cell>
          <cell r="AX88">
            <v>0</v>
          </cell>
          <cell r="AY88">
            <v>2.2200000000000001E-2</v>
          </cell>
          <cell r="AZ88">
            <v>244.8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2.2200000000000001E-2</v>
          </cell>
          <cell r="BF88">
            <v>244.8</v>
          </cell>
          <cell r="BG88">
            <v>1.702E-2</v>
          </cell>
          <cell r="BH88">
            <v>179.08</v>
          </cell>
          <cell r="BI88">
            <v>0</v>
          </cell>
          <cell r="BJ88">
            <v>0</v>
          </cell>
          <cell r="BK88">
            <v>6.2899999999999996E-3</v>
          </cell>
          <cell r="BL88">
            <v>69.36</v>
          </cell>
          <cell r="BM88">
            <v>5.1799999999999997E-3</v>
          </cell>
          <cell r="BN88">
            <v>57.12</v>
          </cell>
          <cell r="BO88">
            <v>8.5100000000000002E-3</v>
          </cell>
          <cell r="BP88">
            <v>93.84</v>
          </cell>
          <cell r="BQ88">
            <v>0</v>
          </cell>
          <cell r="BR88">
            <v>0</v>
          </cell>
          <cell r="BS88">
            <v>3.848E-2</v>
          </cell>
          <cell r="BT88">
            <v>414.87</v>
          </cell>
          <cell r="BU88">
            <v>0</v>
          </cell>
          <cell r="BV88">
            <v>0</v>
          </cell>
          <cell r="BW88">
            <v>2.2200000000000002E-3</v>
          </cell>
          <cell r="BX88">
            <v>22.64</v>
          </cell>
          <cell r="BY88">
            <v>7.4000000000000003E-3</v>
          </cell>
          <cell r="BZ88">
            <v>81.599999999999994</v>
          </cell>
          <cell r="CA88">
            <v>2.664E-2</v>
          </cell>
          <cell r="CB88">
            <v>293.76</v>
          </cell>
          <cell r="CC88">
            <v>1.4800000000000001E-2</v>
          </cell>
          <cell r="CD88">
            <v>163.19999999999999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5.1060000000000001E-2</v>
          </cell>
          <cell r="CJ88">
            <v>561.20000000000005</v>
          </cell>
          <cell r="CK88">
            <v>8.9540000000000008E-2</v>
          </cell>
          <cell r="CL88">
            <v>976.07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1.8499999999999999E-2</v>
          </cell>
          <cell r="CV88">
            <v>200.2</v>
          </cell>
          <cell r="CW88">
            <v>0</v>
          </cell>
          <cell r="CX88">
            <v>0</v>
          </cell>
          <cell r="CY88">
            <v>4.4400000000000004E-3</v>
          </cell>
          <cell r="CZ88">
            <v>48.96</v>
          </cell>
          <cell r="DA88">
            <v>1.8499999999999999E-2</v>
          </cell>
          <cell r="DB88">
            <v>204</v>
          </cell>
          <cell r="DC88">
            <v>1.184E-2</v>
          </cell>
          <cell r="DD88">
            <v>114.76</v>
          </cell>
          <cell r="DE88">
            <v>3.4779999999999998E-2</v>
          </cell>
          <cell r="DF88">
            <v>367.72</v>
          </cell>
          <cell r="DG88">
            <v>1.702E-2</v>
          </cell>
          <cell r="DH88">
            <v>187.68</v>
          </cell>
          <cell r="DI88">
            <v>2.2200000000000002E-3</v>
          </cell>
          <cell r="DJ88">
            <v>24.48</v>
          </cell>
          <cell r="DK88">
            <v>0</v>
          </cell>
          <cell r="DL88">
            <v>0</v>
          </cell>
          <cell r="DM88">
            <v>1.924E-2</v>
          </cell>
          <cell r="DN88">
            <v>212.16</v>
          </cell>
          <cell r="DO88">
            <v>7.4000000000000003E-3</v>
          </cell>
          <cell r="DP88">
            <v>81.599999999999994</v>
          </cell>
          <cell r="DQ88">
            <v>0</v>
          </cell>
          <cell r="DR88">
            <v>0</v>
          </cell>
          <cell r="DS88">
            <v>1.11E-2</v>
          </cell>
          <cell r="DT88">
            <v>118.6</v>
          </cell>
          <cell r="DU88">
            <v>1.8499999999999999E-2</v>
          </cell>
          <cell r="DV88">
            <v>200.2</v>
          </cell>
          <cell r="DW88">
            <v>0.19980000000000001</v>
          </cell>
          <cell r="DX88">
            <v>2167.71</v>
          </cell>
          <cell r="DY88" t="str">
            <v/>
          </cell>
          <cell r="DZ88">
            <v>0</v>
          </cell>
          <cell r="EA88">
            <v>10849.399399399399</v>
          </cell>
        </row>
        <row r="89">
          <cell r="B89">
            <v>281771</v>
          </cell>
          <cell r="C89" t="str">
            <v>შესქ.რძის შემცველი პროდ. _კულინარკა_0.95კგ*12</v>
          </cell>
          <cell r="D89" t="str">
            <v>TON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2.8500000000000001E-3</v>
          </cell>
          <cell r="T89">
            <v>25.29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2.8500000000000001E-3</v>
          </cell>
          <cell r="Z89">
            <v>25.29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O89">
            <v>0</v>
          </cell>
          <cell r="AP89">
            <v>0</v>
          </cell>
          <cell r="AS89">
            <v>0</v>
          </cell>
          <cell r="AT89">
            <v>0</v>
          </cell>
          <cell r="AU89">
            <v>8.2650000000000001E-2</v>
          </cell>
          <cell r="AV89">
            <v>769.8</v>
          </cell>
          <cell r="AW89">
            <v>0</v>
          </cell>
          <cell r="AX89">
            <v>0</v>
          </cell>
          <cell r="AY89">
            <v>1.14E-2</v>
          </cell>
          <cell r="AZ89">
            <v>100.11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1.14E-2</v>
          </cell>
          <cell r="BF89">
            <v>100.11</v>
          </cell>
          <cell r="BG89">
            <v>1.14E-2</v>
          </cell>
          <cell r="BH89">
            <v>97.2</v>
          </cell>
          <cell r="BI89">
            <v>2.2800000000000001E-2</v>
          </cell>
          <cell r="BJ89">
            <v>218.88</v>
          </cell>
          <cell r="BK89">
            <v>0</v>
          </cell>
          <cell r="BL89">
            <v>0</v>
          </cell>
          <cell r="BM89">
            <v>1.14E-2</v>
          </cell>
          <cell r="BN89">
            <v>109.44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4.5600000000000002E-2</v>
          </cell>
          <cell r="BT89">
            <v>425.52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1.14E-2</v>
          </cell>
          <cell r="CD89">
            <v>109.44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1.14E-2</v>
          </cell>
          <cell r="CJ89">
            <v>109.44</v>
          </cell>
          <cell r="CK89">
            <v>5.7000000000000002E-2</v>
          </cell>
          <cell r="CL89">
            <v>534.96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1.14E-2</v>
          </cell>
          <cell r="DH89">
            <v>109.44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1.14E-2</v>
          </cell>
          <cell r="DN89">
            <v>109.44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8.2650000000000015E-2</v>
          </cell>
          <cell r="DX89">
            <v>769.80000000000007</v>
          </cell>
          <cell r="DY89" t="str">
            <v/>
          </cell>
          <cell r="DZ89">
            <v>0</v>
          </cell>
          <cell r="EA89">
            <v>9313.9745916515421</v>
          </cell>
        </row>
        <row r="90">
          <cell r="B90">
            <v>379465</v>
          </cell>
          <cell r="C90" t="str">
            <v>შესქ.რძის შემცვლელი პროდ_8.5%_მოხარშ_10კგ</v>
          </cell>
          <cell r="D90" t="str">
            <v>TON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O90">
            <v>0</v>
          </cell>
          <cell r="AP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 t="str">
            <v/>
          </cell>
          <cell r="DZ90" t="str">
            <v>pasiv</v>
          </cell>
          <cell r="EA90" t="e">
            <v>#DIV/0!</v>
          </cell>
        </row>
        <row r="91">
          <cell r="A91">
            <v>32</v>
          </cell>
          <cell r="C91" t="str">
            <v>MOLOKO SGUSHONNOE</v>
          </cell>
          <cell r="D91" t="str">
            <v>TON</v>
          </cell>
          <cell r="E91">
            <v>5.9250000000000004E-2</v>
          </cell>
          <cell r="F91">
            <v>384.33000000000004</v>
          </cell>
          <cell r="G91">
            <v>0.01</v>
          </cell>
          <cell r="H91">
            <v>66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O91">
            <v>6.9250000000000006E-2</v>
          </cell>
          <cell r="P91">
            <v>450.33000000000004</v>
          </cell>
          <cell r="Q91">
            <v>0.03</v>
          </cell>
          <cell r="R91">
            <v>190</v>
          </cell>
          <cell r="S91">
            <v>1.7100000000000001E-2</v>
          </cell>
          <cell r="T91">
            <v>150.69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4.7099999999999996E-2</v>
          </cell>
          <cell r="Z91">
            <v>340.69</v>
          </cell>
          <cell r="AA91">
            <v>0</v>
          </cell>
          <cell r="AB91">
            <v>0</v>
          </cell>
          <cell r="AC91">
            <v>7.4000000000000003E-3</v>
          </cell>
          <cell r="AD91">
            <v>81.599999999999994</v>
          </cell>
          <cell r="AE91">
            <v>3.6999999999999999E-4</v>
          </cell>
          <cell r="AF91">
            <v>3.66</v>
          </cell>
          <cell r="AG91">
            <v>1.48E-3</v>
          </cell>
          <cell r="AH91">
            <v>16.32</v>
          </cell>
          <cell r="AI91">
            <v>0</v>
          </cell>
          <cell r="AJ91">
            <v>0</v>
          </cell>
          <cell r="AK91">
            <v>4.81E-3</v>
          </cell>
          <cell r="AL91">
            <v>53.04</v>
          </cell>
          <cell r="AO91">
            <v>1.406E-2</v>
          </cell>
          <cell r="AP91">
            <v>154.61999999999998</v>
          </cell>
          <cell r="AS91">
            <v>0</v>
          </cell>
          <cell r="AT91">
            <v>0</v>
          </cell>
          <cell r="AU91">
            <v>0.73597999999999997</v>
          </cell>
          <cell r="AV91">
            <v>6632.4800000000005</v>
          </cell>
          <cell r="AW91">
            <v>0</v>
          </cell>
          <cell r="AX91">
            <v>0</v>
          </cell>
          <cell r="AY91">
            <v>4.2050000000000004E-2</v>
          </cell>
          <cell r="AZ91">
            <v>425.48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4.2050000000000004E-2</v>
          </cell>
          <cell r="BF91">
            <v>425.48</v>
          </cell>
          <cell r="BG91">
            <v>5.6840000000000002E-2</v>
          </cell>
          <cell r="BH91">
            <v>552.56000000000006</v>
          </cell>
          <cell r="BI91">
            <v>3.04E-2</v>
          </cell>
          <cell r="BJ91">
            <v>295.36</v>
          </cell>
          <cell r="BK91">
            <v>4.6190000000000002E-2</v>
          </cell>
          <cell r="BL91">
            <v>333.46000000000004</v>
          </cell>
          <cell r="BM91">
            <v>3.3160000000000002E-2</v>
          </cell>
          <cell r="BN91">
            <v>333.12</v>
          </cell>
          <cell r="BO91">
            <v>2.2350000000000002E-2</v>
          </cell>
          <cell r="BP91">
            <v>238.32000000000002</v>
          </cell>
          <cell r="BQ91">
            <v>0</v>
          </cell>
          <cell r="BR91">
            <v>0</v>
          </cell>
          <cell r="BS91">
            <v>0.19116000000000002</v>
          </cell>
          <cell r="BT91">
            <v>1776.4499999999998</v>
          </cell>
          <cell r="BU91">
            <v>0</v>
          </cell>
          <cell r="BV91">
            <v>0</v>
          </cell>
          <cell r="BW91">
            <v>2.2200000000000002E-3</v>
          </cell>
          <cell r="BX91">
            <v>22.64</v>
          </cell>
          <cell r="BY91">
            <v>7.4000000000000003E-3</v>
          </cell>
          <cell r="BZ91">
            <v>81.599999999999994</v>
          </cell>
          <cell r="CA91">
            <v>2.886E-2</v>
          </cell>
          <cell r="CB91">
            <v>318.24</v>
          </cell>
          <cell r="CC91">
            <v>4.9000000000000002E-2</v>
          </cell>
          <cell r="CD91">
            <v>491.52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8.7480000000000002E-2</v>
          </cell>
          <cell r="CJ91">
            <v>914</v>
          </cell>
          <cell r="CK91">
            <v>0.27864</v>
          </cell>
          <cell r="CL91">
            <v>2690.4500000000003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8.3299999999999999E-2</v>
          </cell>
          <cell r="CV91">
            <v>0</v>
          </cell>
          <cell r="CW91">
            <v>0</v>
          </cell>
          <cell r="CX91">
            <v>0</v>
          </cell>
          <cell r="CY91">
            <v>6.0240000000000002E-2</v>
          </cell>
          <cell r="CZ91">
            <v>648</v>
          </cell>
          <cell r="DA91">
            <v>4.4700000000000004E-2</v>
          </cell>
          <cell r="DB91">
            <v>476.64</v>
          </cell>
          <cell r="DC91">
            <v>1.6279999999999999E-2</v>
          </cell>
          <cell r="DD91">
            <v>157.29000000000002</v>
          </cell>
          <cell r="DE91">
            <v>0.12121999999999999</v>
          </cell>
          <cell r="DF91">
            <v>1281.9299999999998</v>
          </cell>
          <cell r="DG91">
            <v>2.8420000000000001E-2</v>
          </cell>
          <cell r="DH91">
            <v>297.12</v>
          </cell>
          <cell r="DI91">
            <v>4.444E-2</v>
          </cell>
          <cell r="DJ91">
            <v>268.95999999999998</v>
          </cell>
          <cell r="DK91">
            <v>7.4999999999999997E-3</v>
          </cell>
          <cell r="DL91">
            <v>45.5</v>
          </cell>
          <cell r="DM91">
            <v>8.0359999999999987E-2</v>
          </cell>
          <cell r="DN91">
            <v>611.57999999999993</v>
          </cell>
          <cell r="DO91">
            <v>1.4800000000000001E-2</v>
          </cell>
          <cell r="DP91">
            <v>163.19999999999999</v>
          </cell>
          <cell r="DQ91">
            <v>5.7400000000000007E-2</v>
          </cell>
          <cell r="DR91">
            <v>395.6</v>
          </cell>
          <cell r="DS91">
            <v>1.11E-2</v>
          </cell>
          <cell r="DT91">
            <v>118.6</v>
          </cell>
          <cell r="DU91">
            <v>8.3299999999999999E-2</v>
          </cell>
          <cell r="DV91">
            <v>677.4</v>
          </cell>
          <cell r="DW91">
            <v>0.73597999999999997</v>
          </cell>
          <cell r="DX91">
            <v>6632.4800000000005</v>
          </cell>
          <cell r="DY91" t="str">
            <v>Hedef</v>
          </cell>
          <cell r="DZ91">
            <v>0</v>
          </cell>
          <cell r="EA91">
            <v>9011.7666240930466</v>
          </cell>
        </row>
        <row r="92">
          <cell r="B92">
            <v>16063</v>
          </cell>
          <cell r="C92" t="str">
            <v>FINAL NEW AYCICEK 1*12</v>
          </cell>
          <cell r="D92" t="str">
            <v>TON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O92">
            <v>0</v>
          </cell>
          <cell r="AP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 t="str">
            <v/>
          </cell>
          <cell r="DZ92" t="str">
            <v>pasiv</v>
          </cell>
          <cell r="EA92" t="e">
            <v>#DIV/0!</v>
          </cell>
        </row>
        <row r="93">
          <cell r="B93">
            <v>16064</v>
          </cell>
          <cell r="C93" t="str">
            <v>FINAL NEW AYCICEK 0.5*12</v>
          </cell>
          <cell r="D93" t="str">
            <v>TON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O93">
            <v>0</v>
          </cell>
          <cell r="AP93">
            <v>0</v>
          </cell>
          <cell r="AS93">
            <v>0</v>
          </cell>
          <cell r="AT93">
            <v>0</v>
          </cell>
          <cell r="AU93">
            <v>6.25E-2</v>
          </cell>
          <cell r="AV93">
            <v>431.47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2E-3</v>
          </cell>
          <cell r="BH93">
            <v>13.64</v>
          </cell>
          <cell r="BI93">
            <v>0</v>
          </cell>
          <cell r="BJ93">
            <v>0</v>
          </cell>
          <cell r="BK93">
            <v>1.5E-3</v>
          </cell>
          <cell r="BL93">
            <v>10.23</v>
          </cell>
          <cell r="BM93">
            <v>0</v>
          </cell>
          <cell r="BN93">
            <v>0</v>
          </cell>
          <cell r="BO93">
            <v>4.0000000000000001E-3</v>
          </cell>
          <cell r="BP93">
            <v>27.28</v>
          </cell>
          <cell r="BQ93">
            <v>0</v>
          </cell>
          <cell r="BR93">
            <v>0</v>
          </cell>
          <cell r="BS93">
            <v>0.01</v>
          </cell>
          <cell r="BT93">
            <v>68.2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8.9999999999999993E-3</v>
          </cell>
          <cell r="CB93">
            <v>61.38</v>
          </cell>
          <cell r="CC93">
            <v>0</v>
          </cell>
          <cell r="CD93">
            <v>0</v>
          </cell>
          <cell r="CE93">
            <v>1.2E-2</v>
          </cell>
          <cell r="CF93">
            <v>85.68</v>
          </cell>
          <cell r="CG93">
            <v>0</v>
          </cell>
          <cell r="CH93">
            <v>0</v>
          </cell>
          <cell r="CI93">
            <v>2.1000000000000001E-2</v>
          </cell>
          <cell r="CJ93">
            <v>147.06</v>
          </cell>
          <cell r="CK93">
            <v>3.1E-2</v>
          </cell>
          <cell r="CL93">
            <v>215.26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7.4999999999999997E-3</v>
          </cell>
          <cell r="CV93">
            <v>51.15</v>
          </cell>
          <cell r="CW93">
            <v>0</v>
          </cell>
          <cell r="CX93">
            <v>0</v>
          </cell>
          <cell r="CY93">
            <v>1.2E-2</v>
          </cell>
          <cell r="CZ93">
            <v>85.68</v>
          </cell>
          <cell r="DA93">
            <v>0</v>
          </cell>
          <cell r="DB93">
            <v>0</v>
          </cell>
          <cell r="DC93">
            <v>6.0000000000000001E-3</v>
          </cell>
          <cell r="DD93">
            <v>38.46</v>
          </cell>
          <cell r="DE93">
            <v>1.8000000000000002E-2</v>
          </cell>
          <cell r="DF93">
            <v>124.14000000000001</v>
          </cell>
          <cell r="DG93">
            <v>0</v>
          </cell>
          <cell r="DH93">
            <v>0</v>
          </cell>
          <cell r="DI93">
            <v>6.0000000000000001E-3</v>
          </cell>
          <cell r="DJ93">
            <v>40.92</v>
          </cell>
          <cell r="DK93">
            <v>0</v>
          </cell>
          <cell r="DL93">
            <v>0</v>
          </cell>
          <cell r="DM93">
            <v>6.0000000000000001E-3</v>
          </cell>
          <cell r="DN93">
            <v>40.92</v>
          </cell>
          <cell r="DO93">
            <v>4.4999999999999997E-3</v>
          </cell>
          <cell r="DP93">
            <v>30.69</v>
          </cell>
          <cell r="DQ93">
            <v>3.0000000000000001E-3</v>
          </cell>
          <cell r="DR93">
            <v>20.46</v>
          </cell>
          <cell r="DS93">
            <v>0</v>
          </cell>
          <cell r="DT93">
            <v>0</v>
          </cell>
          <cell r="DU93">
            <v>7.4999999999999997E-3</v>
          </cell>
          <cell r="DV93">
            <v>51.15</v>
          </cell>
          <cell r="DW93">
            <v>6.25E-2</v>
          </cell>
          <cell r="DX93">
            <v>431.47</v>
          </cell>
          <cell r="DY93" t="str">
            <v/>
          </cell>
          <cell r="DZ93">
            <v>0</v>
          </cell>
          <cell r="EA93">
            <v>6903.52</v>
          </cell>
        </row>
        <row r="94">
          <cell r="B94">
            <v>306718</v>
          </cell>
          <cell r="C94" t="str">
            <v>მზ.ზეთი-ფინალი-1ლ*12</v>
          </cell>
          <cell r="D94" t="str">
            <v>TON</v>
          </cell>
          <cell r="E94">
            <v>0</v>
          </cell>
          <cell r="F94">
            <v>0</v>
          </cell>
          <cell r="G94">
            <v>1.2E-2</v>
          </cell>
          <cell r="H94">
            <v>68.680000000000007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O94">
            <v>1.2E-2</v>
          </cell>
          <cell r="P94">
            <v>68.680000000000007</v>
          </cell>
          <cell r="Q94">
            <v>0</v>
          </cell>
          <cell r="R94">
            <v>0</v>
          </cell>
          <cell r="S94">
            <v>1.2E-2</v>
          </cell>
          <cell r="T94">
            <v>66.55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1.2E-2</v>
          </cell>
          <cell r="Z94">
            <v>66.55</v>
          </cell>
          <cell r="AA94">
            <v>0</v>
          </cell>
          <cell r="AB94">
            <v>0</v>
          </cell>
          <cell r="AC94">
            <v>-1E-3</v>
          </cell>
          <cell r="AD94">
            <v>-9.5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-6.0000000000000001E-3</v>
          </cell>
          <cell r="AL94">
            <v>-57</v>
          </cell>
          <cell r="AO94">
            <v>-7.0000000000000001E-3</v>
          </cell>
          <cell r="AP94">
            <v>-66.5</v>
          </cell>
          <cell r="AS94">
            <v>0</v>
          </cell>
          <cell r="AT94">
            <v>0</v>
          </cell>
          <cell r="AU94">
            <v>7.0999999999999994E-2</v>
          </cell>
          <cell r="AV94">
            <v>389.29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-1E-3</v>
          </cell>
          <cell r="BD94">
            <v>-8.4499999999999993</v>
          </cell>
          <cell r="BE94">
            <v>-1E-3</v>
          </cell>
          <cell r="BF94">
            <v>-8.4499999999999993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3.0000000000000001E-3</v>
          </cell>
          <cell r="BN94">
            <v>17.170000000000002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3.0000000000000001E-3</v>
          </cell>
          <cell r="BT94">
            <v>17.170000000000002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2E-3</v>
          </cell>
          <cell r="CB94">
            <v>12.4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2E-3</v>
          </cell>
          <cell r="CJ94">
            <v>12.4</v>
          </cell>
          <cell r="CK94">
            <v>5.0000000000000001E-3</v>
          </cell>
          <cell r="CL94">
            <v>29.57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3.5999999999999997E-2</v>
          </cell>
          <cell r="CZ94">
            <v>236.52</v>
          </cell>
          <cell r="DA94">
            <v>0</v>
          </cell>
          <cell r="DB94">
            <v>0</v>
          </cell>
          <cell r="DC94">
            <v>1.4E-2</v>
          </cell>
          <cell r="DD94">
            <v>62.92</v>
          </cell>
          <cell r="DE94">
            <v>4.9999999999999996E-2</v>
          </cell>
          <cell r="DF94">
            <v>299.44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7.0999999999999994E-2</v>
          </cell>
          <cell r="DX94">
            <v>389.29</v>
          </cell>
          <cell r="DY94" t="str">
            <v/>
          </cell>
          <cell r="DZ94">
            <v>0</v>
          </cell>
          <cell r="EA94">
            <v>5482.9577464788745</v>
          </cell>
        </row>
        <row r="95">
          <cell r="B95">
            <v>306719</v>
          </cell>
          <cell r="C95" t="str">
            <v>მზ.ზეთი-ფინალი-2ლ*6</v>
          </cell>
          <cell r="D95" t="str">
            <v>TON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2E-3</v>
          </cell>
          <cell r="AF95">
            <v>11.05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O95">
            <v>2E-3</v>
          </cell>
          <cell r="AP95">
            <v>11.05</v>
          </cell>
          <cell r="AS95">
            <v>0</v>
          </cell>
          <cell r="AT95">
            <v>0</v>
          </cell>
          <cell r="AU95">
            <v>6.0000000000000001E-3</v>
          </cell>
          <cell r="AV95">
            <v>35.729999999999997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4.0000000000000001E-3</v>
          </cell>
          <cell r="DD95">
            <v>24.68</v>
          </cell>
          <cell r="DE95">
            <v>4.0000000000000001E-3</v>
          </cell>
          <cell r="DF95">
            <v>24.68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6.0000000000000001E-3</v>
          </cell>
          <cell r="DX95">
            <v>35.730000000000004</v>
          </cell>
          <cell r="DY95" t="str">
            <v/>
          </cell>
          <cell r="DZ95">
            <v>0</v>
          </cell>
          <cell r="EA95">
            <v>5955.0000000000009</v>
          </cell>
        </row>
        <row r="96">
          <cell r="B96">
            <v>306720</v>
          </cell>
          <cell r="C96" t="str">
            <v>მზ.ზეთი-ფინალი-5ლ/5*4</v>
          </cell>
          <cell r="D96" t="str">
            <v>TON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-5.0000000000000001E-3</v>
          </cell>
          <cell r="AL96">
            <v>-48.5</v>
          </cell>
          <cell r="AO96">
            <v>-5.0000000000000001E-3</v>
          </cell>
          <cell r="AP96">
            <v>-48.5</v>
          </cell>
          <cell r="AS96">
            <v>0</v>
          </cell>
          <cell r="AT96">
            <v>0</v>
          </cell>
          <cell r="AU96">
            <v>-0.02</v>
          </cell>
          <cell r="AV96">
            <v>-299.99</v>
          </cell>
          <cell r="AW96">
            <v>0</v>
          </cell>
          <cell r="AX96">
            <v>0</v>
          </cell>
          <cell r="AY96">
            <v>-0.01</v>
          </cell>
          <cell r="AZ96">
            <v>-75.3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-0.01</v>
          </cell>
          <cell r="BF96">
            <v>-75.3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0.02</v>
          </cell>
          <cell r="BZ96">
            <v>111.36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0.02</v>
          </cell>
          <cell r="CJ96">
            <v>111.36</v>
          </cell>
          <cell r="CK96">
            <v>0.02</v>
          </cell>
          <cell r="CL96">
            <v>111.36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0.03</v>
          </cell>
          <cell r="CV96">
            <v>174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-1.4999999999999999E-2</v>
          </cell>
          <cell r="DB96">
            <v>-145.5</v>
          </cell>
          <cell r="DC96">
            <v>-0.04</v>
          </cell>
          <cell r="DD96">
            <v>-316.05</v>
          </cell>
          <cell r="DE96">
            <v>-5.5E-2</v>
          </cell>
          <cell r="DF96">
            <v>-461.55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0.03</v>
          </cell>
          <cell r="DT96">
            <v>174</v>
          </cell>
          <cell r="DU96">
            <v>0.03</v>
          </cell>
          <cell r="DV96">
            <v>174</v>
          </cell>
          <cell r="DW96">
            <v>-0.02</v>
          </cell>
          <cell r="DX96">
            <v>-299.99</v>
          </cell>
          <cell r="DY96" t="str">
            <v/>
          </cell>
          <cell r="DZ96">
            <v>0</v>
          </cell>
          <cell r="EA96">
            <v>14999.5</v>
          </cell>
        </row>
        <row r="97">
          <cell r="B97">
            <v>389533</v>
          </cell>
          <cell r="C97" t="str">
            <v>მზ.ზეთი-ლაზეტი-1ლ*15</v>
          </cell>
          <cell r="D97" t="str">
            <v>TON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O97">
            <v>0</v>
          </cell>
          <cell r="P97">
            <v>0</v>
          </cell>
          <cell r="Q97">
            <v>1.4999999999999999E-2</v>
          </cell>
          <cell r="R97">
            <v>48.96</v>
          </cell>
          <cell r="S97">
            <v>0.105</v>
          </cell>
          <cell r="T97">
            <v>344.25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0.12</v>
          </cell>
          <cell r="Z97">
            <v>393.21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0.02</v>
          </cell>
          <cell r="AJ97">
            <v>66.47</v>
          </cell>
          <cell r="AK97">
            <v>0.03</v>
          </cell>
          <cell r="AL97">
            <v>102</v>
          </cell>
          <cell r="AO97">
            <v>0.05</v>
          </cell>
          <cell r="AP97">
            <v>168.47</v>
          </cell>
          <cell r="AS97">
            <v>0</v>
          </cell>
          <cell r="AT97">
            <v>0</v>
          </cell>
          <cell r="AU97">
            <v>0.45600000000000002</v>
          </cell>
          <cell r="AV97">
            <v>1501.44</v>
          </cell>
          <cell r="AW97">
            <v>0</v>
          </cell>
          <cell r="AX97">
            <v>0</v>
          </cell>
          <cell r="AY97">
            <v>0.15</v>
          </cell>
          <cell r="AZ97">
            <v>489.6</v>
          </cell>
          <cell r="BA97">
            <v>0</v>
          </cell>
          <cell r="BB97">
            <v>0</v>
          </cell>
          <cell r="BC97">
            <v>0.105</v>
          </cell>
          <cell r="BD97">
            <v>346.29</v>
          </cell>
          <cell r="BE97">
            <v>0.255</v>
          </cell>
          <cell r="BF97">
            <v>835.8900000000001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0.03</v>
          </cell>
          <cell r="BZ97">
            <v>99.96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0.03</v>
          </cell>
          <cell r="CJ97">
            <v>99.96</v>
          </cell>
          <cell r="CK97">
            <v>0.03</v>
          </cell>
          <cell r="CL97">
            <v>99.96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0.45500000000000002</v>
          </cell>
          <cell r="DX97">
            <v>1497.5300000000002</v>
          </cell>
          <cell r="DY97" t="str">
            <v/>
          </cell>
          <cell r="DZ97">
            <v>0</v>
          </cell>
          <cell r="EA97">
            <v>3291.2747252747258</v>
          </cell>
        </row>
        <row r="98">
          <cell r="A98">
            <v>1</v>
          </cell>
          <cell r="B98">
            <v>318603</v>
          </cell>
          <cell r="C98" t="str">
            <v>მზ.ზეთი-ფინალი-3.6ლ*4</v>
          </cell>
          <cell r="D98" t="str">
            <v>TON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O98">
            <v>0</v>
          </cell>
          <cell r="AP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 t="str">
            <v>Hedef</v>
          </cell>
          <cell r="DZ98" t="str">
            <v>pasiv</v>
          </cell>
          <cell r="EA98" t="e">
            <v>#DIV/0!</v>
          </cell>
        </row>
        <row r="99">
          <cell r="A99">
            <v>1</v>
          </cell>
          <cell r="B99">
            <v>273493</v>
          </cell>
          <cell r="C99" t="str">
            <v>მზ.ზეთი-ფინალი-0.5ლ_11ც+1ც</v>
          </cell>
          <cell r="D99" t="str">
            <v>TON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O99">
            <v>0</v>
          </cell>
          <cell r="AP99">
            <v>0</v>
          </cell>
          <cell r="AS99">
            <v>0</v>
          </cell>
          <cell r="AT99">
            <v>0</v>
          </cell>
          <cell r="AU99">
            <v>3.5999999999999997E-2</v>
          </cell>
          <cell r="AV99">
            <v>208.79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1.7999999999999999E-2</v>
          </cell>
          <cell r="BD99">
            <v>104.04</v>
          </cell>
          <cell r="BE99">
            <v>1.7999999999999999E-2</v>
          </cell>
          <cell r="BF99">
            <v>104.04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6.0000000000000001E-3</v>
          </cell>
          <cell r="BX99">
            <v>34.68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6.0000000000000001E-3</v>
          </cell>
          <cell r="CJ99">
            <v>34.68</v>
          </cell>
          <cell r="CK99">
            <v>6.0000000000000001E-3</v>
          </cell>
          <cell r="CL99">
            <v>34.68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1.2E-2</v>
          </cell>
          <cell r="CV99">
            <v>70.069999999999993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6.0000000000000001E-3</v>
          </cell>
          <cell r="DR99">
            <v>34.32</v>
          </cell>
          <cell r="DS99">
            <v>6.0000000000000001E-3</v>
          </cell>
          <cell r="DT99">
            <v>35.75</v>
          </cell>
          <cell r="DU99">
            <v>1.2E-2</v>
          </cell>
          <cell r="DV99">
            <v>70.069999999999993</v>
          </cell>
          <cell r="DW99">
            <v>3.6000000000000004E-2</v>
          </cell>
          <cell r="DX99">
            <v>208.79000000000002</v>
          </cell>
          <cell r="DY99" t="str">
            <v>Hedef</v>
          </cell>
          <cell r="DZ99">
            <v>0</v>
          </cell>
          <cell r="EA99">
            <v>5799.7222222222217</v>
          </cell>
        </row>
        <row r="100">
          <cell r="A100">
            <v>1</v>
          </cell>
          <cell r="B100">
            <v>273899</v>
          </cell>
          <cell r="C100" t="str">
            <v>მზ.ზეთი-ფინალი-15ლ_11ც+1ც</v>
          </cell>
          <cell r="D100" t="str">
            <v>TON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O100">
            <v>0</v>
          </cell>
          <cell r="AP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 t="str">
            <v>Hedef</v>
          </cell>
          <cell r="DZ100" t="str">
            <v>pasiv</v>
          </cell>
          <cell r="EA100" t="e">
            <v>#DIV/0!</v>
          </cell>
        </row>
        <row r="101">
          <cell r="A101">
            <v>1</v>
          </cell>
          <cell r="B101">
            <v>273466</v>
          </cell>
          <cell r="C101" t="str">
            <v>მზ.ზეთი-ფინალი-1ლ_11ც+1ც</v>
          </cell>
          <cell r="D101" t="str">
            <v>TON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O101">
            <v>0</v>
          </cell>
          <cell r="AP101">
            <v>0</v>
          </cell>
          <cell r="AS101">
            <v>0</v>
          </cell>
          <cell r="AT101">
            <v>0</v>
          </cell>
          <cell r="AU101">
            <v>0.12</v>
          </cell>
          <cell r="AV101">
            <v>629.53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0.06</v>
          </cell>
          <cell r="BD101">
            <v>314.77</v>
          </cell>
          <cell r="BE101">
            <v>0.06</v>
          </cell>
          <cell r="BF101">
            <v>314.77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0.06</v>
          </cell>
          <cell r="DJ101">
            <v>314.76</v>
          </cell>
          <cell r="DK101">
            <v>0</v>
          </cell>
          <cell r="DL101">
            <v>0</v>
          </cell>
          <cell r="DM101">
            <v>0.06</v>
          </cell>
          <cell r="DN101">
            <v>314.76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0.12</v>
          </cell>
          <cell r="DX101">
            <v>629.53</v>
          </cell>
          <cell r="DY101" t="str">
            <v>Hedef</v>
          </cell>
          <cell r="DZ101">
            <v>0</v>
          </cell>
          <cell r="EA101">
            <v>5246.083333333333</v>
          </cell>
        </row>
        <row r="102">
          <cell r="A102">
            <v>1</v>
          </cell>
          <cell r="B102">
            <v>273735</v>
          </cell>
          <cell r="C102" t="str">
            <v>მზ.ზეთი-ფინალი-2ლ_11ც+1ც</v>
          </cell>
          <cell r="D102" t="str">
            <v>TON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7.1999999999999995E-2</v>
          </cell>
          <cell r="T102">
            <v>370.95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7.1999999999999995E-2</v>
          </cell>
          <cell r="Z102">
            <v>370.95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O102">
            <v>0</v>
          </cell>
          <cell r="AP102">
            <v>0</v>
          </cell>
          <cell r="AS102">
            <v>0</v>
          </cell>
          <cell r="AT102">
            <v>0</v>
          </cell>
          <cell r="AU102">
            <v>0.192</v>
          </cell>
          <cell r="AV102">
            <v>1005.57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2.4E-2</v>
          </cell>
          <cell r="BD102">
            <v>125.37</v>
          </cell>
          <cell r="BE102">
            <v>2.4E-2</v>
          </cell>
          <cell r="BF102">
            <v>125.37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9.6000000000000002E-2</v>
          </cell>
          <cell r="DJ102">
            <v>509.25</v>
          </cell>
          <cell r="DK102">
            <v>0</v>
          </cell>
          <cell r="DL102">
            <v>0</v>
          </cell>
          <cell r="DM102">
            <v>9.6000000000000002E-2</v>
          </cell>
          <cell r="DN102">
            <v>509.25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0.192</v>
          </cell>
          <cell r="DX102">
            <v>1005.5699999999999</v>
          </cell>
          <cell r="DY102" t="str">
            <v>Hedef</v>
          </cell>
          <cell r="DZ102">
            <v>0</v>
          </cell>
          <cell r="EA102">
            <v>5237.34375</v>
          </cell>
        </row>
        <row r="103">
          <cell r="A103">
            <v>1</v>
          </cell>
          <cell r="B103">
            <v>273830</v>
          </cell>
          <cell r="C103" t="str">
            <v>მზ.ზეთი-ფინალი-5ლ_11ც+1ც</v>
          </cell>
          <cell r="D103" t="str">
            <v>TON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O103">
            <v>0</v>
          </cell>
          <cell r="AP103">
            <v>0</v>
          </cell>
          <cell r="AS103">
            <v>0</v>
          </cell>
          <cell r="AT103">
            <v>0</v>
          </cell>
          <cell r="AU103">
            <v>0.24</v>
          </cell>
          <cell r="AV103">
            <v>1237.72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0.06</v>
          </cell>
          <cell r="BD103">
            <v>309.43</v>
          </cell>
          <cell r="BE103">
            <v>0.06</v>
          </cell>
          <cell r="BF103">
            <v>309.43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0.18</v>
          </cell>
          <cell r="DJ103">
            <v>928.29</v>
          </cell>
          <cell r="DK103">
            <v>0</v>
          </cell>
          <cell r="DL103">
            <v>0</v>
          </cell>
          <cell r="DM103">
            <v>0.18</v>
          </cell>
          <cell r="DN103">
            <v>928.29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0.24</v>
          </cell>
          <cell r="DX103">
            <v>1237.72</v>
          </cell>
          <cell r="DY103" t="str">
            <v>Hedef</v>
          </cell>
          <cell r="DZ103">
            <v>0</v>
          </cell>
          <cell r="EA103">
            <v>5157.166666666667</v>
          </cell>
        </row>
        <row r="104">
          <cell r="A104">
            <v>1</v>
          </cell>
          <cell r="B104">
            <v>274142</v>
          </cell>
          <cell r="C104" t="str">
            <v>მზ.ზ.ზოლ.სოლნიშკო-1ლ_11ც+1ც</v>
          </cell>
          <cell r="D104" t="str">
            <v>TON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2.4E-2</v>
          </cell>
          <cell r="T104">
            <v>118.27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2.4E-2</v>
          </cell>
          <cell r="Z104">
            <v>118.27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O104">
            <v>0</v>
          </cell>
          <cell r="AP104">
            <v>0</v>
          </cell>
          <cell r="AS104">
            <v>0</v>
          </cell>
          <cell r="AT104">
            <v>0</v>
          </cell>
          <cell r="AU104">
            <v>8.4000000000000005E-2</v>
          </cell>
          <cell r="AV104">
            <v>417.02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1.2E-2</v>
          </cell>
          <cell r="BD104">
            <v>59.75</v>
          </cell>
          <cell r="BE104">
            <v>1.2E-2</v>
          </cell>
          <cell r="BF104">
            <v>59.75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1.2E-2</v>
          </cell>
          <cell r="BX104">
            <v>61.6</v>
          </cell>
          <cell r="BY104">
            <v>2.4E-2</v>
          </cell>
          <cell r="BZ104">
            <v>115.8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3.5999999999999997E-2</v>
          </cell>
          <cell r="CJ104">
            <v>177.4</v>
          </cell>
          <cell r="CK104">
            <v>3.5999999999999997E-2</v>
          </cell>
          <cell r="CL104">
            <v>177.4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1.2E-2</v>
          </cell>
          <cell r="CV104">
            <v>61.6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1.2E-2</v>
          </cell>
          <cell r="DT104">
            <v>61.6</v>
          </cell>
          <cell r="DU104">
            <v>1.2E-2</v>
          </cell>
          <cell r="DV104">
            <v>61.6</v>
          </cell>
          <cell r="DW104">
            <v>8.3999999999999991E-2</v>
          </cell>
          <cell r="DX104">
            <v>417.02</v>
          </cell>
          <cell r="DY104" t="str">
            <v>Hedef</v>
          </cell>
          <cell r="DZ104">
            <v>0</v>
          </cell>
          <cell r="EA104">
            <v>4964.5238095238101</v>
          </cell>
        </row>
        <row r="105">
          <cell r="A105">
            <v>1</v>
          </cell>
          <cell r="B105">
            <v>274143</v>
          </cell>
          <cell r="C105" t="str">
            <v>მზ.ზ.ზოლ.სოლნიშკო-5ლ_11ც+1ც</v>
          </cell>
          <cell r="D105" t="str">
            <v>TON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O105">
            <v>0</v>
          </cell>
          <cell r="AP105">
            <v>0</v>
          </cell>
          <cell r="AS105">
            <v>0</v>
          </cell>
          <cell r="AT105">
            <v>0</v>
          </cell>
          <cell r="AU105">
            <v>0.06</v>
          </cell>
          <cell r="AV105">
            <v>298.76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0.06</v>
          </cell>
          <cell r="BV105">
            <v>298.76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0.06</v>
          </cell>
          <cell r="CJ105">
            <v>298.76</v>
          </cell>
          <cell r="CK105">
            <v>0.06</v>
          </cell>
          <cell r="CL105">
            <v>298.76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0.06</v>
          </cell>
          <cell r="DX105">
            <v>298.76</v>
          </cell>
          <cell r="DY105" t="str">
            <v>Hedef</v>
          </cell>
          <cell r="DZ105">
            <v>0</v>
          </cell>
          <cell r="EA105">
            <v>4979.333333333333</v>
          </cell>
        </row>
        <row r="106">
          <cell r="A106">
            <v>1</v>
          </cell>
          <cell r="B106">
            <v>274144</v>
          </cell>
          <cell r="C106" t="str">
            <v>მზ.ზეთი"მოჯუზე"1ლ_11ც+1ც</v>
          </cell>
          <cell r="D106" t="str">
            <v>TON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9.6000000000000002E-2</v>
          </cell>
          <cell r="T106">
            <v>525.95000000000005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9.6000000000000002E-2</v>
          </cell>
          <cell r="Z106">
            <v>525.95000000000005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O106">
            <v>0</v>
          </cell>
          <cell r="AP106">
            <v>0</v>
          </cell>
          <cell r="AS106">
            <v>0</v>
          </cell>
          <cell r="AT106">
            <v>0</v>
          </cell>
          <cell r="AU106">
            <v>0.18</v>
          </cell>
          <cell r="AV106">
            <v>996.9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3.5999999999999997E-2</v>
          </cell>
          <cell r="BD106">
            <v>200.07</v>
          </cell>
          <cell r="BE106">
            <v>3.5999999999999997E-2</v>
          </cell>
          <cell r="BF106">
            <v>200.07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1.2E-2</v>
          </cell>
          <cell r="BX106">
            <v>68.75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1.2E-2</v>
          </cell>
          <cell r="CJ106">
            <v>68.75</v>
          </cell>
          <cell r="CK106">
            <v>1.2E-2</v>
          </cell>
          <cell r="CL106">
            <v>68.75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3.5999999999999997E-2</v>
          </cell>
          <cell r="DL106">
            <v>202.13</v>
          </cell>
          <cell r="DM106">
            <v>3.5999999999999997E-2</v>
          </cell>
          <cell r="DN106">
            <v>202.13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0.18</v>
          </cell>
          <cell r="DX106">
            <v>996.90000000000009</v>
          </cell>
          <cell r="DY106" t="str">
            <v>Hedef</v>
          </cell>
          <cell r="DZ106">
            <v>0</v>
          </cell>
          <cell r="EA106">
            <v>5538.3333333333339</v>
          </cell>
        </row>
        <row r="107">
          <cell r="A107">
            <v>1</v>
          </cell>
          <cell r="B107">
            <v>274145</v>
          </cell>
          <cell r="C107" t="str">
            <v>მზ.ზეთი"მოჯუზე"2ლ_11ც+1ც</v>
          </cell>
          <cell r="D107" t="str">
            <v>TON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0.216</v>
          </cell>
          <cell r="T107">
            <v>1137.8399999999999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0.216</v>
          </cell>
          <cell r="Z107">
            <v>1137.8399999999999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O107">
            <v>0</v>
          </cell>
          <cell r="AP107">
            <v>0</v>
          </cell>
          <cell r="AS107">
            <v>0</v>
          </cell>
          <cell r="AT107">
            <v>0</v>
          </cell>
          <cell r="AU107">
            <v>0.312</v>
          </cell>
          <cell r="AV107">
            <v>1653.96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4.8000000000000001E-2</v>
          </cell>
          <cell r="BD107">
            <v>256.08</v>
          </cell>
          <cell r="BE107">
            <v>4.8000000000000001E-2</v>
          </cell>
          <cell r="BF107">
            <v>256.08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4.8000000000000001E-2</v>
          </cell>
          <cell r="DL107">
            <v>260.04000000000002</v>
          </cell>
          <cell r="DM107">
            <v>4.8000000000000001E-2</v>
          </cell>
          <cell r="DN107">
            <v>260.04000000000002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0.312</v>
          </cell>
          <cell r="DX107">
            <v>1653.96</v>
          </cell>
          <cell r="DY107" t="str">
            <v>Hedef</v>
          </cell>
          <cell r="DZ107">
            <v>0</v>
          </cell>
          <cell r="EA107">
            <v>5301.1538461538466</v>
          </cell>
        </row>
        <row r="108">
          <cell r="A108">
            <v>1</v>
          </cell>
          <cell r="B108">
            <v>274146</v>
          </cell>
          <cell r="C108" t="str">
            <v>მზ.ზეთი"მოჯუზე"5ლ_11ც+1ც</v>
          </cell>
          <cell r="D108" t="str">
            <v>TON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O108">
            <v>0</v>
          </cell>
          <cell r="AP108">
            <v>0</v>
          </cell>
          <cell r="AS108">
            <v>0</v>
          </cell>
          <cell r="AT108">
            <v>0</v>
          </cell>
          <cell r="AU108">
            <v>0.54</v>
          </cell>
          <cell r="AV108">
            <v>3191.22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0.06</v>
          </cell>
          <cell r="BV108">
            <v>357.45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0.06</v>
          </cell>
          <cell r="CJ108">
            <v>357.45</v>
          </cell>
          <cell r="CK108">
            <v>0.06</v>
          </cell>
          <cell r="CL108">
            <v>357.45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0.24</v>
          </cell>
          <cell r="CT108">
            <v>1370.82</v>
          </cell>
          <cell r="CU108">
            <v>0.18</v>
          </cell>
          <cell r="CV108">
            <v>1105.5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0.06</v>
          </cell>
          <cell r="DL108">
            <v>357.45</v>
          </cell>
          <cell r="DM108">
            <v>0.06</v>
          </cell>
          <cell r="DN108">
            <v>357.45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0.18</v>
          </cell>
          <cell r="DT108">
            <v>1105.5</v>
          </cell>
          <cell r="DU108">
            <v>0.18</v>
          </cell>
          <cell r="DV108">
            <v>1105.5</v>
          </cell>
          <cell r="DW108">
            <v>0.54</v>
          </cell>
          <cell r="DX108">
            <v>3191.22</v>
          </cell>
          <cell r="DY108" t="str">
            <v>Hedef</v>
          </cell>
          <cell r="DZ108">
            <v>0</v>
          </cell>
          <cell r="EA108">
            <v>5909.6666666666661</v>
          </cell>
        </row>
        <row r="109">
          <cell r="A109">
            <v>1</v>
          </cell>
          <cell r="B109">
            <v>274147</v>
          </cell>
          <cell r="C109" t="str">
            <v>მზ.ზეთი"საოცრება"1ლ_11ც+1ც</v>
          </cell>
          <cell r="D109" t="str">
            <v>TON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0.06</v>
          </cell>
          <cell r="T109">
            <v>324.08999999999997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0.06</v>
          </cell>
          <cell r="Z109">
            <v>324.08999999999997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O109">
            <v>0</v>
          </cell>
          <cell r="AP109">
            <v>0</v>
          </cell>
          <cell r="AS109">
            <v>0</v>
          </cell>
          <cell r="AT109">
            <v>0</v>
          </cell>
          <cell r="AU109">
            <v>0.24</v>
          </cell>
          <cell r="AV109">
            <v>1312.48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1.2E-2</v>
          </cell>
          <cell r="BN109">
            <v>65.09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1.2E-2</v>
          </cell>
          <cell r="BT109">
            <v>65.09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1.2E-2</v>
          </cell>
          <cell r="CL109">
            <v>65.09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0.16800000000000001</v>
          </cell>
          <cell r="CV109">
            <v>923.3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2.4E-2</v>
          </cell>
          <cell r="DP109">
            <v>132.19</v>
          </cell>
          <cell r="DQ109">
            <v>0</v>
          </cell>
          <cell r="DR109">
            <v>0</v>
          </cell>
          <cell r="DS109">
            <v>0.14399999999999999</v>
          </cell>
          <cell r="DT109">
            <v>791.11</v>
          </cell>
          <cell r="DU109">
            <v>0.16800000000000001</v>
          </cell>
          <cell r="DV109">
            <v>923.3</v>
          </cell>
          <cell r="DW109">
            <v>0.24000000000000002</v>
          </cell>
          <cell r="DX109">
            <v>1312.48</v>
          </cell>
          <cell r="DY109" t="str">
            <v>Hedef</v>
          </cell>
          <cell r="DZ109">
            <v>0</v>
          </cell>
          <cell r="EA109">
            <v>5468.6666666666661</v>
          </cell>
        </row>
        <row r="110">
          <cell r="A110">
            <v>1</v>
          </cell>
          <cell r="B110">
            <v>274141</v>
          </cell>
          <cell r="C110" t="str">
            <v>მზ.ზეთი-ზოლ.სოლნიშკო-0.5ლ_11ც+1ც</v>
          </cell>
          <cell r="D110" t="str">
            <v>TON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O110">
            <v>0</v>
          </cell>
          <cell r="AP110">
            <v>0</v>
          </cell>
          <cell r="AS110">
            <v>0</v>
          </cell>
          <cell r="AT110">
            <v>0</v>
          </cell>
          <cell r="AU110">
            <v>0.03</v>
          </cell>
          <cell r="AV110">
            <v>171.41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1.2E-2</v>
          </cell>
          <cell r="BD110">
            <v>68.28</v>
          </cell>
          <cell r="BE110">
            <v>1.2E-2</v>
          </cell>
          <cell r="BF110">
            <v>68.28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1.2E-2</v>
          </cell>
          <cell r="BX110">
            <v>69.34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1.2E-2</v>
          </cell>
          <cell r="CJ110">
            <v>69.34</v>
          </cell>
          <cell r="CK110">
            <v>1.2E-2</v>
          </cell>
          <cell r="CL110">
            <v>69.34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6.0000000000000001E-3</v>
          </cell>
          <cell r="CV110">
            <v>33.79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6.0000000000000001E-3</v>
          </cell>
          <cell r="DR110">
            <v>33.79</v>
          </cell>
          <cell r="DS110">
            <v>0</v>
          </cell>
          <cell r="DT110">
            <v>0</v>
          </cell>
          <cell r="DU110">
            <v>6.0000000000000001E-3</v>
          </cell>
          <cell r="DV110">
            <v>33.79</v>
          </cell>
          <cell r="DW110">
            <v>3.0000000000000002E-2</v>
          </cell>
          <cell r="DX110">
            <v>171.41</v>
          </cell>
          <cell r="DY110" t="str">
            <v>Hedef</v>
          </cell>
          <cell r="DZ110">
            <v>0</v>
          </cell>
          <cell r="EA110">
            <v>5713.6666666666661</v>
          </cell>
        </row>
        <row r="111">
          <cell r="A111">
            <v>1</v>
          </cell>
          <cell r="B111">
            <v>274149</v>
          </cell>
          <cell r="C111" t="str">
            <v>მზ.ზეთი-საოცრება-2ლ_11ც+1ც</v>
          </cell>
          <cell r="D111" t="str">
            <v>TON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O111">
            <v>0</v>
          </cell>
          <cell r="AP111">
            <v>0</v>
          </cell>
          <cell r="AS111">
            <v>0</v>
          </cell>
          <cell r="AT111">
            <v>0</v>
          </cell>
          <cell r="AU111">
            <v>0.192</v>
          </cell>
          <cell r="AV111">
            <v>1034.1099999999999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2.4E-2</v>
          </cell>
          <cell r="BZ111">
            <v>130.9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2.4E-2</v>
          </cell>
          <cell r="CJ111">
            <v>130.9</v>
          </cell>
          <cell r="CK111">
            <v>2.4E-2</v>
          </cell>
          <cell r="CL111">
            <v>130.9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0.12</v>
          </cell>
          <cell r="CV111">
            <v>649.26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4.8000000000000001E-2</v>
          </cell>
          <cell r="DL111">
            <v>253.95</v>
          </cell>
          <cell r="DM111">
            <v>4.8000000000000001E-2</v>
          </cell>
          <cell r="DN111">
            <v>253.95</v>
          </cell>
          <cell r="DO111">
            <v>0</v>
          </cell>
          <cell r="DP111">
            <v>0</v>
          </cell>
          <cell r="DQ111">
            <v>2.4E-2</v>
          </cell>
          <cell r="DR111">
            <v>125.66</v>
          </cell>
          <cell r="DS111">
            <v>9.6000000000000002E-2</v>
          </cell>
          <cell r="DT111">
            <v>523.6</v>
          </cell>
          <cell r="DU111">
            <v>0.12</v>
          </cell>
          <cell r="DV111">
            <v>649.26</v>
          </cell>
          <cell r="DW111">
            <v>0.19199999999999998</v>
          </cell>
          <cell r="DX111">
            <v>1034.1100000000001</v>
          </cell>
          <cell r="DY111" t="str">
            <v>Hedef</v>
          </cell>
          <cell r="DZ111">
            <v>0</v>
          </cell>
          <cell r="EA111">
            <v>5385.9895833333348</v>
          </cell>
        </row>
        <row r="112">
          <cell r="B112">
            <v>141205</v>
          </cell>
          <cell r="C112" t="str">
            <v>მზ.ზ.ზოლ.სოლნიშკო-2ლ/2*6</v>
          </cell>
          <cell r="D112" t="str">
            <v>TON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O112">
            <v>0</v>
          </cell>
          <cell r="AP112">
            <v>0</v>
          </cell>
          <cell r="AS112">
            <v>0</v>
          </cell>
          <cell r="AT112">
            <v>0</v>
          </cell>
          <cell r="AU112">
            <v>1.7999999999999999E-2</v>
          </cell>
          <cell r="AV112">
            <v>112.95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6.0000000000000001E-3</v>
          </cell>
          <cell r="CV112">
            <v>36.39</v>
          </cell>
          <cell r="CW112">
            <v>0</v>
          </cell>
          <cell r="CX112">
            <v>0</v>
          </cell>
          <cell r="CY112">
            <v>1.2E-2</v>
          </cell>
          <cell r="CZ112">
            <v>76.56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1.2E-2</v>
          </cell>
          <cell r="DF112">
            <v>76.56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6.0000000000000001E-3</v>
          </cell>
          <cell r="DP112">
            <v>36.39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6.0000000000000001E-3</v>
          </cell>
          <cell r="DV112">
            <v>36.39</v>
          </cell>
          <cell r="DW112">
            <v>1.8000000000000002E-2</v>
          </cell>
          <cell r="DX112">
            <v>112.95</v>
          </cell>
          <cell r="DY112" t="str">
            <v/>
          </cell>
          <cell r="DZ112">
            <v>0</v>
          </cell>
          <cell r="EA112">
            <v>6274.9999999999991</v>
          </cell>
        </row>
        <row r="113">
          <cell r="B113">
            <v>20935</v>
          </cell>
          <cell r="C113" t="str">
            <v>FINAL NEW AYCICEK_15 LT</v>
          </cell>
          <cell r="D113" t="str">
            <v>TON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0.58499999999999996</v>
          </cell>
          <cell r="J113">
            <v>3644.55</v>
          </cell>
          <cell r="K113">
            <v>0</v>
          </cell>
          <cell r="L113">
            <v>0</v>
          </cell>
          <cell r="O113">
            <v>0.58499999999999996</v>
          </cell>
          <cell r="P113">
            <v>3644.55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O113">
            <v>0</v>
          </cell>
          <cell r="AP113">
            <v>0</v>
          </cell>
          <cell r="AS113">
            <v>0</v>
          </cell>
          <cell r="AT113">
            <v>0</v>
          </cell>
          <cell r="AU113">
            <v>1.0649999999999999</v>
          </cell>
          <cell r="AV113">
            <v>6608.25</v>
          </cell>
          <cell r="AW113">
            <v>0</v>
          </cell>
          <cell r="AX113">
            <v>0</v>
          </cell>
          <cell r="AY113">
            <v>0.24</v>
          </cell>
          <cell r="AZ113">
            <v>1495.2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0.24</v>
          </cell>
          <cell r="BF113">
            <v>1495.2</v>
          </cell>
          <cell r="BG113">
            <v>0</v>
          </cell>
          <cell r="BH113">
            <v>0</v>
          </cell>
          <cell r="BI113">
            <v>0.15</v>
          </cell>
          <cell r="BJ113">
            <v>934.5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0.06</v>
          </cell>
          <cell r="BP113">
            <v>356</v>
          </cell>
          <cell r="BQ113">
            <v>0</v>
          </cell>
          <cell r="BR113">
            <v>0</v>
          </cell>
          <cell r="BS113">
            <v>0.21</v>
          </cell>
          <cell r="BT113">
            <v>1290.5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0.03</v>
          </cell>
          <cell r="CH113">
            <v>178</v>
          </cell>
          <cell r="CI113">
            <v>0.03</v>
          </cell>
          <cell r="CJ113">
            <v>178</v>
          </cell>
          <cell r="CK113">
            <v>0.24</v>
          </cell>
          <cell r="CL113">
            <v>1468.5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1.0649999999999999</v>
          </cell>
          <cell r="DX113">
            <v>6608.25</v>
          </cell>
          <cell r="DY113" t="str">
            <v/>
          </cell>
          <cell r="DZ113">
            <v>0</v>
          </cell>
          <cell r="EA113">
            <v>6204.929577464789</v>
          </cell>
        </row>
        <row r="114">
          <cell r="B114">
            <v>0</v>
          </cell>
          <cell r="C114" t="str">
            <v>FINAL AYCICEK TOPLAMI</v>
          </cell>
          <cell r="D114" t="str">
            <v>TON</v>
          </cell>
          <cell r="E114">
            <v>0</v>
          </cell>
          <cell r="F114">
            <v>0</v>
          </cell>
          <cell r="G114">
            <v>1.2E-2</v>
          </cell>
          <cell r="H114">
            <v>68.680000000000007</v>
          </cell>
          <cell r="I114">
            <v>0.58499999999999996</v>
          </cell>
          <cell r="J114">
            <v>3644.55</v>
          </cell>
          <cell r="K114">
            <v>0</v>
          </cell>
          <cell r="L114">
            <v>0</v>
          </cell>
          <cell r="O114">
            <v>0.59699999999999998</v>
          </cell>
          <cell r="P114">
            <v>3713.23</v>
          </cell>
          <cell r="Q114">
            <v>1.4999999999999999E-2</v>
          </cell>
          <cell r="R114">
            <v>48.96</v>
          </cell>
          <cell r="S114">
            <v>0.58499999999999996</v>
          </cell>
          <cell r="T114">
            <v>2887.9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0.60000000000000009</v>
          </cell>
          <cell r="Z114">
            <v>2936.86</v>
          </cell>
          <cell r="AA114">
            <v>0</v>
          </cell>
          <cell r="AB114">
            <v>0</v>
          </cell>
          <cell r="AC114">
            <v>-1E-3</v>
          </cell>
          <cell r="AD114">
            <v>-9.5</v>
          </cell>
          <cell r="AE114">
            <v>2E-3</v>
          </cell>
          <cell r="AF114">
            <v>11.05</v>
          </cell>
          <cell r="AG114">
            <v>0</v>
          </cell>
          <cell r="AH114">
            <v>0</v>
          </cell>
          <cell r="AI114">
            <v>0.02</v>
          </cell>
          <cell r="AJ114">
            <v>66.47</v>
          </cell>
          <cell r="AK114">
            <v>1.9E-2</v>
          </cell>
          <cell r="AL114">
            <v>-3.5</v>
          </cell>
          <cell r="AO114">
            <v>0.04</v>
          </cell>
          <cell r="AP114">
            <v>64.52</v>
          </cell>
          <cell r="AS114">
            <v>0</v>
          </cell>
          <cell r="AT114">
            <v>0</v>
          </cell>
          <cell r="AU114">
            <v>3.8845000000000001</v>
          </cell>
          <cell r="AV114">
            <v>20936.61</v>
          </cell>
          <cell r="AW114">
            <v>0</v>
          </cell>
          <cell r="AX114">
            <v>0</v>
          </cell>
          <cell r="AY114">
            <v>0.38</v>
          </cell>
          <cell r="AZ114">
            <v>1909.5</v>
          </cell>
          <cell r="BA114">
            <v>0</v>
          </cell>
          <cell r="BB114">
            <v>0</v>
          </cell>
          <cell r="BC114">
            <v>0.374</v>
          </cell>
          <cell r="BD114">
            <v>1775.6299999999999</v>
          </cell>
          <cell r="BE114">
            <v>0.754</v>
          </cell>
          <cell r="BF114">
            <v>3685.13</v>
          </cell>
          <cell r="BG114">
            <v>2E-3</v>
          </cell>
          <cell r="BH114">
            <v>13.64</v>
          </cell>
          <cell r="BI114">
            <v>0.15</v>
          </cell>
          <cell r="BJ114">
            <v>934.5</v>
          </cell>
          <cell r="BK114">
            <v>1.5E-3</v>
          </cell>
          <cell r="BL114">
            <v>10.23</v>
          </cell>
          <cell r="BM114">
            <v>1.4999999999999999E-2</v>
          </cell>
          <cell r="BN114">
            <v>82.26</v>
          </cell>
          <cell r="BO114">
            <v>6.4000000000000001E-2</v>
          </cell>
          <cell r="BP114">
            <v>383.28</v>
          </cell>
          <cell r="BQ114">
            <v>0</v>
          </cell>
          <cell r="BR114">
            <v>0</v>
          </cell>
          <cell r="BS114">
            <v>0.23499999999999999</v>
          </cell>
          <cell r="BT114">
            <v>1440.96</v>
          </cell>
          <cell r="BU114">
            <v>0.12</v>
          </cell>
          <cell r="BV114">
            <v>656.21</v>
          </cell>
          <cell r="BW114">
            <v>4.2000000000000003E-2</v>
          </cell>
          <cell r="BX114">
            <v>234.37</v>
          </cell>
          <cell r="BY114">
            <v>9.8000000000000004E-2</v>
          </cell>
          <cell r="BZ114">
            <v>458.02</v>
          </cell>
          <cell r="CA114">
            <v>1.0999999999999999E-2</v>
          </cell>
          <cell r="CB114">
            <v>73.78</v>
          </cell>
          <cell r="CC114">
            <v>0</v>
          </cell>
          <cell r="CD114">
            <v>0</v>
          </cell>
          <cell r="CE114">
            <v>1.2E-2</v>
          </cell>
          <cell r="CF114">
            <v>85.68</v>
          </cell>
          <cell r="CG114">
            <v>0.03</v>
          </cell>
          <cell r="CH114">
            <v>178</v>
          </cell>
          <cell r="CI114">
            <v>0.31300000000000006</v>
          </cell>
          <cell r="CJ114">
            <v>1686.06</v>
          </cell>
          <cell r="CK114">
            <v>0.54800000000000004</v>
          </cell>
          <cell r="CL114">
            <v>3127.02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0.24</v>
          </cell>
          <cell r="CT114">
            <v>1370.82</v>
          </cell>
          <cell r="CU114">
            <v>0.54149999999999998</v>
          </cell>
          <cell r="CV114">
            <v>3105.06</v>
          </cell>
          <cell r="CW114">
            <v>0</v>
          </cell>
          <cell r="CX114">
            <v>0</v>
          </cell>
          <cell r="CY114">
            <v>0.06</v>
          </cell>
          <cell r="CZ114">
            <v>398.76000000000005</v>
          </cell>
          <cell r="DA114">
            <v>-1.4999999999999999E-2</v>
          </cell>
          <cell r="DB114">
            <v>-145.5</v>
          </cell>
          <cell r="DC114">
            <v>-1.6E-2</v>
          </cell>
          <cell r="DD114">
            <v>-189.99</v>
          </cell>
          <cell r="DE114">
            <v>2.9000000000000008E-2</v>
          </cell>
          <cell r="DF114">
            <v>63.270000000000039</v>
          </cell>
          <cell r="DG114">
            <v>0</v>
          </cell>
          <cell r="DH114">
            <v>0</v>
          </cell>
          <cell r="DI114">
            <v>0.34199999999999997</v>
          </cell>
          <cell r="DJ114">
            <v>1793.22</v>
          </cell>
          <cell r="DK114">
            <v>0.192</v>
          </cell>
          <cell r="DL114">
            <v>1073.57</v>
          </cell>
          <cell r="DM114">
            <v>0.53399999999999992</v>
          </cell>
          <cell r="DN114">
            <v>2866.7899999999995</v>
          </cell>
          <cell r="DO114">
            <v>3.4500000000000003E-2</v>
          </cell>
          <cell r="DP114">
            <v>199.26999999999998</v>
          </cell>
          <cell r="DQ114">
            <v>3.9E-2</v>
          </cell>
          <cell r="DR114">
            <v>214.23</v>
          </cell>
          <cell r="DS114">
            <v>0.46799999999999997</v>
          </cell>
          <cell r="DT114">
            <v>2691.56</v>
          </cell>
          <cell r="DU114">
            <v>0.54149999999999998</v>
          </cell>
          <cell r="DV114">
            <v>3105.06</v>
          </cell>
          <cell r="DW114">
            <v>3.8835000000000002</v>
          </cell>
          <cell r="DX114">
            <v>20932.699999999997</v>
          </cell>
          <cell r="DY114" t="str">
            <v/>
          </cell>
          <cell r="DZ114">
            <v>0</v>
          </cell>
          <cell r="EA114">
            <v>5390.1635122956086</v>
          </cell>
        </row>
        <row r="115">
          <cell r="B115">
            <v>32991</v>
          </cell>
          <cell r="C115" t="str">
            <v>ZOLOTOE SOLNISKO AYCICEK 0.5*12</v>
          </cell>
          <cell r="D115" t="str">
            <v>TON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O115">
            <v>0</v>
          </cell>
          <cell r="AP115">
            <v>0</v>
          </cell>
          <cell r="AS115">
            <v>0</v>
          </cell>
          <cell r="AT115">
            <v>0</v>
          </cell>
          <cell r="AU115">
            <v>1.4500000000000001E-2</v>
          </cell>
          <cell r="AV115">
            <v>98.56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8.5000000000000006E-3</v>
          </cell>
          <cell r="CF115">
            <v>56.8</v>
          </cell>
          <cell r="CG115">
            <v>0</v>
          </cell>
          <cell r="CH115">
            <v>0</v>
          </cell>
          <cell r="CI115">
            <v>8.5000000000000006E-3</v>
          </cell>
          <cell r="CJ115">
            <v>56.8</v>
          </cell>
          <cell r="CK115">
            <v>8.5000000000000006E-3</v>
          </cell>
          <cell r="CL115">
            <v>56.8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6.0000000000000001E-3</v>
          </cell>
          <cell r="CZ115">
            <v>41.76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6.0000000000000001E-3</v>
          </cell>
          <cell r="DF115">
            <v>41.76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1.4500000000000001E-2</v>
          </cell>
          <cell r="DX115">
            <v>98.56</v>
          </cell>
          <cell r="DY115" t="str">
            <v/>
          </cell>
          <cell r="DZ115">
            <v>0</v>
          </cell>
          <cell r="EA115">
            <v>6797.2413793103442</v>
          </cell>
        </row>
        <row r="116">
          <cell r="B116">
            <v>16070</v>
          </cell>
          <cell r="C116" t="str">
            <v>ZOLOTOE SOLNISKO AYCICEK 1*12</v>
          </cell>
          <cell r="D116" t="str">
            <v>TON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2E-3</v>
          </cell>
          <cell r="AF116">
            <v>10.53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O116">
            <v>2E-3</v>
          </cell>
          <cell r="AP116">
            <v>10.53</v>
          </cell>
          <cell r="AS116">
            <v>0</v>
          </cell>
          <cell r="AT116">
            <v>0</v>
          </cell>
          <cell r="AU116">
            <v>3.1E-2</v>
          </cell>
          <cell r="AV116">
            <v>191.17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1.7000000000000001E-2</v>
          </cell>
          <cell r="CF116">
            <v>103.48</v>
          </cell>
          <cell r="CG116">
            <v>0</v>
          </cell>
          <cell r="CH116">
            <v>0</v>
          </cell>
          <cell r="CI116">
            <v>1.7000000000000001E-2</v>
          </cell>
          <cell r="CJ116">
            <v>103.48</v>
          </cell>
          <cell r="CK116">
            <v>1.7000000000000001E-2</v>
          </cell>
          <cell r="CL116">
            <v>103.48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1.2E-2</v>
          </cell>
          <cell r="CZ116">
            <v>77.16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1.2E-2</v>
          </cell>
          <cell r="DF116">
            <v>77.16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3.1E-2</v>
          </cell>
          <cell r="DX116">
            <v>191.17</v>
          </cell>
          <cell r="DY116" t="str">
            <v/>
          </cell>
          <cell r="DZ116">
            <v>0</v>
          </cell>
          <cell r="EA116">
            <v>6166.7741935483864</v>
          </cell>
        </row>
        <row r="117">
          <cell r="B117">
            <v>63562</v>
          </cell>
          <cell r="C117" t="str">
            <v>ZOLOTOE SOLNISKO GUNEBAXAN_5 LT*4</v>
          </cell>
          <cell r="D117" t="str">
            <v>TON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O117">
            <v>0</v>
          </cell>
          <cell r="AP117">
            <v>0</v>
          </cell>
          <cell r="AS117">
            <v>0</v>
          </cell>
          <cell r="AT117">
            <v>0</v>
          </cell>
          <cell r="AU117">
            <v>0.04</v>
          </cell>
          <cell r="AV117">
            <v>250.64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0.04</v>
          </cell>
          <cell r="DD117">
            <v>250.64</v>
          </cell>
          <cell r="DE117">
            <v>0.04</v>
          </cell>
          <cell r="DF117">
            <v>250.64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0.04</v>
          </cell>
          <cell r="DX117">
            <v>250.64</v>
          </cell>
          <cell r="DY117" t="str">
            <v/>
          </cell>
          <cell r="DZ117">
            <v>0</v>
          </cell>
          <cell r="EA117">
            <v>6265.9999999999991</v>
          </cell>
        </row>
        <row r="118">
          <cell r="B118">
            <v>0</v>
          </cell>
          <cell r="C118" t="str">
            <v>ZOL. SOLNISKO AYCICEK TOPLAMI</v>
          </cell>
          <cell r="D118" t="str">
            <v>TON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2E-3</v>
          </cell>
          <cell r="AF118">
            <v>10.53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O118">
            <v>2E-3</v>
          </cell>
          <cell r="AP118">
            <v>10.53</v>
          </cell>
          <cell r="AS118">
            <v>0</v>
          </cell>
          <cell r="AT118">
            <v>0</v>
          </cell>
          <cell r="AU118">
            <v>8.5499999999999993E-2</v>
          </cell>
          <cell r="AV118">
            <v>540.37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2.5500000000000002E-2</v>
          </cell>
          <cell r="CF118">
            <v>160.28</v>
          </cell>
          <cell r="CG118">
            <v>0</v>
          </cell>
          <cell r="CH118">
            <v>0</v>
          </cell>
          <cell r="CI118">
            <v>2.5500000000000002E-2</v>
          </cell>
          <cell r="CJ118">
            <v>160.28</v>
          </cell>
          <cell r="CK118">
            <v>2.5500000000000002E-2</v>
          </cell>
          <cell r="CL118">
            <v>160.28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1.8000000000000002E-2</v>
          </cell>
          <cell r="CZ118">
            <v>118.91999999999999</v>
          </cell>
          <cell r="DA118">
            <v>0</v>
          </cell>
          <cell r="DB118">
            <v>0</v>
          </cell>
          <cell r="DC118">
            <v>0.04</v>
          </cell>
          <cell r="DD118">
            <v>250.64</v>
          </cell>
          <cell r="DE118">
            <v>5.8000000000000003E-2</v>
          </cell>
          <cell r="DF118">
            <v>369.55999999999995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8.5499999999999993E-2</v>
          </cell>
          <cell r="DX118">
            <v>540.37</v>
          </cell>
          <cell r="DY118" t="str">
            <v/>
          </cell>
          <cell r="DZ118">
            <v>0</v>
          </cell>
          <cell r="EA118">
            <v>6320.1169590643285</v>
          </cell>
        </row>
        <row r="119">
          <cell r="B119">
            <v>303883</v>
          </cell>
          <cell r="C119" t="str">
            <v>მზ.ზ.ზოლ.სოლნიშკო-2ლ_11ც+1ც</v>
          </cell>
          <cell r="D119" t="str">
            <v>TON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4.8000000000000001E-2</v>
          </cell>
          <cell r="T119">
            <v>233.03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4.8000000000000001E-2</v>
          </cell>
          <cell r="Z119">
            <v>233.03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O119">
            <v>0</v>
          </cell>
          <cell r="AP119">
            <v>0</v>
          </cell>
          <cell r="AS119">
            <v>0</v>
          </cell>
          <cell r="AT119">
            <v>0</v>
          </cell>
          <cell r="AU119">
            <v>4.8000000000000001E-2</v>
          </cell>
          <cell r="AV119">
            <v>233.03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4.8000000000000001E-2</v>
          </cell>
          <cell r="DX119">
            <v>233.03</v>
          </cell>
          <cell r="DY119" t="str">
            <v/>
          </cell>
          <cell r="DZ119">
            <v>0</v>
          </cell>
          <cell r="EA119">
            <v>4854.791666666667</v>
          </cell>
        </row>
        <row r="120">
          <cell r="B120">
            <v>0</v>
          </cell>
          <cell r="C120" t="str">
            <v>SOLNECNOE</v>
          </cell>
          <cell r="D120" t="str">
            <v>TON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4.8000000000000001E-2</v>
          </cell>
          <cell r="T120">
            <v>233.03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4.8000000000000001E-2</v>
          </cell>
          <cell r="Z120">
            <v>233.03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O120">
            <v>0</v>
          </cell>
          <cell r="AP120">
            <v>0</v>
          </cell>
          <cell r="AS120">
            <v>0</v>
          </cell>
          <cell r="AT120">
            <v>0</v>
          </cell>
          <cell r="AU120">
            <v>4.8000000000000001E-2</v>
          </cell>
          <cell r="AV120">
            <v>233.03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4.8000000000000001E-2</v>
          </cell>
          <cell r="DX120">
            <v>233.03</v>
          </cell>
          <cell r="DY120" t="str">
            <v/>
          </cell>
          <cell r="DZ120">
            <v>0</v>
          </cell>
          <cell r="EA120">
            <v>4854.791666666667</v>
          </cell>
        </row>
        <row r="121">
          <cell r="B121">
            <v>16365</v>
          </cell>
          <cell r="C121" t="str">
            <v>MOCUZE KERE ETIRLI AYCICEK 1*12</v>
          </cell>
          <cell r="D121" t="str">
            <v>TON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O121">
            <v>0</v>
          </cell>
          <cell r="AP121">
            <v>0</v>
          </cell>
          <cell r="AS121">
            <v>0</v>
          </cell>
          <cell r="AT121">
            <v>0</v>
          </cell>
          <cell r="AU121">
            <v>3.3000000000000002E-2</v>
          </cell>
          <cell r="AV121">
            <v>213.25</v>
          </cell>
          <cell r="AW121">
            <v>0</v>
          </cell>
          <cell r="AX121">
            <v>0</v>
          </cell>
          <cell r="AY121">
            <v>1.2E-2</v>
          </cell>
          <cell r="AZ121">
            <v>78.72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1.2E-2</v>
          </cell>
          <cell r="BF121">
            <v>78.72</v>
          </cell>
          <cell r="BG121">
            <v>0</v>
          </cell>
          <cell r="BH121">
            <v>0</v>
          </cell>
          <cell r="BI121">
            <v>1.4999999999999999E-2</v>
          </cell>
          <cell r="BJ121">
            <v>96.91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1.4999999999999999E-2</v>
          </cell>
          <cell r="BT121">
            <v>96.91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1.4999999999999999E-2</v>
          </cell>
          <cell r="CL121">
            <v>96.91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6.0000000000000001E-3</v>
          </cell>
          <cell r="DD121">
            <v>37.619999999999997</v>
          </cell>
          <cell r="DE121">
            <v>6.0000000000000001E-3</v>
          </cell>
          <cell r="DF121">
            <v>37.619999999999997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3.3000000000000002E-2</v>
          </cell>
          <cell r="DX121">
            <v>213.25</v>
          </cell>
          <cell r="DY121" t="str">
            <v/>
          </cell>
          <cell r="DZ121">
            <v>0</v>
          </cell>
          <cell r="EA121">
            <v>6462.121212121212</v>
          </cell>
        </row>
        <row r="122">
          <cell r="A122">
            <v>1</v>
          </cell>
          <cell r="B122">
            <v>314381</v>
          </cell>
          <cell r="C122" t="str">
            <v>მზ.ზეთი-მოჯუზე-2ლ*6 სახელურით</v>
          </cell>
          <cell r="D122" t="str">
            <v>TON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O122">
            <v>0</v>
          </cell>
          <cell r="AP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 t="str">
            <v>Hedef</v>
          </cell>
          <cell r="DZ122" t="str">
            <v>pasiv</v>
          </cell>
          <cell r="EA122" t="e">
            <v>#DIV/0!</v>
          </cell>
        </row>
        <row r="123">
          <cell r="A123">
            <v>1</v>
          </cell>
          <cell r="B123">
            <v>318583</v>
          </cell>
          <cell r="C123" t="str">
            <v>მზ.ზეთი-ფინალი-4ლ*4</v>
          </cell>
          <cell r="D123" t="str">
            <v>TON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O123">
            <v>0</v>
          </cell>
          <cell r="AP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 t="str">
            <v>Hedef</v>
          </cell>
          <cell r="DZ123" t="str">
            <v>pasiv</v>
          </cell>
          <cell r="EA123" t="e">
            <v>#DIV/0!</v>
          </cell>
        </row>
        <row r="124">
          <cell r="B124">
            <v>16366</v>
          </cell>
          <cell r="C124" t="str">
            <v>MOCUZE KERE LEZZETLI GUNEBAXAN_2 LT*6</v>
          </cell>
          <cell r="D124" t="str">
            <v>TON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-6.0000000000000001E-3</v>
          </cell>
          <cell r="AL124">
            <v>-47.4</v>
          </cell>
          <cell r="AO124">
            <v>-6.0000000000000001E-3</v>
          </cell>
          <cell r="AP124">
            <v>-47.4</v>
          </cell>
          <cell r="AS124">
            <v>0</v>
          </cell>
          <cell r="AT124">
            <v>0</v>
          </cell>
          <cell r="AU124">
            <v>4.2000000000000003E-2</v>
          </cell>
          <cell r="AV124">
            <v>241.8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0.02</v>
          </cell>
          <cell r="CF124">
            <v>112.8</v>
          </cell>
          <cell r="CG124">
            <v>0</v>
          </cell>
          <cell r="CH124">
            <v>0</v>
          </cell>
          <cell r="CI124">
            <v>0.02</v>
          </cell>
          <cell r="CJ124">
            <v>112.8</v>
          </cell>
          <cell r="CK124">
            <v>0.02</v>
          </cell>
          <cell r="CL124">
            <v>112.8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1.2E-2</v>
          </cell>
          <cell r="DB124">
            <v>75.599999999999994</v>
          </cell>
          <cell r="DC124">
            <v>1.6E-2</v>
          </cell>
          <cell r="DD124">
            <v>100.8</v>
          </cell>
          <cell r="DE124">
            <v>2.8000000000000001E-2</v>
          </cell>
          <cell r="DF124">
            <v>176.39999999999998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4.2000000000000003E-2</v>
          </cell>
          <cell r="DX124">
            <v>241.79999999999998</v>
          </cell>
          <cell r="DY124" t="str">
            <v/>
          </cell>
          <cell r="DZ124">
            <v>0</v>
          </cell>
          <cell r="EA124">
            <v>5757.142857142856</v>
          </cell>
        </row>
        <row r="125">
          <cell r="B125">
            <v>75915</v>
          </cell>
          <cell r="C125" t="str">
            <v>MOCUZE KERE LEZZETLI GUNEBAXAN_5 LT*4</v>
          </cell>
          <cell r="D125" t="str">
            <v>TON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0.02</v>
          </cell>
          <cell r="T125">
            <v>128.63999999999999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0.02</v>
          </cell>
          <cell r="Z125">
            <v>128.63999999999999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O125">
            <v>0</v>
          </cell>
          <cell r="AP125">
            <v>0</v>
          </cell>
          <cell r="AS125">
            <v>0</v>
          </cell>
          <cell r="AT125">
            <v>0</v>
          </cell>
          <cell r="AU125">
            <v>0.02</v>
          </cell>
          <cell r="AV125">
            <v>128.63999999999999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0.02</v>
          </cell>
          <cell r="DX125">
            <v>128.63999999999999</v>
          </cell>
          <cell r="DY125" t="str">
            <v/>
          </cell>
          <cell r="DZ125">
            <v>0</v>
          </cell>
          <cell r="EA125">
            <v>6431.9999999999991</v>
          </cell>
        </row>
        <row r="126">
          <cell r="B126">
            <v>0</v>
          </cell>
          <cell r="C126" t="str">
            <v>MOCUZE AYCICEK TOPLAMI</v>
          </cell>
          <cell r="D126" t="str">
            <v>TON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0.02</v>
          </cell>
          <cell r="T126">
            <v>128.63999999999999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0.02</v>
          </cell>
          <cell r="Z126">
            <v>128.63999999999999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-6.0000000000000001E-3</v>
          </cell>
          <cell r="AL126">
            <v>-47.4</v>
          </cell>
          <cell r="AO126">
            <v>-6.0000000000000001E-3</v>
          </cell>
          <cell r="AP126">
            <v>-47.4</v>
          </cell>
          <cell r="AS126">
            <v>0</v>
          </cell>
          <cell r="AT126">
            <v>0</v>
          </cell>
          <cell r="AU126">
            <v>9.5000000000000015E-2</v>
          </cell>
          <cell r="AV126">
            <v>583.69000000000005</v>
          </cell>
          <cell r="AW126">
            <v>0</v>
          </cell>
          <cell r="AX126">
            <v>0</v>
          </cell>
          <cell r="AY126">
            <v>1.2E-2</v>
          </cell>
          <cell r="AZ126">
            <v>78.72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1.2E-2</v>
          </cell>
          <cell r="BF126">
            <v>78.72</v>
          </cell>
          <cell r="BG126">
            <v>0</v>
          </cell>
          <cell r="BH126">
            <v>0</v>
          </cell>
          <cell r="BI126">
            <v>1.4999999999999999E-2</v>
          </cell>
          <cell r="BJ126">
            <v>96.91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1.4999999999999999E-2</v>
          </cell>
          <cell r="BT126">
            <v>96.91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0.02</v>
          </cell>
          <cell r="CF126">
            <v>112.8</v>
          </cell>
          <cell r="CG126">
            <v>0</v>
          </cell>
          <cell r="CH126">
            <v>0</v>
          </cell>
          <cell r="CI126">
            <v>0.02</v>
          </cell>
          <cell r="CJ126">
            <v>112.8</v>
          </cell>
          <cell r="CK126">
            <v>3.5000000000000003E-2</v>
          </cell>
          <cell r="CL126">
            <v>209.70999999999998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1.2E-2</v>
          </cell>
          <cell r="DB126">
            <v>75.599999999999994</v>
          </cell>
          <cell r="DC126">
            <v>2.1999999999999999E-2</v>
          </cell>
          <cell r="DD126">
            <v>138.41999999999999</v>
          </cell>
          <cell r="DE126">
            <v>3.4000000000000002E-2</v>
          </cell>
          <cell r="DF126">
            <v>214.01999999999998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9.5000000000000015E-2</v>
          </cell>
          <cell r="DX126">
            <v>583.68999999999994</v>
          </cell>
          <cell r="DY126" t="str">
            <v/>
          </cell>
          <cell r="DZ126">
            <v>0</v>
          </cell>
          <cell r="EA126">
            <v>6144.1052631578932</v>
          </cell>
        </row>
        <row r="127">
          <cell r="B127">
            <v>79482</v>
          </cell>
          <cell r="C127" t="str">
            <v>CVENI SUPRA GUNEBAXAN_0.5 LT*12</v>
          </cell>
          <cell r="D127" t="str">
            <v>TON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O127">
            <v>0</v>
          </cell>
          <cell r="AP127">
            <v>0</v>
          </cell>
          <cell r="AS127">
            <v>0</v>
          </cell>
          <cell r="AT127">
            <v>0</v>
          </cell>
          <cell r="AU127">
            <v>6.4000000000000001E-2</v>
          </cell>
          <cell r="AV127">
            <v>436.33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2E-3</v>
          </cell>
          <cell r="BL127">
            <v>13.52</v>
          </cell>
          <cell r="BM127">
            <v>1.5E-3</v>
          </cell>
          <cell r="BN127">
            <v>9.66</v>
          </cell>
          <cell r="BO127">
            <v>1.2E-2</v>
          </cell>
          <cell r="BP127">
            <v>81.12</v>
          </cell>
          <cell r="BQ127">
            <v>0</v>
          </cell>
          <cell r="BR127">
            <v>0</v>
          </cell>
          <cell r="BS127">
            <v>1.55E-2</v>
          </cell>
          <cell r="BT127">
            <v>104.3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6.4999999999999997E-3</v>
          </cell>
          <cell r="CB127">
            <v>43.94</v>
          </cell>
          <cell r="CC127">
            <v>0</v>
          </cell>
          <cell r="CD127">
            <v>0</v>
          </cell>
          <cell r="CE127">
            <v>1.2E-2</v>
          </cell>
          <cell r="CF127">
            <v>84.48</v>
          </cell>
          <cell r="CG127">
            <v>0</v>
          </cell>
          <cell r="CH127">
            <v>0</v>
          </cell>
          <cell r="CI127">
            <v>1.8499999999999999E-2</v>
          </cell>
          <cell r="CJ127">
            <v>128.41999999999999</v>
          </cell>
          <cell r="CK127">
            <v>3.4000000000000002E-2</v>
          </cell>
          <cell r="CL127">
            <v>232.71999999999997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1.2E-2</v>
          </cell>
          <cell r="CZ127">
            <v>84.48</v>
          </cell>
          <cell r="DA127">
            <v>0</v>
          </cell>
          <cell r="DB127">
            <v>0</v>
          </cell>
          <cell r="DC127">
            <v>1.7999999999999999E-2</v>
          </cell>
          <cell r="DD127">
            <v>119.13</v>
          </cell>
          <cell r="DE127">
            <v>0.03</v>
          </cell>
          <cell r="DF127">
            <v>203.61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6.4000000000000001E-2</v>
          </cell>
          <cell r="DX127">
            <v>436.33</v>
          </cell>
          <cell r="DY127" t="str">
            <v/>
          </cell>
          <cell r="DZ127">
            <v>0</v>
          </cell>
          <cell r="EA127">
            <v>6817.65625</v>
          </cell>
        </row>
        <row r="128">
          <cell r="B128">
            <v>31520</v>
          </cell>
          <cell r="C128" t="str">
            <v>CVENI SUPRA GUNEBAXAN_2L*6</v>
          </cell>
          <cell r="D128" t="str">
            <v>TON</v>
          </cell>
          <cell r="E128">
            <v>0</v>
          </cell>
          <cell r="F128">
            <v>0</v>
          </cell>
          <cell r="G128">
            <v>1.2E-2</v>
          </cell>
          <cell r="H128">
            <v>64.89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O128">
            <v>1.2E-2</v>
          </cell>
          <cell r="P128">
            <v>64.89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-0.02</v>
          </cell>
          <cell r="AD128">
            <v>-188.5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-2E-3</v>
          </cell>
          <cell r="AJ128">
            <v>-21.17</v>
          </cell>
          <cell r="AK128">
            <v>0</v>
          </cell>
          <cell r="AL128">
            <v>0</v>
          </cell>
          <cell r="AO128">
            <v>-2.1999999999999999E-2</v>
          </cell>
          <cell r="AP128">
            <v>-209.67000000000002</v>
          </cell>
          <cell r="AS128">
            <v>0</v>
          </cell>
          <cell r="AT128">
            <v>0</v>
          </cell>
          <cell r="AU128">
            <v>5.1999999999999998E-2</v>
          </cell>
          <cell r="AV128">
            <v>215.89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2.4E-2</v>
          </cell>
          <cell r="BN128">
            <v>146.76</v>
          </cell>
          <cell r="BO128">
            <v>6.0000000000000001E-3</v>
          </cell>
          <cell r="BP128">
            <v>36.69</v>
          </cell>
          <cell r="BQ128">
            <v>0</v>
          </cell>
          <cell r="BR128">
            <v>0</v>
          </cell>
          <cell r="BS128">
            <v>0.03</v>
          </cell>
          <cell r="BT128">
            <v>183.45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1.6E-2</v>
          </cell>
          <cell r="BZ128">
            <v>87.35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2E-3</v>
          </cell>
          <cell r="CF128">
            <v>10.48</v>
          </cell>
          <cell r="CG128">
            <v>0</v>
          </cell>
          <cell r="CH128">
            <v>0</v>
          </cell>
          <cell r="CI128">
            <v>1.7999999999999999E-2</v>
          </cell>
          <cell r="CJ128">
            <v>97.83</v>
          </cell>
          <cell r="CK128">
            <v>4.8000000000000001E-2</v>
          </cell>
          <cell r="CL128">
            <v>281.27999999999997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6.0000000000000001E-3</v>
          </cell>
          <cell r="CV128">
            <v>36.69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8.0000000000000002E-3</v>
          </cell>
          <cell r="DD128">
            <v>42.7</v>
          </cell>
          <cell r="DE128">
            <v>8.0000000000000002E-3</v>
          </cell>
          <cell r="DF128">
            <v>42.7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6.0000000000000001E-3</v>
          </cell>
          <cell r="DP128">
            <v>36.69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6.0000000000000001E-3</v>
          </cell>
          <cell r="DV128">
            <v>36.69</v>
          </cell>
          <cell r="DW128">
            <v>5.2000000000000005E-2</v>
          </cell>
          <cell r="DX128">
            <v>215.88999999999993</v>
          </cell>
          <cell r="DY128" t="str">
            <v/>
          </cell>
          <cell r="DZ128">
            <v>0</v>
          </cell>
          <cell r="EA128">
            <v>4151.7307692307677</v>
          </cell>
        </row>
        <row r="129">
          <cell r="B129">
            <v>31519</v>
          </cell>
          <cell r="C129" t="str">
            <v xml:space="preserve">CVENI SUPRA AYCICEK YAGI 1 LT*12 </v>
          </cell>
          <cell r="D129" t="str">
            <v>TON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1.4999999999999999E-2</v>
          </cell>
          <cell r="AD129">
            <v>92.1</v>
          </cell>
          <cell r="AE129">
            <v>0</v>
          </cell>
          <cell r="AF129">
            <v>0</v>
          </cell>
          <cell r="AG129">
            <v>1.2E-2</v>
          </cell>
          <cell r="AH129">
            <v>73.680000000000007</v>
          </cell>
          <cell r="AI129">
            <v>2E-3</v>
          </cell>
          <cell r="AJ129">
            <v>11.2</v>
          </cell>
          <cell r="AK129">
            <v>1.2E-2</v>
          </cell>
          <cell r="AL129">
            <v>60.42</v>
          </cell>
          <cell r="AO129">
            <v>4.0999999999999995E-2</v>
          </cell>
          <cell r="AP129">
            <v>237.39999999999998</v>
          </cell>
          <cell r="AS129">
            <v>0</v>
          </cell>
          <cell r="AT129">
            <v>0</v>
          </cell>
          <cell r="AU129">
            <v>0.19600000000000001</v>
          </cell>
          <cell r="AV129">
            <v>1195.6500000000001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1.0999999999999999E-2</v>
          </cell>
          <cell r="BJ129">
            <v>68.42</v>
          </cell>
          <cell r="BK129">
            <v>2E-3</v>
          </cell>
          <cell r="BL129">
            <v>12.28</v>
          </cell>
          <cell r="BM129">
            <v>0</v>
          </cell>
          <cell r="BN129">
            <v>0</v>
          </cell>
          <cell r="BO129">
            <v>2.4E-2</v>
          </cell>
          <cell r="BP129">
            <v>147.36000000000001</v>
          </cell>
          <cell r="BQ129">
            <v>0</v>
          </cell>
          <cell r="BR129">
            <v>0</v>
          </cell>
          <cell r="BS129">
            <v>3.6999999999999998E-2</v>
          </cell>
          <cell r="BT129">
            <v>228.06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0.01</v>
          </cell>
          <cell r="BZ129">
            <v>61.4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4.0000000000000001E-3</v>
          </cell>
          <cell r="CF129">
            <v>21.06</v>
          </cell>
          <cell r="CG129">
            <v>0</v>
          </cell>
          <cell r="CH129">
            <v>0</v>
          </cell>
          <cell r="CI129">
            <v>1.4E-2</v>
          </cell>
          <cell r="CJ129">
            <v>82.46</v>
          </cell>
          <cell r="CK129">
            <v>5.0999999999999997E-2</v>
          </cell>
          <cell r="CL129">
            <v>310.52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4.4999999999999998E-2</v>
          </cell>
          <cell r="CV129">
            <v>276.3</v>
          </cell>
          <cell r="CW129">
            <v>0</v>
          </cell>
          <cell r="CX129">
            <v>0</v>
          </cell>
          <cell r="CY129">
            <v>4.8000000000000001E-2</v>
          </cell>
          <cell r="CZ129">
            <v>307.2</v>
          </cell>
          <cell r="DA129">
            <v>1.0999999999999999E-2</v>
          </cell>
          <cell r="DB129">
            <v>64.23</v>
          </cell>
          <cell r="DC129">
            <v>0</v>
          </cell>
          <cell r="DD129">
            <v>0</v>
          </cell>
          <cell r="DE129">
            <v>5.8999999999999997E-2</v>
          </cell>
          <cell r="DF129">
            <v>371.43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3.0000000000000001E-3</v>
          </cell>
          <cell r="DP129">
            <v>18.420000000000002</v>
          </cell>
          <cell r="DQ129">
            <v>1.2E-2</v>
          </cell>
          <cell r="DR129">
            <v>73.680000000000007</v>
          </cell>
          <cell r="DS129">
            <v>0.03</v>
          </cell>
          <cell r="DT129">
            <v>184.2</v>
          </cell>
          <cell r="DU129">
            <v>4.4999999999999998E-2</v>
          </cell>
          <cell r="DV129">
            <v>276.3</v>
          </cell>
          <cell r="DW129">
            <v>0.19600000000000001</v>
          </cell>
          <cell r="DX129">
            <v>1195.6500000000001</v>
          </cell>
          <cell r="DY129" t="str">
            <v/>
          </cell>
          <cell r="DZ129">
            <v>0</v>
          </cell>
          <cell r="EA129">
            <v>6100.2551020408164</v>
          </cell>
        </row>
        <row r="130">
          <cell r="B130">
            <v>378843</v>
          </cell>
          <cell r="C130" t="str">
            <v>მზ.ზეთი-კუბანსკოე ლეტო-1ლ*15</v>
          </cell>
          <cell r="D130" t="str">
            <v>TON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O130">
            <v>0</v>
          </cell>
          <cell r="AP130">
            <v>0</v>
          </cell>
          <cell r="AS130">
            <v>0</v>
          </cell>
          <cell r="AT130">
            <v>0</v>
          </cell>
          <cell r="AU130">
            <v>5.0000000000000001E-3</v>
          </cell>
          <cell r="AV130">
            <v>20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5.0000000000000001E-3</v>
          </cell>
          <cell r="BN130">
            <v>20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5.0000000000000001E-3</v>
          </cell>
          <cell r="BT130">
            <v>20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5.0000000000000001E-3</v>
          </cell>
          <cell r="CL130">
            <v>20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5.0000000000000001E-3</v>
          </cell>
          <cell r="DX130">
            <v>20</v>
          </cell>
          <cell r="DY130" t="str">
            <v/>
          </cell>
          <cell r="DZ130">
            <v>0</v>
          </cell>
          <cell r="EA130">
            <v>4000</v>
          </cell>
        </row>
        <row r="131">
          <cell r="B131">
            <v>378844</v>
          </cell>
          <cell r="C131" t="str">
            <v>მზ.ზეთი-კუბანსკოე ლეტო-3ლ*6</v>
          </cell>
          <cell r="D131" t="str">
            <v>TON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O131">
            <v>0</v>
          </cell>
          <cell r="AP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 t="str">
            <v/>
          </cell>
          <cell r="DZ131" t="str">
            <v>pasiv</v>
          </cell>
          <cell r="EA131" t="e">
            <v>#DIV/0!</v>
          </cell>
        </row>
        <row r="132">
          <cell r="B132">
            <v>343252</v>
          </cell>
          <cell r="C132" t="str">
            <v>მზ.ზეთი-კუბანსკაია მარკა-1 ლ*15</v>
          </cell>
          <cell r="D132" t="str">
            <v>TON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O132">
            <v>0</v>
          </cell>
          <cell r="AP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 t="str">
            <v/>
          </cell>
          <cell r="DZ132" t="str">
            <v>pasiv</v>
          </cell>
          <cell r="EA132" t="e">
            <v>#DIV/0!</v>
          </cell>
        </row>
        <row r="133">
          <cell r="B133">
            <v>375504</v>
          </cell>
          <cell r="C133" t="str">
            <v>მზ.ზეთი-კუბანსკოე ლეტო-4.5ლ*3</v>
          </cell>
          <cell r="D133" t="str">
            <v>TON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O133">
            <v>0</v>
          </cell>
          <cell r="AP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 t="str">
            <v/>
          </cell>
          <cell r="DZ133" t="str">
            <v>pasiv</v>
          </cell>
          <cell r="EA133" t="e">
            <v>#DIV/0!</v>
          </cell>
        </row>
        <row r="134">
          <cell r="B134">
            <v>375644</v>
          </cell>
          <cell r="C134" t="str">
            <v>მზ.ზეთი-კუბანსკოე ლეტო-5ლ*3</v>
          </cell>
          <cell r="D134" t="str">
            <v>TON</v>
          </cell>
          <cell r="E134">
            <v>1.4999999999999999E-2</v>
          </cell>
          <cell r="F134">
            <v>60</v>
          </cell>
          <cell r="G134">
            <v>0.18</v>
          </cell>
          <cell r="H134">
            <v>697.2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O134">
            <v>0.19500000000000001</v>
          </cell>
          <cell r="P134">
            <v>757.2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0.06</v>
          </cell>
          <cell r="AL134">
            <v>230.4</v>
          </cell>
          <cell r="AO134">
            <v>0.06</v>
          </cell>
          <cell r="AP134">
            <v>230.4</v>
          </cell>
          <cell r="AS134">
            <v>0</v>
          </cell>
          <cell r="AT134">
            <v>0</v>
          </cell>
          <cell r="AU134">
            <v>0.95</v>
          </cell>
          <cell r="AV134">
            <v>3658.4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0.6</v>
          </cell>
          <cell r="BJ134">
            <v>2304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0.6</v>
          </cell>
          <cell r="BT134">
            <v>2304</v>
          </cell>
          <cell r="BU134">
            <v>0.03</v>
          </cell>
          <cell r="BV134">
            <v>116.4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5.0000000000000001E-3</v>
          </cell>
          <cell r="CH134">
            <v>20</v>
          </cell>
          <cell r="CI134">
            <v>3.5000000000000003E-2</v>
          </cell>
          <cell r="CJ134">
            <v>136.4</v>
          </cell>
          <cell r="CK134">
            <v>0.63500000000000001</v>
          </cell>
          <cell r="CL134">
            <v>2440.4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0.06</v>
          </cell>
          <cell r="CV134">
            <v>230.4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0.06</v>
          </cell>
          <cell r="DP134">
            <v>230.4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0.06</v>
          </cell>
          <cell r="DV134">
            <v>230.4</v>
          </cell>
          <cell r="DW134">
            <v>0.95000000000000018</v>
          </cell>
          <cell r="DX134">
            <v>3658.4000000000005</v>
          </cell>
          <cell r="DY134" t="str">
            <v/>
          </cell>
          <cell r="DZ134">
            <v>0</v>
          </cell>
          <cell r="EA134">
            <v>3850.9473684210525</v>
          </cell>
        </row>
        <row r="135">
          <cell r="B135">
            <v>341582</v>
          </cell>
          <cell r="C135" t="str">
            <v>მზ.ზეთი-კუბანსკაია მარკა-5 ლ*3</v>
          </cell>
          <cell r="D135" t="str">
            <v>TON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O135">
            <v>0</v>
          </cell>
          <cell r="AP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 t="str">
            <v/>
          </cell>
          <cell r="DZ135" t="str">
            <v>pasiv</v>
          </cell>
          <cell r="EA135" t="e">
            <v>#DIV/0!</v>
          </cell>
        </row>
        <row r="136">
          <cell r="B136">
            <v>79481</v>
          </cell>
          <cell r="C136" t="str">
            <v>CVENI SUPRA GUNEBAXAN_5 LT*4</v>
          </cell>
          <cell r="D136" t="str">
            <v>TON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O136">
            <v>0</v>
          </cell>
          <cell r="AP136">
            <v>0</v>
          </cell>
          <cell r="AS136">
            <v>0</v>
          </cell>
          <cell r="AT136">
            <v>0</v>
          </cell>
          <cell r="AU136">
            <v>0.03</v>
          </cell>
          <cell r="AV136">
            <v>150.5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0.02</v>
          </cell>
          <cell r="CH136">
            <v>107.52</v>
          </cell>
          <cell r="CI136">
            <v>0.02</v>
          </cell>
          <cell r="CJ136">
            <v>107.52</v>
          </cell>
          <cell r="CK136">
            <v>0.02</v>
          </cell>
          <cell r="CL136">
            <v>107.52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0.02</v>
          </cell>
          <cell r="DB136">
            <v>126</v>
          </cell>
          <cell r="DC136">
            <v>-0.01</v>
          </cell>
          <cell r="DD136">
            <v>-83.02</v>
          </cell>
          <cell r="DE136">
            <v>0.01</v>
          </cell>
          <cell r="DF136">
            <v>42.980000000000004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0.03</v>
          </cell>
          <cell r="DX136">
            <v>150.5</v>
          </cell>
          <cell r="DY136" t="str">
            <v/>
          </cell>
          <cell r="DZ136">
            <v>0</v>
          </cell>
          <cell r="EA136">
            <v>5016.666666666667</v>
          </cell>
        </row>
        <row r="137">
          <cell r="A137">
            <v>0.84603899999999999</v>
          </cell>
          <cell r="B137">
            <v>386461</v>
          </cell>
          <cell r="C137" t="str">
            <v>მზ.ზეთი-ფინალი-5ლ 1ც+1ც მაიონეზი–ჩვ.სუფრა-900მლ</v>
          </cell>
          <cell r="D137" t="str">
            <v>TON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O137">
            <v>0</v>
          </cell>
          <cell r="AP137">
            <v>0</v>
          </cell>
          <cell r="AS137">
            <v>0</v>
          </cell>
          <cell r="AT137">
            <v>0</v>
          </cell>
          <cell r="AU137">
            <v>5.4599972903999996E-2</v>
          </cell>
          <cell r="AV137">
            <v>344.52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9.0999954839999994E-3</v>
          </cell>
          <cell r="CV137">
            <v>54.52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4.5499977419999997E-2</v>
          </cell>
          <cell r="DJ137">
            <v>290</v>
          </cell>
          <cell r="DK137">
            <v>0</v>
          </cell>
          <cell r="DL137">
            <v>0</v>
          </cell>
          <cell r="DM137">
            <v>4.5499977419999997E-2</v>
          </cell>
          <cell r="DN137">
            <v>290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9.0999954839999994E-3</v>
          </cell>
          <cell r="DV137">
            <v>54.52</v>
          </cell>
          <cell r="DW137">
            <v>5.4599972903999996E-2</v>
          </cell>
          <cell r="DX137">
            <v>344.52</v>
          </cell>
          <cell r="DY137" t="str">
            <v/>
          </cell>
          <cell r="DZ137">
            <v>0</v>
          </cell>
          <cell r="EA137">
            <v>6309.8932412613049</v>
          </cell>
        </row>
        <row r="138">
          <cell r="A138">
            <v>0.84603899999999999</v>
          </cell>
          <cell r="B138">
            <v>386369</v>
          </cell>
          <cell r="C138" t="str">
            <v>მზ.ზ.ზოლ.სოლნიშ_5ლ 1ც+1ც მაიონ_ჩვ.სუფ.სამრხვ-900მლ</v>
          </cell>
          <cell r="D138" t="str">
            <v>TON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O138">
            <v>0</v>
          </cell>
          <cell r="AP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 t="str">
            <v/>
          </cell>
          <cell r="DZ138" t="str">
            <v>pasiv</v>
          </cell>
          <cell r="EA138" t="e">
            <v>#DIV/0!</v>
          </cell>
        </row>
        <row r="139">
          <cell r="A139">
            <v>0.83180986999999995</v>
          </cell>
          <cell r="B139">
            <v>386462</v>
          </cell>
          <cell r="C139" t="str">
            <v>მზ.ზ.ზოლ.სოლნიშ_1ლ 1ც+1ც მაიონ_ჩვ.სუფრა 200მლ</v>
          </cell>
          <cell r="D139" t="str">
            <v>TON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O139">
            <v>0</v>
          </cell>
          <cell r="AP139">
            <v>0</v>
          </cell>
          <cell r="AS139">
            <v>0</v>
          </cell>
          <cell r="AT139">
            <v>0</v>
          </cell>
          <cell r="AU139">
            <v>1.091999997336E-2</v>
          </cell>
          <cell r="AV139">
            <v>67.2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1.091999997336E-2</v>
          </cell>
          <cell r="CV139">
            <v>67.2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1.091999997336E-2</v>
          </cell>
          <cell r="DT139">
            <v>67.2</v>
          </cell>
          <cell r="DU139">
            <v>1.091999997336E-2</v>
          </cell>
          <cell r="DV139">
            <v>67.2</v>
          </cell>
          <cell r="DW139">
            <v>1.091999997336E-2</v>
          </cell>
          <cell r="DX139">
            <v>67.2</v>
          </cell>
          <cell r="DY139" t="str">
            <v/>
          </cell>
          <cell r="DZ139">
            <v>0</v>
          </cell>
          <cell r="EA139">
            <v>6153.8461688588341</v>
          </cell>
        </row>
        <row r="140">
          <cell r="A140">
            <v>0.83180980000000004</v>
          </cell>
          <cell r="B140">
            <v>386464</v>
          </cell>
          <cell r="C140" t="str">
            <v>მზ.ზ.ზოლ.სოლნიშ_2ლ 1ც+1ც მაიონ_ჩვ.სუფ. სამრხვ-400მ</v>
          </cell>
          <cell r="D140" t="str">
            <v>TON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O140">
            <v>0</v>
          </cell>
          <cell r="AP140">
            <v>0</v>
          </cell>
          <cell r="AS140">
            <v>0</v>
          </cell>
          <cell r="AT140">
            <v>0</v>
          </cell>
          <cell r="AU140">
            <v>1.0919999054400002E-2</v>
          </cell>
          <cell r="AV140">
            <v>66.900000000000006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1.0919999054400002E-2</v>
          </cell>
          <cell r="CV140">
            <v>66.900000000000006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1.0919999054400002E-2</v>
          </cell>
          <cell r="DT140">
            <v>66.900000000000006</v>
          </cell>
          <cell r="DU140">
            <v>1.0919999054400002E-2</v>
          </cell>
          <cell r="DV140">
            <v>66.900000000000006</v>
          </cell>
          <cell r="DW140">
            <v>1.0919999054400002E-2</v>
          </cell>
          <cell r="DX140">
            <v>66.900000000000006</v>
          </cell>
          <cell r="DY140" t="str">
            <v/>
          </cell>
          <cell r="DZ140">
            <v>0</v>
          </cell>
          <cell r="EA140">
            <v>6126.3741568772348</v>
          </cell>
        </row>
        <row r="141">
          <cell r="A141">
            <v>0.84603899999999999</v>
          </cell>
          <cell r="B141">
            <v>386460</v>
          </cell>
          <cell r="C141" t="str">
            <v>მზ.ზეთი-ჩვ.სუფრა-5ლ 1ც+1ც მაიონ_ჩვ.სუფ.ზეით. 900მლ</v>
          </cell>
          <cell r="D141" t="str">
            <v>TON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O141">
            <v>0</v>
          </cell>
          <cell r="AP141">
            <v>0</v>
          </cell>
          <cell r="AS141">
            <v>0</v>
          </cell>
          <cell r="AT141">
            <v>0</v>
          </cell>
          <cell r="AU141">
            <v>5.4599972903999996E-2</v>
          </cell>
          <cell r="AV141">
            <v>325.92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5.4599972903999996E-2</v>
          </cell>
          <cell r="CV141">
            <v>325.92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5.4599972903999996E-2</v>
          </cell>
          <cell r="DR141">
            <v>325.92</v>
          </cell>
          <cell r="DS141">
            <v>0</v>
          </cell>
          <cell r="DT141">
            <v>0</v>
          </cell>
          <cell r="DU141">
            <v>5.4599972903999996E-2</v>
          </cell>
          <cell r="DV141">
            <v>325.92</v>
          </cell>
          <cell r="DW141">
            <v>5.4599972903999996E-2</v>
          </cell>
          <cell r="DX141">
            <v>325.92</v>
          </cell>
          <cell r="DY141" t="str">
            <v/>
          </cell>
          <cell r="DZ141">
            <v>0</v>
          </cell>
          <cell r="EA141">
            <v>5969.233731545004</v>
          </cell>
        </row>
        <row r="142">
          <cell r="A142">
            <v>0.83180986999999995</v>
          </cell>
          <cell r="B142">
            <v>386463</v>
          </cell>
          <cell r="C142" t="str">
            <v>მზ.ზეთი-ჩვ.სუფრა-1ლ 1ც+1ც მაიონ_ჩვ.სუფ.ზეით. 200მლ</v>
          </cell>
          <cell r="D142" t="str">
            <v>TON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O142">
            <v>0</v>
          </cell>
          <cell r="AP142">
            <v>0</v>
          </cell>
          <cell r="AS142">
            <v>0</v>
          </cell>
          <cell r="AT142">
            <v>0</v>
          </cell>
          <cell r="AU142">
            <v>7.0979999826840001E-2</v>
          </cell>
          <cell r="AV142">
            <v>422.35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7.0979999826840001E-2</v>
          </cell>
          <cell r="CV142">
            <v>422.35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5.45999998668E-3</v>
          </cell>
          <cell r="DP142">
            <v>32.590000000000003</v>
          </cell>
          <cell r="DQ142">
            <v>5.4599999866800003E-2</v>
          </cell>
          <cell r="DR142">
            <v>322.56</v>
          </cell>
          <cell r="DS142">
            <v>1.091999997336E-2</v>
          </cell>
          <cell r="DT142">
            <v>67.2</v>
          </cell>
          <cell r="DU142">
            <v>7.0979999826840001E-2</v>
          </cell>
          <cell r="DV142">
            <v>422.35</v>
          </cell>
          <cell r="DW142">
            <v>7.0979999826840001E-2</v>
          </cell>
          <cell r="DX142">
            <v>422.35</v>
          </cell>
          <cell r="DY142" t="str">
            <v/>
          </cell>
          <cell r="DZ142">
            <v>0</v>
          </cell>
          <cell r="EA142">
            <v>5950.2676955529496</v>
          </cell>
        </row>
        <row r="143">
          <cell r="A143">
            <v>0.83180980000000004</v>
          </cell>
          <cell r="B143">
            <v>386465</v>
          </cell>
          <cell r="C143" t="str">
            <v>მზ.ზეთი-ჩვ.სუფრა-2ლ 1ც+1ც მაიონ_ჩვ.სუფ.ზეით. 400მლ</v>
          </cell>
          <cell r="D143" t="str">
            <v>TON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O143">
            <v>0</v>
          </cell>
          <cell r="AP143">
            <v>0</v>
          </cell>
          <cell r="AS143">
            <v>0</v>
          </cell>
          <cell r="AT143">
            <v>0</v>
          </cell>
          <cell r="AU143">
            <v>9.0999992120000001E-3</v>
          </cell>
          <cell r="AV143">
            <v>54.08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9.0999992120000001E-3</v>
          </cell>
          <cell r="CV143">
            <v>54.08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9.0999992120000001E-3</v>
          </cell>
          <cell r="DP143">
            <v>54.08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9.0999992120000001E-3</v>
          </cell>
          <cell r="DV143">
            <v>54.08</v>
          </cell>
          <cell r="DW143">
            <v>9.0999992120000001E-3</v>
          </cell>
          <cell r="DX143">
            <v>54.08</v>
          </cell>
          <cell r="DY143" t="str">
            <v/>
          </cell>
          <cell r="DZ143">
            <v>0</v>
          </cell>
          <cell r="EA143">
            <v>5942.8576574694316</v>
          </cell>
        </row>
        <row r="144">
          <cell r="A144">
            <v>1</v>
          </cell>
          <cell r="B144">
            <v>274183</v>
          </cell>
          <cell r="C144" t="str">
            <v>მზ.ზეთი-ჩვენი სუფრა-2ლ_11ც+1ც</v>
          </cell>
          <cell r="D144" t="str">
            <v>TON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O144">
            <v>0</v>
          </cell>
          <cell r="AP144">
            <v>0</v>
          </cell>
          <cell r="AS144">
            <v>0</v>
          </cell>
          <cell r="AT144">
            <v>0</v>
          </cell>
          <cell r="AU144">
            <v>7.1999999999999995E-2</v>
          </cell>
          <cell r="AV144">
            <v>364.27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4.8000000000000001E-2</v>
          </cell>
          <cell r="BZ144">
            <v>241.62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4.8000000000000001E-2</v>
          </cell>
          <cell r="CJ144">
            <v>241.62</v>
          </cell>
          <cell r="CK144">
            <v>4.8000000000000001E-2</v>
          </cell>
          <cell r="CL144">
            <v>241.62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2.4E-2</v>
          </cell>
          <cell r="CV144">
            <v>122.65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2.4E-2</v>
          </cell>
          <cell r="DT144">
            <v>122.65</v>
          </cell>
          <cell r="DU144">
            <v>2.4E-2</v>
          </cell>
          <cell r="DV144">
            <v>122.65</v>
          </cell>
          <cell r="DW144">
            <v>7.2000000000000008E-2</v>
          </cell>
          <cell r="DX144">
            <v>364.27</v>
          </cell>
          <cell r="DY144" t="str">
            <v>Hedef</v>
          </cell>
          <cell r="DZ144">
            <v>0</v>
          </cell>
          <cell r="EA144">
            <v>5059.3055555555547</v>
          </cell>
        </row>
        <row r="145">
          <cell r="A145">
            <v>1</v>
          </cell>
          <cell r="B145">
            <v>274148</v>
          </cell>
          <cell r="C145" t="str">
            <v>მზ.ზეთი-ჩვენი სუფრა-1ლ_11ც+1ც</v>
          </cell>
          <cell r="D145" t="str">
            <v>TON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1.2E-2</v>
          </cell>
          <cell r="T145">
            <v>59.75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1.2E-2</v>
          </cell>
          <cell r="Z145">
            <v>59.75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O145">
            <v>0</v>
          </cell>
          <cell r="AP145">
            <v>0</v>
          </cell>
          <cell r="AS145">
            <v>0</v>
          </cell>
          <cell r="AT145">
            <v>0</v>
          </cell>
          <cell r="AU145">
            <v>0.38400000000000001</v>
          </cell>
          <cell r="AV145">
            <v>1939.77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1.2E-2</v>
          </cell>
          <cell r="BD145">
            <v>59.75</v>
          </cell>
          <cell r="BE145">
            <v>1.2E-2</v>
          </cell>
          <cell r="BF145">
            <v>59.75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1.2E-2</v>
          </cell>
          <cell r="BN145">
            <v>59.75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1.2E-2</v>
          </cell>
          <cell r="BT145">
            <v>59.75</v>
          </cell>
          <cell r="BU145">
            <v>1.2E-2</v>
          </cell>
          <cell r="BV145">
            <v>59.75</v>
          </cell>
          <cell r="BW145">
            <v>2.4E-2</v>
          </cell>
          <cell r="BX145">
            <v>123.2</v>
          </cell>
          <cell r="BY145">
            <v>2.4E-2</v>
          </cell>
          <cell r="BZ145">
            <v>121.35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0.06</v>
          </cell>
          <cell r="CJ145">
            <v>304.3</v>
          </cell>
          <cell r="CK145">
            <v>7.1999999999999995E-2</v>
          </cell>
          <cell r="CL145">
            <v>364.05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0.28799999999999998</v>
          </cell>
          <cell r="CV145">
            <v>1456.22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2.4E-2</v>
          </cell>
          <cell r="DP145">
            <v>119.5</v>
          </cell>
          <cell r="DQ145">
            <v>0</v>
          </cell>
          <cell r="DR145">
            <v>0</v>
          </cell>
          <cell r="DS145">
            <v>0.26400000000000001</v>
          </cell>
          <cell r="DT145">
            <v>1336.72</v>
          </cell>
          <cell r="DU145">
            <v>0.28799999999999998</v>
          </cell>
          <cell r="DV145">
            <v>1456.22</v>
          </cell>
          <cell r="DW145">
            <v>0.38400000000000001</v>
          </cell>
          <cell r="DX145">
            <v>1939.77</v>
          </cell>
          <cell r="DY145" t="str">
            <v>Hedef</v>
          </cell>
          <cell r="DZ145">
            <v>0</v>
          </cell>
          <cell r="EA145">
            <v>5051.484375</v>
          </cell>
        </row>
        <row r="146">
          <cell r="A146">
            <v>1</v>
          </cell>
          <cell r="B146">
            <v>274190</v>
          </cell>
          <cell r="C146" t="str">
            <v>მზ.ზეთი-ჩვენი სუფრა-0.5ლ_11ც+1ც</v>
          </cell>
          <cell r="D146" t="str">
            <v>TON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O146">
            <v>0</v>
          </cell>
          <cell r="AP146">
            <v>0</v>
          </cell>
          <cell r="AS146">
            <v>0</v>
          </cell>
          <cell r="AT146">
            <v>0</v>
          </cell>
          <cell r="AU146">
            <v>1.2E-2</v>
          </cell>
          <cell r="AV146">
            <v>68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1.2E-2</v>
          </cell>
          <cell r="CV146">
            <v>68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1.2E-2</v>
          </cell>
          <cell r="DR146">
            <v>68</v>
          </cell>
          <cell r="DS146">
            <v>0</v>
          </cell>
          <cell r="DT146">
            <v>0</v>
          </cell>
          <cell r="DU146">
            <v>1.2E-2</v>
          </cell>
          <cell r="DV146">
            <v>68</v>
          </cell>
          <cell r="DW146">
            <v>1.2E-2</v>
          </cell>
          <cell r="DX146">
            <v>68</v>
          </cell>
          <cell r="DY146" t="str">
            <v>Hedef</v>
          </cell>
          <cell r="DZ146">
            <v>0</v>
          </cell>
          <cell r="EA146">
            <v>5666.666666666667</v>
          </cell>
        </row>
        <row r="147">
          <cell r="A147">
            <v>1</v>
          </cell>
          <cell r="B147">
            <v>274207</v>
          </cell>
          <cell r="C147" t="str">
            <v>მზ.ზეთი-ჩვენი სუფრა-5ლ_11ც+1ც</v>
          </cell>
          <cell r="D147" t="str">
            <v>TON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O147">
            <v>0</v>
          </cell>
          <cell r="AP147">
            <v>0</v>
          </cell>
          <cell r="AS147">
            <v>0</v>
          </cell>
          <cell r="AT147">
            <v>0</v>
          </cell>
          <cell r="AU147">
            <v>0.18</v>
          </cell>
          <cell r="AV147">
            <v>924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0.18</v>
          </cell>
          <cell r="CV147">
            <v>924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0.18</v>
          </cell>
          <cell r="DT147">
            <v>924</v>
          </cell>
          <cell r="DU147">
            <v>0.18</v>
          </cell>
          <cell r="DV147">
            <v>924</v>
          </cell>
          <cell r="DW147">
            <v>0.18</v>
          </cell>
          <cell r="DX147">
            <v>924</v>
          </cell>
          <cell r="DY147" t="str">
            <v>Hedef</v>
          </cell>
          <cell r="DZ147">
            <v>0</v>
          </cell>
          <cell r="EA147">
            <v>5133.3333333333339</v>
          </cell>
        </row>
        <row r="148">
          <cell r="B148">
            <v>366022</v>
          </cell>
          <cell r="C148" t="str">
            <v>მზ.ზეთი_ზოლოტო ვოსტოკა_5ლ*3</v>
          </cell>
          <cell r="D148" t="str">
            <v>TON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O148">
            <v>0</v>
          </cell>
          <cell r="AP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 t="str">
            <v/>
          </cell>
          <cell r="DZ148" t="str">
            <v>pasiv</v>
          </cell>
          <cell r="EA148" t="e">
            <v>#DIV/0!</v>
          </cell>
        </row>
        <row r="149">
          <cell r="C149" t="str">
            <v>CVENI SUPRA AYCICEK</v>
          </cell>
          <cell r="D149" t="str">
            <v>TON</v>
          </cell>
          <cell r="E149">
            <v>1.4999999999999999E-2</v>
          </cell>
          <cell r="F149">
            <v>60</v>
          </cell>
          <cell r="G149">
            <v>0.192</v>
          </cell>
          <cell r="H149">
            <v>762.09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O149">
            <v>0.20700000000000002</v>
          </cell>
          <cell r="P149">
            <v>822.09</v>
          </cell>
          <cell r="Q149">
            <v>0</v>
          </cell>
          <cell r="R149">
            <v>0</v>
          </cell>
          <cell r="S149">
            <v>1.2E-2</v>
          </cell>
          <cell r="T149">
            <v>59.75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1.2E-2</v>
          </cell>
          <cell r="Z149">
            <v>59.75</v>
          </cell>
          <cell r="AA149">
            <v>0</v>
          </cell>
          <cell r="AB149">
            <v>0</v>
          </cell>
          <cell r="AC149">
            <v>-5.000000000000001E-3</v>
          </cell>
          <cell r="AD149">
            <v>-96.4</v>
          </cell>
          <cell r="AE149">
            <v>0</v>
          </cell>
          <cell r="AF149">
            <v>0</v>
          </cell>
          <cell r="AG149">
            <v>1.2E-2</v>
          </cell>
          <cell r="AH149">
            <v>73.680000000000007</v>
          </cell>
          <cell r="AI149">
            <v>0</v>
          </cell>
          <cell r="AJ149">
            <v>-9.9700000000000024</v>
          </cell>
          <cell r="AK149">
            <v>7.1999999999999995E-2</v>
          </cell>
          <cell r="AL149">
            <v>290.82</v>
          </cell>
          <cell r="AO149">
            <v>7.8999999999999987E-2</v>
          </cell>
          <cell r="AP149">
            <v>258.13</v>
          </cell>
          <cell r="AS149">
            <v>0</v>
          </cell>
          <cell r="AT149">
            <v>0</v>
          </cell>
          <cell r="AU149">
            <v>2.1561199438746006</v>
          </cell>
          <cell r="AV149">
            <v>10253.780000000001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1.2E-2</v>
          </cell>
          <cell r="BD149">
            <v>59.75</v>
          </cell>
          <cell r="BE149">
            <v>1.2E-2</v>
          </cell>
          <cell r="BF149">
            <v>59.75</v>
          </cell>
          <cell r="BG149">
            <v>0</v>
          </cell>
          <cell r="BH149">
            <v>0</v>
          </cell>
          <cell r="BI149">
            <v>0.61099999999999999</v>
          </cell>
          <cell r="BJ149">
            <v>2372.42</v>
          </cell>
          <cell r="BK149">
            <v>4.0000000000000001E-3</v>
          </cell>
          <cell r="BL149">
            <v>25.799999999999997</v>
          </cell>
          <cell r="BM149">
            <v>4.2500000000000003E-2</v>
          </cell>
          <cell r="BN149">
            <v>236.17</v>
          </cell>
          <cell r="BO149">
            <v>4.2000000000000003E-2</v>
          </cell>
          <cell r="BP149">
            <v>265.17</v>
          </cell>
          <cell r="BQ149">
            <v>0</v>
          </cell>
          <cell r="BR149">
            <v>0</v>
          </cell>
          <cell r="BS149">
            <v>0.69950000000000001</v>
          </cell>
          <cell r="BT149">
            <v>2899.56</v>
          </cell>
          <cell r="BU149">
            <v>4.1999999999999996E-2</v>
          </cell>
          <cell r="BV149">
            <v>176.15</v>
          </cell>
          <cell r="BW149">
            <v>2.4E-2</v>
          </cell>
          <cell r="BX149">
            <v>123.2</v>
          </cell>
          <cell r="BY149">
            <v>9.8000000000000004E-2</v>
          </cell>
          <cell r="BZ149">
            <v>511.72</v>
          </cell>
          <cell r="CA149">
            <v>6.4999999999999997E-3</v>
          </cell>
          <cell r="CB149">
            <v>43.94</v>
          </cell>
          <cell r="CC149">
            <v>0</v>
          </cell>
          <cell r="CD149">
            <v>0</v>
          </cell>
          <cell r="CE149">
            <v>1.8000000000000002E-2</v>
          </cell>
          <cell r="CF149">
            <v>116.02000000000001</v>
          </cell>
          <cell r="CG149">
            <v>2.5000000000000001E-2</v>
          </cell>
          <cell r="CH149">
            <v>127.52</v>
          </cell>
          <cell r="CI149">
            <v>0.2135</v>
          </cell>
          <cell r="CJ149">
            <v>1098.55</v>
          </cell>
          <cell r="CK149">
            <v>0.91300000000000003</v>
          </cell>
          <cell r="CL149">
            <v>3998.11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0.78061996645459986</v>
          </cell>
          <cell r="CV149">
            <v>4105.2300000000005</v>
          </cell>
          <cell r="CW149">
            <v>0</v>
          </cell>
          <cell r="CX149">
            <v>0</v>
          </cell>
          <cell r="CY149">
            <v>0.06</v>
          </cell>
          <cell r="CZ149">
            <v>391.68</v>
          </cell>
          <cell r="DA149">
            <v>3.1E-2</v>
          </cell>
          <cell r="DB149">
            <v>190.23000000000002</v>
          </cell>
          <cell r="DC149">
            <v>1.6E-2</v>
          </cell>
          <cell r="DD149">
            <v>78.809999999999988</v>
          </cell>
          <cell r="DE149">
            <v>0.107</v>
          </cell>
          <cell r="DF149">
            <v>660.72</v>
          </cell>
          <cell r="DG149">
            <v>0</v>
          </cell>
          <cell r="DH149">
            <v>0</v>
          </cell>
          <cell r="DI149">
            <v>4.5499977419999997E-2</v>
          </cell>
          <cell r="DJ149">
            <v>290</v>
          </cell>
          <cell r="DK149">
            <v>0</v>
          </cell>
          <cell r="DL149">
            <v>0</v>
          </cell>
          <cell r="DM149">
            <v>4.5499977419999997E-2</v>
          </cell>
          <cell r="DN149">
            <v>290</v>
          </cell>
          <cell r="DO149">
            <v>0.10755999919868001</v>
          </cell>
          <cell r="DP149">
            <v>491.68</v>
          </cell>
          <cell r="DQ149">
            <v>0.13319997277080001</v>
          </cell>
          <cell r="DR149">
            <v>790.16000000000008</v>
          </cell>
          <cell r="DS149">
            <v>0.53075999900112003</v>
          </cell>
          <cell r="DT149">
            <v>2768.87</v>
          </cell>
          <cell r="DU149">
            <v>0.78061996645459986</v>
          </cell>
          <cell r="DV149">
            <v>4105.2300000000005</v>
          </cell>
          <cell r="DW149">
            <v>2.1561199438746006</v>
          </cell>
          <cell r="DX149">
            <v>10253.780000000001</v>
          </cell>
          <cell r="DY149" t="str">
            <v/>
          </cell>
          <cell r="DZ149">
            <v>0</v>
          </cell>
          <cell r="EA149">
            <v>4755.6630739075235</v>
          </cell>
        </row>
        <row r="150">
          <cell r="B150">
            <v>246883</v>
          </cell>
          <cell r="C150" t="str">
            <v>მზ.ზეთი საოცრება 1ლ*12</v>
          </cell>
          <cell r="D150" t="str">
            <v>TON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0.04</v>
          </cell>
          <cell r="AD150">
            <v>256.39999999999998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6.0000000000000001E-3</v>
          </cell>
          <cell r="AJ150">
            <v>38.46</v>
          </cell>
          <cell r="AK150">
            <v>4.0000000000000001E-3</v>
          </cell>
          <cell r="AL150">
            <v>25.64</v>
          </cell>
          <cell r="AO150">
            <v>0.05</v>
          </cell>
          <cell r="AP150">
            <v>320.49999999999994</v>
          </cell>
          <cell r="AS150">
            <v>0</v>
          </cell>
          <cell r="AT150">
            <v>0</v>
          </cell>
          <cell r="AU150">
            <v>8.7999999999999995E-2</v>
          </cell>
          <cell r="AV150">
            <v>555.24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1.2E-2</v>
          </cell>
          <cell r="BD150">
            <v>76.92</v>
          </cell>
          <cell r="BE150">
            <v>1.2E-2</v>
          </cell>
          <cell r="BF150">
            <v>76.92</v>
          </cell>
          <cell r="BG150">
            <v>0</v>
          </cell>
          <cell r="BH150">
            <v>0</v>
          </cell>
          <cell r="BI150">
            <v>3.0000000000000001E-3</v>
          </cell>
          <cell r="BJ150">
            <v>17.75</v>
          </cell>
          <cell r="BK150">
            <v>0</v>
          </cell>
          <cell r="BL150">
            <v>0</v>
          </cell>
          <cell r="BM150">
            <v>5.0000000000000001E-3</v>
          </cell>
          <cell r="BN150">
            <v>29.59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8.0000000000000002E-3</v>
          </cell>
          <cell r="BT150">
            <v>47.34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8.0000000000000002E-3</v>
          </cell>
          <cell r="CL150">
            <v>47.34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6.0000000000000001E-3</v>
          </cell>
          <cell r="DB150">
            <v>38.46</v>
          </cell>
          <cell r="DC150">
            <v>1.2E-2</v>
          </cell>
          <cell r="DD150">
            <v>72.02</v>
          </cell>
          <cell r="DE150">
            <v>1.8000000000000002E-2</v>
          </cell>
          <cell r="DF150">
            <v>110.47999999999999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8.8000000000000009E-2</v>
          </cell>
          <cell r="DX150">
            <v>555.24</v>
          </cell>
          <cell r="DY150" t="str">
            <v/>
          </cell>
          <cell r="DZ150">
            <v>0</v>
          </cell>
          <cell r="EA150">
            <v>6309.545454545454</v>
          </cell>
        </row>
        <row r="151">
          <cell r="B151">
            <v>98114</v>
          </cell>
          <cell r="C151" t="str">
            <v>SAUSTREBA GUNEBAXAN YAGI_2L*6</v>
          </cell>
          <cell r="D151" t="str">
            <v>TON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O151">
            <v>0</v>
          </cell>
          <cell r="P151">
            <v>0</v>
          </cell>
          <cell r="Q151">
            <v>1.2E-2</v>
          </cell>
          <cell r="R151">
            <v>69.260000000000005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1.2E-2</v>
          </cell>
          <cell r="Z151">
            <v>69.260000000000005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0.01</v>
          </cell>
          <cell r="AF151">
            <v>55.93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-2E-3</v>
          </cell>
          <cell r="AL151">
            <v>-17.149999999999999</v>
          </cell>
          <cell r="AO151">
            <v>8.0000000000000002E-3</v>
          </cell>
          <cell r="AP151">
            <v>38.78</v>
          </cell>
          <cell r="AS151">
            <v>0</v>
          </cell>
          <cell r="AT151">
            <v>0</v>
          </cell>
          <cell r="AU151">
            <v>0.08</v>
          </cell>
          <cell r="AV151">
            <v>474.82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6.0000000000000001E-3</v>
          </cell>
          <cell r="BN151">
            <v>34.630000000000003</v>
          </cell>
          <cell r="BO151">
            <v>2E-3</v>
          </cell>
          <cell r="BP151">
            <v>12.5</v>
          </cell>
          <cell r="BQ151">
            <v>0</v>
          </cell>
          <cell r="BR151">
            <v>0</v>
          </cell>
          <cell r="BS151">
            <v>8.0000000000000002E-3</v>
          </cell>
          <cell r="BT151">
            <v>47.13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1.2E-2</v>
          </cell>
          <cell r="BZ151">
            <v>67.12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2E-3</v>
          </cell>
          <cell r="CF151">
            <v>11.19</v>
          </cell>
          <cell r="CG151">
            <v>0</v>
          </cell>
          <cell r="CH151">
            <v>0</v>
          </cell>
          <cell r="CI151">
            <v>1.4E-2</v>
          </cell>
          <cell r="CJ151">
            <v>78.31</v>
          </cell>
          <cell r="CK151">
            <v>2.1999999999999999E-2</v>
          </cell>
          <cell r="CL151">
            <v>125.44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2E-3</v>
          </cell>
          <cell r="CV151">
            <v>11.9</v>
          </cell>
          <cell r="CW151">
            <v>0</v>
          </cell>
          <cell r="CX151">
            <v>0</v>
          </cell>
          <cell r="CY151">
            <v>1.2E-2</v>
          </cell>
          <cell r="CZ151">
            <v>79.44</v>
          </cell>
          <cell r="DA151">
            <v>0</v>
          </cell>
          <cell r="DB151">
            <v>0</v>
          </cell>
          <cell r="DC151">
            <v>1.7999999999999999E-2</v>
          </cell>
          <cell r="DD151">
            <v>112.5</v>
          </cell>
          <cell r="DE151">
            <v>0.03</v>
          </cell>
          <cell r="DF151">
            <v>191.94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6.0000000000000001E-3</v>
          </cell>
          <cell r="DL151">
            <v>37.5</v>
          </cell>
          <cell r="DM151">
            <v>6.0000000000000001E-3</v>
          </cell>
          <cell r="DN151">
            <v>37.5</v>
          </cell>
          <cell r="DO151">
            <v>2E-3</v>
          </cell>
          <cell r="DP151">
            <v>11.9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2E-3</v>
          </cell>
          <cell r="DV151">
            <v>11.9</v>
          </cell>
          <cell r="DW151">
            <v>0.08</v>
          </cell>
          <cell r="DX151">
            <v>474.81999999999994</v>
          </cell>
          <cell r="DY151" t="str">
            <v/>
          </cell>
          <cell r="DZ151">
            <v>0</v>
          </cell>
          <cell r="EA151">
            <v>5935.2499999999991</v>
          </cell>
        </row>
        <row r="152">
          <cell r="C152" t="str">
            <v>SAUSTREBA GUNEBAXAN</v>
          </cell>
          <cell r="D152" t="str">
            <v>TON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O152">
            <v>0</v>
          </cell>
          <cell r="P152">
            <v>0</v>
          </cell>
          <cell r="Q152">
            <v>1.2E-2</v>
          </cell>
          <cell r="R152">
            <v>69.260000000000005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1.2E-2</v>
          </cell>
          <cell r="Z152">
            <v>69.260000000000005</v>
          </cell>
          <cell r="AA152">
            <v>0</v>
          </cell>
          <cell r="AB152">
            <v>0</v>
          </cell>
          <cell r="AC152">
            <v>0.04</v>
          </cell>
          <cell r="AD152">
            <v>256.39999999999998</v>
          </cell>
          <cell r="AE152">
            <v>0.01</v>
          </cell>
          <cell r="AF152">
            <v>55.93</v>
          </cell>
          <cell r="AG152">
            <v>0</v>
          </cell>
          <cell r="AH152">
            <v>0</v>
          </cell>
          <cell r="AI152">
            <v>6.0000000000000001E-3</v>
          </cell>
          <cell r="AJ152">
            <v>38.46</v>
          </cell>
          <cell r="AK152">
            <v>2E-3</v>
          </cell>
          <cell r="AL152">
            <v>8.490000000000002</v>
          </cell>
          <cell r="AO152">
            <v>5.8000000000000003E-2</v>
          </cell>
          <cell r="AP152">
            <v>359.28</v>
          </cell>
          <cell r="AS152">
            <v>0</v>
          </cell>
          <cell r="AT152">
            <v>0</v>
          </cell>
          <cell r="AU152">
            <v>0.16799999999999998</v>
          </cell>
          <cell r="AV152">
            <v>1030.06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1.2E-2</v>
          </cell>
          <cell r="BD152">
            <v>76.92</v>
          </cell>
          <cell r="BE152">
            <v>1.2E-2</v>
          </cell>
          <cell r="BF152">
            <v>76.92</v>
          </cell>
          <cell r="BG152">
            <v>0</v>
          </cell>
          <cell r="BH152">
            <v>0</v>
          </cell>
          <cell r="BI152">
            <v>3.0000000000000001E-3</v>
          </cell>
          <cell r="BJ152">
            <v>17.75</v>
          </cell>
          <cell r="BK152">
            <v>0</v>
          </cell>
          <cell r="BL152">
            <v>0</v>
          </cell>
          <cell r="BM152">
            <v>1.0999999999999999E-2</v>
          </cell>
          <cell r="BN152">
            <v>64.22</v>
          </cell>
          <cell r="BO152">
            <v>2E-3</v>
          </cell>
          <cell r="BP152">
            <v>12.5</v>
          </cell>
          <cell r="BQ152">
            <v>0</v>
          </cell>
          <cell r="BR152">
            <v>0</v>
          </cell>
          <cell r="BS152">
            <v>1.6E-2</v>
          </cell>
          <cell r="BT152">
            <v>94.47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1.2E-2</v>
          </cell>
          <cell r="BZ152">
            <v>67.12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2E-3</v>
          </cell>
          <cell r="CF152">
            <v>11.19</v>
          </cell>
          <cell r="CG152">
            <v>0</v>
          </cell>
          <cell r="CH152">
            <v>0</v>
          </cell>
          <cell r="CI152">
            <v>1.4E-2</v>
          </cell>
          <cell r="CJ152">
            <v>78.31</v>
          </cell>
          <cell r="CK152">
            <v>0.03</v>
          </cell>
          <cell r="CL152">
            <v>172.78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2E-3</v>
          </cell>
          <cell r="CV152">
            <v>11.9</v>
          </cell>
          <cell r="CW152">
            <v>0</v>
          </cell>
          <cell r="CX152">
            <v>0</v>
          </cell>
          <cell r="CY152">
            <v>1.2E-2</v>
          </cell>
          <cell r="CZ152">
            <v>79.44</v>
          </cell>
          <cell r="DA152">
            <v>6.0000000000000001E-3</v>
          </cell>
          <cell r="DB152">
            <v>38.46</v>
          </cell>
          <cell r="DC152">
            <v>0.03</v>
          </cell>
          <cell r="DD152">
            <v>184.51999999999998</v>
          </cell>
          <cell r="DE152">
            <v>4.8000000000000001E-2</v>
          </cell>
          <cell r="DF152">
            <v>302.41999999999996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6.0000000000000001E-3</v>
          </cell>
          <cell r="DL152">
            <v>37.5</v>
          </cell>
          <cell r="DM152">
            <v>6.0000000000000001E-3</v>
          </cell>
          <cell r="DN152">
            <v>37.5</v>
          </cell>
          <cell r="DO152">
            <v>2E-3</v>
          </cell>
          <cell r="DP152">
            <v>11.9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2E-3</v>
          </cell>
          <cell r="DV152">
            <v>11.9</v>
          </cell>
          <cell r="DW152">
            <v>0.16800000000000001</v>
          </cell>
          <cell r="DX152">
            <v>1030.06</v>
          </cell>
          <cell r="DY152" t="str">
            <v/>
          </cell>
          <cell r="DZ152">
            <v>0</v>
          </cell>
          <cell r="EA152">
            <v>6131.3095238095229</v>
          </cell>
        </row>
        <row r="153">
          <cell r="B153">
            <v>0</v>
          </cell>
          <cell r="C153" t="str">
            <v>AYCICEK YAGI</v>
          </cell>
          <cell r="D153" t="str">
            <v>TON</v>
          </cell>
          <cell r="E153">
            <v>1.4999999999999999E-2</v>
          </cell>
          <cell r="F153">
            <v>60</v>
          </cell>
          <cell r="G153">
            <v>0.20400000000000001</v>
          </cell>
          <cell r="H153">
            <v>830.77</v>
          </cell>
          <cell r="I153">
            <v>0.58499999999999996</v>
          </cell>
          <cell r="J153">
            <v>3644.55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0.80400000000000005</v>
          </cell>
          <cell r="P153">
            <v>4535.32</v>
          </cell>
          <cell r="Q153">
            <v>2.7E-2</v>
          </cell>
          <cell r="R153">
            <v>118.22</v>
          </cell>
          <cell r="S153">
            <v>0.66500000000000004</v>
          </cell>
          <cell r="T153">
            <v>3309.32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0.69200000000000017</v>
          </cell>
          <cell r="Z153">
            <v>3427.5400000000004</v>
          </cell>
          <cell r="AA153">
            <v>0</v>
          </cell>
          <cell r="AB153">
            <v>0</v>
          </cell>
          <cell r="AC153">
            <v>3.4000000000000002E-2</v>
          </cell>
          <cell r="AD153">
            <v>150.49999999999997</v>
          </cell>
          <cell r="AE153">
            <v>1.4E-2</v>
          </cell>
          <cell r="AF153">
            <v>77.509999999999991</v>
          </cell>
          <cell r="AG153">
            <v>1.2E-2</v>
          </cell>
          <cell r="AH153">
            <v>73.680000000000007</v>
          </cell>
          <cell r="AI153">
            <v>2.6000000000000002E-2</v>
          </cell>
          <cell r="AJ153">
            <v>94.960000000000008</v>
          </cell>
          <cell r="AK153">
            <v>8.6999999999999994E-2</v>
          </cell>
          <cell r="AL153">
            <v>248.41</v>
          </cell>
          <cell r="AM153">
            <v>0</v>
          </cell>
          <cell r="AN153">
            <v>0</v>
          </cell>
          <cell r="AO153">
            <v>0.17299999999999999</v>
          </cell>
          <cell r="AP153">
            <v>645.05999999999995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6.4371199438745998</v>
          </cell>
          <cell r="AV153">
            <v>33577.54</v>
          </cell>
          <cell r="AW153">
            <v>0</v>
          </cell>
          <cell r="AX153">
            <v>0</v>
          </cell>
          <cell r="AY153">
            <v>0.39200000000000002</v>
          </cell>
          <cell r="AZ153">
            <v>1988.22</v>
          </cell>
          <cell r="BA153">
            <v>0</v>
          </cell>
          <cell r="BB153">
            <v>0</v>
          </cell>
          <cell r="BC153">
            <v>0.39800000000000002</v>
          </cell>
          <cell r="BD153">
            <v>1912.3</v>
          </cell>
          <cell r="BE153">
            <v>0.79</v>
          </cell>
          <cell r="BF153">
            <v>3900.52</v>
          </cell>
          <cell r="BG153">
            <v>2E-3</v>
          </cell>
          <cell r="BH153">
            <v>13.64</v>
          </cell>
          <cell r="BI153">
            <v>0.77900000000000003</v>
          </cell>
          <cell r="BJ153">
            <v>3421.58</v>
          </cell>
          <cell r="BK153">
            <v>5.4999999999999997E-3</v>
          </cell>
          <cell r="BL153">
            <v>36.03</v>
          </cell>
          <cell r="BM153">
            <v>6.8500000000000005E-2</v>
          </cell>
          <cell r="BN153">
            <v>382.65</v>
          </cell>
          <cell r="BO153">
            <v>0.10800000000000001</v>
          </cell>
          <cell r="BP153">
            <v>660.95</v>
          </cell>
          <cell r="BQ153">
            <v>0</v>
          </cell>
          <cell r="BR153">
            <v>0</v>
          </cell>
          <cell r="BS153">
            <v>0.96550000000000002</v>
          </cell>
          <cell r="BT153">
            <v>4531.9000000000005</v>
          </cell>
          <cell r="BU153">
            <v>0.16199999999999998</v>
          </cell>
          <cell r="BV153">
            <v>832.36</v>
          </cell>
          <cell r="BW153">
            <v>6.6000000000000003E-2</v>
          </cell>
          <cell r="BX153">
            <v>357.57</v>
          </cell>
          <cell r="BY153">
            <v>0.20800000000000002</v>
          </cell>
          <cell r="BZ153">
            <v>1036.8600000000001</v>
          </cell>
          <cell r="CA153">
            <v>1.7499999999999998E-2</v>
          </cell>
          <cell r="CB153">
            <v>117.72</v>
          </cell>
          <cell r="CC153">
            <v>0</v>
          </cell>
          <cell r="CD153">
            <v>0</v>
          </cell>
          <cell r="CE153">
            <v>7.7500000000000013E-2</v>
          </cell>
          <cell r="CF153">
            <v>485.96999999999997</v>
          </cell>
          <cell r="CG153">
            <v>5.5E-2</v>
          </cell>
          <cell r="CH153">
            <v>305.52</v>
          </cell>
          <cell r="CI153">
            <v>0.58600000000000008</v>
          </cell>
          <cell r="CJ153">
            <v>3135.9999999999995</v>
          </cell>
          <cell r="CK153">
            <v>1.5515000000000001</v>
          </cell>
          <cell r="CL153">
            <v>7667.9000000000005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0.24</v>
          </cell>
          <cell r="CT153">
            <v>1370.82</v>
          </cell>
          <cell r="CU153">
            <v>1.3241199664545997</v>
          </cell>
          <cell r="CV153">
            <v>7222.1900000000005</v>
          </cell>
          <cell r="CW153">
            <v>0</v>
          </cell>
          <cell r="CX153">
            <v>0</v>
          </cell>
          <cell r="CY153">
            <v>0.15000000000000002</v>
          </cell>
          <cell r="CZ153">
            <v>988.80000000000018</v>
          </cell>
          <cell r="DA153">
            <v>3.4000000000000002E-2</v>
          </cell>
          <cell r="DB153">
            <v>158.79000000000002</v>
          </cell>
          <cell r="DC153">
            <v>9.1999999999999998E-2</v>
          </cell>
          <cell r="DD153">
            <v>462.39999999999992</v>
          </cell>
          <cell r="DE153">
            <v>0.27600000000000002</v>
          </cell>
          <cell r="DF153">
            <v>1609.9899999999998</v>
          </cell>
          <cell r="DG153">
            <v>0</v>
          </cell>
          <cell r="DH153">
            <v>0</v>
          </cell>
          <cell r="DI153">
            <v>0.38749997741999997</v>
          </cell>
          <cell r="DJ153">
            <v>2083.2200000000003</v>
          </cell>
          <cell r="DK153">
            <v>0.19800000000000001</v>
          </cell>
          <cell r="DL153">
            <v>1111.07</v>
          </cell>
          <cell r="DM153">
            <v>0.58549997741999993</v>
          </cell>
          <cell r="DN153">
            <v>3194.2899999999995</v>
          </cell>
          <cell r="DO153">
            <v>0.14405999919868001</v>
          </cell>
          <cell r="DP153">
            <v>702.85</v>
          </cell>
          <cell r="DQ153">
            <v>0.17219997277080001</v>
          </cell>
          <cell r="DR153">
            <v>1004.3900000000001</v>
          </cell>
          <cell r="DS153">
            <v>0.99875999900112</v>
          </cell>
          <cell r="DT153">
            <v>5460.43</v>
          </cell>
          <cell r="DU153">
            <v>1.3241199664545997</v>
          </cell>
          <cell r="DV153">
            <v>7222.1900000000005</v>
          </cell>
          <cell r="DW153">
            <v>6.4361199438746004</v>
          </cell>
          <cell r="DX153">
            <v>33573.629999999997</v>
          </cell>
          <cell r="DY153" t="str">
            <v/>
          </cell>
          <cell r="DZ153">
            <v>0</v>
          </cell>
          <cell r="EA153">
            <v>5216.4394530827185</v>
          </cell>
        </row>
        <row r="154">
          <cell r="A154">
            <v>4</v>
          </cell>
          <cell r="B154">
            <v>0</v>
          </cell>
          <cell r="C154" t="str">
            <v>AYCICEK YAGI</v>
          </cell>
          <cell r="D154" t="str">
            <v>TON</v>
          </cell>
          <cell r="E154">
            <v>1.4999999999999999E-2</v>
          </cell>
          <cell r="F154">
            <v>60</v>
          </cell>
          <cell r="G154">
            <v>0.20400000000000001</v>
          </cell>
          <cell r="H154">
            <v>830.77</v>
          </cell>
          <cell r="I154">
            <v>0.58499999999999996</v>
          </cell>
          <cell r="J154">
            <v>3644.55</v>
          </cell>
          <cell r="K154">
            <v>0</v>
          </cell>
          <cell r="L154">
            <v>0</v>
          </cell>
          <cell r="O154">
            <v>0.80400000000000005</v>
          </cell>
          <cell r="P154">
            <v>4535.32</v>
          </cell>
          <cell r="Q154">
            <v>2.7E-2</v>
          </cell>
          <cell r="R154">
            <v>118.22</v>
          </cell>
          <cell r="S154">
            <v>0.66500000000000004</v>
          </cell>
          <cell r="T154">
            <v>3309.32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0.69200000000000017</v>
          </cell>
          <cell r="Z154">
            <v>3427.5400000000004</v>
          </cell>
          <cell r="AA154">
            <v>0</v>
          </cell>
          <cell r="AB154">
            <v>0</v>
          </cell>
          <cell r="AC154">
            <v>3.4000000000000002E-2</v>
          </cell>
          <cell r="AD154">
            <v>150.49999999999997</v>
          </cell>
          <cell r="AE154">
            <v>1.4E-2</v>
          </cell>
          <cell r="AF154">
            <v>77.509999999999991</v>
          </cell>
          <cell r="AG154">
            <v>1.2E-2</v>
          </cell>
          <cell r="AH154">
            <v>73.680000000000007</v>
          </cell>
          <cell r="AI154">
            <v>2.6000000000000002E-2</v>
          </cell>
          <cell r="AJ154">
            <v>94.960000000000008</v>
          </cell>
          <cell r="AK154">
            <v>8.6999999999999994E-2</v>
          </cell>
          <cell r="AL154">
            <v>248.41</v>
          </cell>
          <cell r="AO154">
            <v>0.17299999999999999</v>
          </cell>
          <cell r="AP154">
            <v>645.05999999999995</v>
          </cell>
          <cell r="AS154">
            <v>0</v>
          </cell>
          <cell r="AT154">
            <v>0</v>
          </cell>
          <cell r="AU154">
            <v>6.4371199438745998</v>
          </cell>
          <cell r="AV154">
            <v>33577.54</v>
          </cell>
          <cell r="AW154">
            <v>0</v>
          </cell>
          <cell r="AX154">
            <v>0</v>
          </cell>
          <cell r="AY154">
            <v>0.39200000000000002</v>
          </cell>
          <cell r="AZ154">
            <v>1988.22</v>
          </cell>
          <cell r="BA154">
            <v>0</v>
          </cell>
          <cell r="BB154">
            <v>0</v>
          </cell>
          <cell r="BC154">
            <v>0.39800000000000002</v>
          </cell>
          <cell r="BD154">
            <v>1912.3</v>
          </cell>
          <cell r="BE154">
            <v>0.79</v>
          </cell>
          <cell r="BF154">
            <v>3900.52</v>
          </cell>
          <cell r="BG154">
            <v>2E-3</v>
          </cell>
          <cell r="BH154">
            <v>13.64</v>
          </cell>
          <cell r="BI154">
            <v>0.77900000000000003</v>
          </cell>
          <cell r="BJ154">
            <v>3421.58</v>
          </cell>
          <cell r="BK154">
            <v>5.4999999999999997E-3</v>
          </cell>
          <cell r="BL154">
            <v>36.03</v>
          </cell>
          <cell r="BM154">
            <v>6.8500000000000005E-2</v>
          </cell>
          <cell r="BN154">
            <v>382.65</v>
          </cell>
          <cell r="BO154">
            <v>0.10800000000000001</v>
          </cell>
          <cell r="BP154">
            <v>660.95</v>
          </cell>
          <cell r="BQ154">
            <v>0</v>
          </cell>
          <cell r="BR154">
            <v>0</v>
          </cell>
          <cell r="BS154">
            <v>0.96550000000000002</v>
          </cell>
          <cell r="BT154">
            <v>4531.9000000000005</v>
          </cell>
          <cell r="BU154">
            <v>0.16199999999999998</v>
          </cell>
          <cell r="BV154">
            <v>832.36</v>
          </cell>
          <cell r="BW154">
            <v>6.6000000000000003E-2</v>
          </cell>
          <cell r="BX154">
            <v>357.57</v>
          </cell>
          <cell r="BY154">
            <v>0.20800000000000002</v>
          </cell>
          <cell r="BZ154">
            <v>1036.8600000000001</v>
          </cell>
          <cell r="CA154">
            <v>1.7499999999999998E-2</v>
          </cell>
          <cell r="CB154">
            <v>117.72</v>
          </cell>
          <cell r="CC154">
            <v>0</v>
          </cell>
          <cell r="CD154">
            <v>0</v>
          </cell>
          <cell r="CE154">
            <v>7.7500000000000013E-2</v>
          </cell>
          <cell r="CF154">
            <v>485.96999999999997</v>
          </cell>
          <cell r="CG154">
            <v>5.5E-2</v>
          </cell>
          <cell r="CH154">
            <v>305.52</v>
          </cell>
          <cell r="CI154">
            <v>0.58600000000000008</v>
          </cell>
          <cell r="CJ154">
            <v>3135.9999999999995</v>
          </cell>
          <cell r="CK154">
            <v>1.5515000000000001</v>
          </cell>
          <cell r="CL154">
            <v>7667.9000000000005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0.24</v>
          </cell>
          <cell r="CT154">
            <v>1370.82</v>
          </cell>
          <cell r="CU154">
            <v>1.3241199664545997</v>
          </cell>
          <cell r="CV154">
            <v>7222.1900000000005</v>
          </cell>
          <cell r="CW154">
            <v>0</v>
          </cell>
          <cell r="CX154">
            <v>0</v>
          </cell>
          <cell r="CY154">
            <v>0.15000000000000002</v>
          </cell>
          <cell r="CZ154">
            <v>988.80000000000018</v>
          </cell>
          <cell r="DA154">
            <v>3.4000000000000002E-2</v>
          </cell>
          <cell r="DB154">
            <v>158.79000000000002</v>
          </cell>
          <cell r="DC154">
            <v>9.1999999999999998E-2</v>
          </cell>
          <cell r="DD154">
            <v>462.39999999999992</v>
          </cell>
          <cell r="DE154">
            <v>0.27600000000000002</v>
          </cell>
          <cell r="DF154">
            <v>1609.9899999999998</v>
          </cell>
          <cell r="DG154">
            <v>0</v>
          </cell>
          <cell r="DH154">
            <v>0</v>
          </cell>
          <cell r="DI154">
            <v>0.38749997741999997</v>
          </cell>
          <cell r="DJ154">
            <v>2083.2200000000003</v>
          </cell>
          <cell r="DK154">
            <v>0.19800000000000001</v>
          </cell>
          <cell r="DL154">
            <v>1111.07</v>
          </cell>
          <cell r="DM154">
            <v>0.58549997741999993</v>
          </cell>
          <cell r="DN154">
            <v>3194.2899999999995</v>
          </cell>
          <cell r="DO154">
            <v>0.14405999919868001</v>
          </cell>
          <cell r="DP154">
            <v>702.85</v>
          </cell>
          <cell r="DQ154">
            <v>0.17219997277080001</v>
          </cell>
          <cell r="DR154">
            <v>1004.3900000000001</v>
          </cell>
          <cell r="DS154">
            <v>0.99875999900112</v>
          </cell>
          <cell r="DT154">
            <v>5460.43</v>
          </cell>
          <cell r="DU154">
            <v>1.3241199664545997</v>
          </cell>
          <cell r="DV154">
            <v>7222.1900000000005</v>
          </cell>
          <cell r="DW154">
            <v>6.4361199438746004</v>
          </cell>
          <cell r="DX154">
            <v>33573.629999999997</v>
          </cell>
          <cell r="DY154" t="str">
            <v>Hedef</v>
          </cell>
          <cell r="DZ154">
            <v>0</v>
          </cell>
          <cell r="EA154">
            <v>5216.4394530827185</v>
          </cell>
        </row>
        <row r="155">
          <cell r="B155">
            <v>20976</v>
          </cell>
          <cell r="C155" t="str">
            <v>FINAL NEW MISIROZU 0.5*12</v>
          </cell>
          <cell r="D155" t="str">
            <v>TON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O155">
            <v>0</v>
          </cell>
          <cell r="AP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 t="str">
            <v/>
          </cell>
          <cell r="DZ155" t="str">
            <v>pasiv</v>
          </cell>
          <cell r="EA155" t="e">
            <v>#DIV/0!</v>
          </cell>
        </row>
        <row r="156">
          <cell r="B156">
            <v>16069</v>
          </cell>
          <cell r="C156" t="str">
            <v>FINAL NEW MISIROZU 1*12</v>
          </cell>
          <cell r="D156" t="str">
            <v>TON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O156">
            <v>0</v>
          </cell>
          <cell r="AP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 t="str">
            <v/>
          </cell>
          <cell r="DZ156" t="str">
            <v>pasiv</v>
          </cell>
          <cell r="EA156" t="e">
            <v>#DIV/0!</v>
          </cell>
        </row>
        <row r="157">
          <cell r="B157">
            <v>16066</v>
          </cell>
          <cell r="C157" t="str">
            <v>FINAL NEW MISIROZU 2*6</v>
          </cell>
          <cell r="D157" t="str">
            <v>TON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O157">
            <v>0</v>
          </cell>
          <cell r="AP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 t="str">
            <v/>
          </cell>
          <cell r="DZ157" t="str">
            <v>pasiv</v>
          </cell>
          <cell r="EA157" t="e">
            <v>#DIV/0!</v>
          </cell>
        </row>
        <row r="158">
          <cell r="B158">
            <v>307372</v>
          </cell>
          <cell r="C158" t="str">
            <v>სიმ.ზეთი-ფინალი-2ლ/2*6</v>
          </cell>
          <cell r="D158" t="str">
            <v>TON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O158">
            <v>0</v>
          </cell>
          <cell r="AP158">
            <v>0</v>
          </cell>
          <cell r="AS158">
            <v>0</v>
          </cell>
          <cell r="AT158">
            <v>0</v>
          </cell>
          <cell r="AU158">
            <v>2.8000000000000001E-2</v>
          </cell>
          <cell r="AV158">
            <v>283.58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1.6E-2</v>
          </cell>
          <cell r="CF158">
            <v>141.38</v>
          </cell>
          <cell r="CG158">
            <v>0</v>
          </cell>
          <cell r="CH158">
            <v>0</v>
          </cell>
          <cell r="CI158">
            <v>1.6E-2</v>
          </cell>
          <cell r="CJ158">
            <v>141.38</v>
          </cell>
          <cell r="CK158">
            <v>1.6E-2</v>
          </cell>
          <cell r="CL158">
            <v>141.38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1.2E-2</v>
          </cell>
          <cell r="CZ158">
            <v>142.19999999999999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1.2E-2</v>
          </cell>
          <cell r="DF158">
            <v>142.19999999999999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2.8000000000000001E-2</v>
          </cell>
          <cell r="DX158">
            <v>283.58</v>
          </cell>
          <cell r="DY158" t="str">
            <v/>
          </cell>
          <cell r="DZ158">
            <v>0</v>
          </cell>
          <cell r="EA158">
            <v>10127.857142857141</v>
          </cell>
        </row>
        <row r="159">
          <cell r="B159">
            <v>63419</v>
          </cell>
          <cell r="C159" t="str">
            <v>FINAL QARGIDALI_5 LT*4</v>
          </cell>
          <cell r="D159" t="str">
            <v>TON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O159">
            <v>0</v>
          </cell>
          <cell r="AP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 t="str">
            <v/>
          </cell>
          <cell r="DZ159" t="str">
            <v>pasiv</v>
          </cell>
          <cell r="EA159" t="e">
            <v>#DIV/0!</v>
          </cell>
        </row>
        <row r="160">
          <cell r="B160">
            <v>275061</v>
          </cell>
          <cell r="C160" t="str">
            <v>სიმ.ზეთი–ფინალი–1ლ_11ც+1ც</v>
          </cell>
          <cell r="D160" t="str">
            <v>TON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O160">
            <v>0</v>
          </cell>
          <cell r="AP160">
            <v>0</v>
          </cell>
          <cell r="AS160">
            <v>0</v>
          </cell>
          <cell r="AT160">
            <v>0</v>
          </cell>
          <cell r="AU160">
            <v>3.5999999999999997E-2</v>
          </cell>
          <cell r="AV160">
            <v>302.49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3.5999999999999997E-2</v>
          </cell>
          <cell r="BD160">
            <v>302.49</v>
          </cell>
          <cell r="BE160">
            <v>3.5999999999999997E-2</v>
          </cell>
          <cell r="BF160">
            <v>302.49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3.5999999999999997E-2</v>
          </cell>
          <cell r="DX160">
            <v>302.49</v>
          </cell>
          <cell r="DY160" t="str">
            <v/>
          </cell>
          <cell r="DZ160">
            <v>0</v>
          </cell>
          <cell r="EA160">
            <v>8402.5</v>
          </cell>
        </row>
        <row r="161">
          <cell r="B161">
            <v>311694</v>
          </cell>
          <cell r="C161" t="str">
            <v>სიმ.ზ.ფინალი-0.5ლ/0.5-11ც+1ც</v>
          </cell>
          <cell r="D161" t="str">
            <v>TON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O161">
            <v>0</v>
          </cell>
          <cell r="AP161">
            <v>0</v>
          </cell>
          <cell r="AS161">
            <v>0</v>
          </cell>
          <cell r="AT161">
            <v>0</v>
          </cell>
          <cell r="AU161">
            <v>7.1999999999999995E-2</v>
          </cell>
          <cell r="AV161">
            <v>639.65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6.6000000000000003E-2</v>
          </cell>
          <cell r="BD161">
            <v>586.85</v>
          </cell>
          <cell r="BE161">
            <v>6.6000000000000003E-2</v>
          </cell>
          <cell r="BF161">
            <v>586.85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6.0000000000000001E-3</v>
          </cell>
          <cell r="CV161">
            <v>52.8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6.0000000000000001E-3</v>
          </cell>
          <cell r="DR161">
            <v>52.8</v>
          </cell>
          <cell r="DS161">
            <v>0</v>
          </cell>
          <cell r="DT161">
            <v>0</v>
          </cell>
          <cell r="DU161">
            <v>6.0000000000000001E-3</v>
          </cell>
          <cell r="DV161">
            <v>52.8</v>
          </cell>
          <cell r="DW161">
            <v>7.2000000000000008E-2</v>
          </cell>
          <cell r="DX161">
            <v>639.65</v>
          </cell>
          <cell r="DY161" t="str">
            <v/>
          </cell>
          <cell r="DZ161">
            <v>0</v>
          </cell>
          <cell r="EA161">
            <v>8884.0277777777756</v>
          </cell>
        </row>
        <row r="162">
          <cell r="B162">
            <v>311695</v>
          </cell>
          <cell r="C162" t="str">
            <v>სიმ.ზეთი-ფინალი-5ლ-11ც+1ც</v>
          </cell>
          <cell r="D162" t="str">
            <v>TON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O162">
            <v>0</v>
          </cell>
          <cell r="AP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 t="str">
            <v/>
          </cell>
          <cell r="DZ162" t="str">
            <v>pasiv</v>
          </cell>
          <cell r="EA162" t="e">
            <v>#DIV/0!</v>
          </cell>
        </row>
        <row r="163">
          <cell r="B163">
            <v>311699</v>
          </cell>
          <cell r="C163" t="str">
            <v>სიმ.ზეთი-ფინალი-2ლ-11ც+1ც</v>
          </cell>
          <cell r="D163" t="str">
            <v>TON</v>
          </cell>
          <cell r="E163">
            <v>4.8000000000000001E-2</v>
          </cell>
          <cell r="F163">
            <v>397.06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O163">
            <v>4.8000000000000001E-2</v>
          </cell>
          <cell r="P163">
            <v>397.06</v>
          </cell>
          <cell r="Q163">
            <v>0</v>
          </cell>
          <cell r="R163">
            <v>0</v>
          </cell>
          <cell r="S163">
            <v>9.6000000000000002E-2</v>
          </cell>
          <cell r="T163">
            <v>787.91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9.6000000000000002E-2</v>
          </cell>
          <cell r="Z163">
            <v>787.91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O163">
            <v>0</v>
          </cell>
          <cell r="AP163">
            <v>0</v>
          </cell>
          <cell r="AS163">
            <v>0</v>
          </cell>
          <cell r="AT163">
            <v>0</v>
          </cell>
          <cell r="AU163">
            <v>0.192</v>
          </cell>
          <cell r="AV163">
            <v>1586.16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4.8000000000000001E-2</v>
          </cell>
          <cell r="BD163">
            <v>401.19</v>
          </cell>
          <cell r="BE163">
            <v>4.8000000000000001E-2</v>
          </cell>
          <cell r="BF163">
            <v>401.19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0.192</v>
          </cell>
          <cell r="DX163">
            <v>1586.1599999999999</v>
          </cell>
          <cell r="DY163" t="str">
            <v/>
          </cell>
          <cell r="DZ163">
            <v>0</v>
          </cell>
          <cell r="EA163">
            <v>8261.2499999999982</v>
          </cell>
        </row>
        <row r="164">
          <cell r="B164">
            <v>311681</v>
          </cell>
          <cell r="C164" t="str">
            <v>სიმ.ზეთი–მოჯუზე–2ლ-11ც+1ც</v>
          </cell>
          <cell r="D164" t="str">
            <v>TON</v>
          </cell>
          <cell r="E164">
            <v>9.6000000000000002E-2</v>
          </cell>
          <cell r="F164">
            <v>825.79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O164">
            <v>9.6000000000000002E-2</v>
          </cell>
          <cell r="P164">
            <v>825.79</v>
          </cell>
          <cell r="Q164">
            <v>0</v>
          </cell>
          <cell r="R164">
            <v>0</v>
          </cell>
          <cell r="S164">
            <v>9.6000000000000002E-2</v>
          </cell>
          <cell r="T164">
            <v>823.65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9.6000000000000002E-2</v>
          </cell>
          <cell r="Z164">
            <v>823.65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O164">
            <v>0</v>
          </cell>
          <cell r="AP164">
            <v>0</v>
          </cell>
          <cell r="AS164">
            <v>0</v>
          </cell>
          <cell r="AT164">
            <v>0</v>
          </cell>
          <cell r="AU164">
            <v>0.36</v>
          </cell>
          <cell r="AV164">
            <v>3139.74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4.8000000000000001E-2</v>
          </cell>
          <cell r="BD164">
            <v>423.65</v>
          </cell>
          <cell r="BE164">
            <v>4.8000000000000001E-2</v>
          </cell>
          <cell r="BF164">
            <v>423.65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0.12</v>
          </cell>
          <cell r="CV164">
            <v>1066.6500000000001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2.4E-2</v>
          </cell>
          <cell r="DR164">
            <v>206.45</v>
          </cell>
          <cell r="DS164">
            <v>9.6000000000000002E-2</v>
          </cell>
          <cell r="DT164">
            <v>860.2</v>
          </cell>
          <cell r="DU164">
            <v>0.12</v>
          </cell>
          <cell r="DV164">
            <v>1066.6500000000001</v>
          </cell>
          <cell r="DW164">
            <v>0.36</v>
          </cell>
          <cell r="DX164">
            <v>3139.7400000000002</v>
          </cell>
          <cell r="DY164" t="str">
            <v/>
          </cell>
          <cell r="DZ164">
            <v>0</v>
          </cell>
          <cell r="EA164">
            <v>8721.5000000000018</v>
          </cell>
        </row>
        <row r="165">
          <cell r="B165">
            <v>311682</v>
          </cell>
          <cell r="C165" t="str">
            <v>სიმ.ზეთი-მოჯუზე-5ლ-11ც+1ც</v>
          </cell>
          <cell r="D165" t="str">
            <v>TON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O165">
            <v>0</v>
          </cell>
          <cell r="AP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 t="str">
            <v/>
          </cell>
          <cell r="DZ165" t="str">
            <v>pasiv</v>
          </cell>
          <cell r="EA165" t="e">
            <v>#DIV/0!</v>
          </cell>
        </row>
        <row r="166">
          <cell r="B166">
            <v>311921</v>
          </cell>
          <cell r="C166" t="str">
            <v>სიმ.ზეთი–მოჯუზე–1ლ-11ც+1ც</v>
          </cell>
          <cell r="D166" t="str">
            <v>TON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O166">
            <v>0</v>
          </cell>
          <cell r="P166">
            <v>0</v>
          </cell>
          <cell r="Q166">
            <v>1.2E-2</v>
          </cell>
          <cell r="R166">
            <v>104.57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1.2E-2</v>
          </cell>
          <cell r="Z166">
            <v>104.57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O166">
            <v>0</v>
          </cell>
          <cell r="AP166">
            <v>0</v>
          </cell>
          <cell r="AS166">
            <v>0</v>
          </cell>
          <cell r="AT166">
            <v>0</v>
          </cell>
          <cell r="AU166">
            <v>0.12</v>
          </cell>
          <cell r="AV166">
            <v>1061.8399999999999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4.8000000000000001E-2</v>
          </cell>
          <cell r="BD166">
            <v>418.27</v>
          </cell>
          <cell r="BE166">
            <v>4.8000000000000001E-2</v>
          </cell>
          <cell r="BF166">
            <v>418.27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0.06</v>
          </cell>
          <cell r="CV166">
            <v>539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0.06</v>
          </cell>
          <cell r="DT166">
            <v>539</v>
          </cell>
          <cell r="DU166">
            <v>0.06</v>
          </cell>
          <cell r="DV166">
            <v>539</v>
          </cell>
          <cell r="DW166">
            <v>0.12</v>
          </cell>
          <cell r="DX166">
            <v>1061.8399999999999</v>
          </cell>
          <cell r="DY166" t="str">
            <v/>
          </cell>
          <cell r="DZ166">
            <v>0</v>
          </cell>
          <cell r="EA166">
            <v>8848.6666666666661</v>
          </cell>
        </row>
        <row r="167">
          <cell r="B167">
            <v>307368</v>
          </cell>
          <cell r="C167" t="str">
            <v>სიმ.ზ.ფინალი-0.5ლ/0.5*12</v>
          </cell>
          <cell r="D167" t="str">
            <v>TON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O167">
            <v>0</v>
          </cell>
          <cell r="AP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 t="str">
            <v/>
          </cell>
          <cell r="DZ167" t="str">
            <v>pasiv</v>
          </cell>
          <cell r="EA167" t="e">
            <v>#DIV/0!</v>
          </cell>
        </row>
        <row r="168">
          <cell r="B168">
            <v>307371</v>
          </cell>
          <cell r="C168" t="str">
            <v>სიმ.ზეთი-ფინალი-1ლ/1*12</v>
          </cell>
          <cell r="D168" t="str">
            <v>TON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1.2E-2</v>
          </cell>
          <cell r="T168">
            <v>110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1.2E-2</v>
          </cell>
          <cell r="Z168">
            <v>110</v>
          </cell>
          <cell r="AA168">
            <v>0</v>
          </cell>
          <cell r="AB168">
            <v>0</v>
          </cell>
          <cell r="AC168">
            <v>0.01</v>
          </cell>
          <cell r="AD168">
            <v>94.5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O168">
            <v>0.01</v>
          </cell>
          <cell r="AP168">
            <v>94.5</v>
          </cell>
          <cell r="AS168">
            <v>0</v>
          </cell>
          <cell r="AT168">
            <v>0</v>
          </cell>
          <cell r="AU168">
            <v>7.8E-2</v>
          </cell>
          <cell r="AV168">
            <v>730.2</v>
          </cell>
          <cell r="AW168">
            <v>0</v>
          </cell>
          <cell r="AX168">
            <v>0</v>
          </cell>
          <cell r="AY168">
            <v>2.4E-2</v>
          </cell>
          <cell r="AZ168">
            <v>227.9</v>
          </cell>
          <cell r="BA168">
            <v>0</v>
          </cell>
          <cell r="BB168">
            <v>0</v>
          </cell>
          <cell r="BC168">
            <v>1.2E-2</v>
          </cell>
          <cell r="BD168">
            <v>110</v>
          </cell>
          <cell r="BE168">
            <v>3.6000000000000004E-2</v>
          </cell>
          <cell r="BF168">
            <v>337.9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8.0000000000000002E-3</v>
          </cell>
          <cell r="BZ168">
            <v>79.36</v>
          </cell>
          <cell r="CA168">
            <v>1.6E-2</v>
          </cell>
          <cell r="CB168">
            <v>158.72</v>
          </cell>
          <cell r="CC168">
            <v>-0.01</v>
          </cell>
          <cell r="CD168">
            <v>-117.4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1.4E-2</v>
          </cell>
          <cell r="CJ168">
            <v>120.68</v>
          </cell>
          <cell r="CK168">
            <v>1.4E-2</v>
          </cell>
          <cell r="CL168">
            <v>120.68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6.0000000000000001E-3</v>
          </cell>
          <cell r="DD168">
            <v>67.12</v>
          </cell>
          <cell r="DE168">
            <v>6.0000000000000001E-3</v>
          </cell>
          <cell r="DF168">
            <v>67.12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7.8E-2</v>
          </cell>
          <cell r="DX168">
            <v>730.2</v>
          </cell>
          <cell r="DY168" t="str">
            <v/>
          </cell>
          <cell r="DZ168">
            <v>0</v>
          </cell>
          <cell r="EA168">
            <v>9361.5384615384628</v>
          </cell>
        </row>
        <row r="169">
          <cell r="B169">
            <v>307367</v>
          </cell>
          <cell r="C169" t="str">
            <v>სიმ.ზეთი-ფინალი-5ლ/5*4</v>
          </cell>
          <cell r="D169" t="str">
            <v>TON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O169">
            <v>0</v>
          </cell>
          <cell r="AP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 t="str">
            <v/>
          </cell>
          <cell r="DZ169" t="str">
            <v>pasiv</v>
          </cell>
          <cell r="EA169" t="e">
            <v>#DIV/0!</v>
          </cell>
        </row>
        <row r="170">
          <cell r="A170">
            <v>0.84729981300000001</v>
          </cell>
          <cell r="B170">
            <v>388730</v>
          </cell>
          <cell r="C170" t="str">
            <v>სიმ.ზეთი-ფინალი-5ლ 1ც+1ც მაიონ.ჩვ.სუფრა_891მლ/820გ</v>
          </cell>
          <cell r="D170" t="str">
            <v>TON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O170">
            <v>0</v>
          </cell>
          <cell r="AP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 t="str">
            <v/>
          </cell>
          <cell r="DZ170" t="str">
            <v>pasiv</v>
          </cell>
          <cell r="EA170" t="e">
            <v>#DIV/0!</v>
          </cell>
        </row>
        <row r="171">
          <cell r="A171">
            <v>0.84729981300000001</v>
          </cell>
          <cell r="B171">
            <v>389097</v>
          </cell>
          <cell r="C171" t="str">
            <v>სიმ.ზეთი-მოჯუზე-5ლ 1ც+1ც მაიონ.ჩვ.სუფრა_891მლ/820გ</v>
          </cell>
          <cell r="D171" t="str">
            <v>TON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O171">
            <v>0</v>
          </cell>
          <cell r="AP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 t="str">
            <v/>
          </cell>
          <cell r="DZ171" t="str">
            <v>pasiv</v>
          </cell>
          <cell r="EA171" t="e">
            <v>#DIV/0!</v>
          </cell>
        </row>
        <row r="172">
          <cell r="B172">
            <v>273974</v>
          </cell>
          <cell r="C172" t="str">
            <v>სიმ.ზეთი–ჩვ.სუფრა–1ლ_11ც+1ც</v>
          </cell>
          <cell r="D172" t="str">
            <v>TON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2.4E-2</v>
          </cell>
          <cell r="T172">
            <v>190.01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2.4E-2</v>
          </cell>
          <cell r="Z172">
            <v>190.01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O172">
            <v>0</v>
          </cell>
          <cell r="AP172">
            <v>0</v>
          </cell>
          <cell r="AS172">
            <v>0</v>
          </cell>
          <cell r="AT172">
            <v>0</v>
          </cell>
          <cell r="AU172">
            <v>0.12</v>
          </cell>
          <cell r="AV172">
            <v>977.61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9.6000000000000002E-2</v>
          </cell>
          <cell r="CV172">
            <v>787.6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9.6000000000000002E-2</v>
          </cell>
          <cell r="DT172">
            <v>787.6</v>
          </cell>
          <cell r="DU172">
            <v>9.6000000000000002E-2</v>
          </cell>
          <cell r="DV172">
            <v>787.6</v>
          </cell>
          <cell r="DW172">
            <v>0.12</v>
          </cell>
          <cell r="DX172">
            <v>977.61</v>
          </cell>
          <cell r="DY172" t="str">
            <v/>
          </cell>
          <cell r="DZ172">
            <v>0</v>
          </cell>
          <cell r="EA172">
            <v>8146.75</v>
          </cell>
        </row>
        <row r="173">
          <cell r="B173">
            <v>274175</v>
          </cell>
          <cell r="C173" t="str">
            <v>სიმ.ზეთი–ჩვ.სუფრა–5ლ_11ც+1ც</v>
          </cell>
          <cell r="D173" t="str">
            <v>TON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O173">
            <v>0</v>
          </cell>
          <cell r="AP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 t="str">
            <v/>
          </cell>
          <cell r="DZ173" t="str">
            <v>pasiv</v>
          </cell>
          <cell r="EA173" t="e">
            <v>#DIV/0!</v>
          </cell>
        </row>
        <row r="174">
          <cell r="B174">
            <v>129333</v>
          </cell>
          <cell r="C174" t="str">
            <v>CVENI SUPRA QARGIDALI_1L*12</v>
          </cell>
          <cell r="D174" t="str">
            <v>TON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-8.9999999999999993E-3</v>
          </cell>
          <cell r="AD174">
            <v>-84.6</v>
          </cell>
          <cell r="AE174">
            <v>0</v>
          </cell>
          <cell r="AF174">
            <v>0</v>
          </cell>
          <cell r="AG174">
            <v>2E-3</v>
          </cell>
          <cell r="AH174">
            <v>22.75</v>
          </cell>
          <cell r="AI174">
            <v>-5.0000000000000001E-3</v>
          </cell>
          <cell r="AJ174">
            <v>-47</v>
          </cell>
          <cell r="AK174">
            <v>-8.9999999999999993E-3</v>
          </cell>
          <cell r="AL174">
            <v>-122.04</v>
          </cell>
          <cell r="AO174">
            <v>-2.0999999999999998E-2</v>
          </cell>
          <cell r="AP174">
            <v>-230.89</v>
          </cell>
          <cell r="AS174">
            <v>0</v>
          </cell>
          <cell r="AT174">
            <v>0</v>
          </cell>
          <cell r="AU174">
            <v>0.10100000000000001</v>
          </cell>
          <cell r="AV174">
            <v>856.39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3.0000000000000001E-3</v>
          </cell>
          <cell r="BJ174">
            <v>26.04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4.0000000000000001E-3</v>
          </cell>
          <cell r="BP174">
            <v>37.6</v>
          </cell>
          <cell r="BQ174">
            <v>0</v>
          </cell>
          <cell r="BR174">
            <v>0</v>
          </cell>
          <cell r="BS174">
            <v>7.0000000000000001E-3</v>
          </cell>
          <cell r="BT174">
            <v>63.64</v>
          </cell>
          <cell r="BU174">
            <v>2E-3</v>
          </cell>
          <cell r="BV174">
            <v>17.899999999999999</v>
          </cell>
          <cell r="BW174">
            <v>0</v>
          </cell>
          <cell r="BX174">
            <v>0</v>
          </cell>
          <cell r="BY174">
            <v>1.2E-2</v>
          </cell>
          <cell r="BZ174">
            <v>112.8</v>
          </cell>
          <cell r="CA174">
            <v>1.7999999999999999E-2</v>
          </cell>
          <cell r="CB174">
            <v>169.2</v>
          </cell>
          <cell r="CC174">
            <v>-4.0000000000000001E-3</v>
          </cell>
          <cell r="CD174">
            <v>-57.76</v>
          </cell>
          <cell r="CE174">
            <v>0.02</v>
          </cell>
          <cell r="CF174">
            <v>210.7</v>
          </cell>
          <cell r="CG174">
            <v>0</v>
          </cell>
          <cell r="CH174">
            <v>0</v>
          </cell>
          <cell r="CI174">
            <v>4.8000000000000001E-2</v>
          </cell>
          <cell r="CJ174">
            <v>452.84</v>
          </cell>
          <cell r="CK174">
            <v>5.5E-2</v>
          </cell>
          <cell r="CL174">
            <v>516.48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5.2999999999999999E-2</v>
          </cell>
          <cell r="CV174">
            <v>489.58</v>
          </cell>
          <cell r="CW174">
            <v>0</v>
          </cell>
          <cell r="CX174">
            <v>0</v>
          </cell>
          <cell r="CY174">
            <v>1.2E-2</v>
          </cell>
          <cell r="CZ174">
            <v>112.8</v>
          </cell>
          <cell r="DA174">
            <v>0</v>
          </cell>
          <cell r="DB174">
            <v>0</v>
          </cell>
          <cell r="DC174">
            <v>-1E-3</v>
          </cell>
          <cell r="DD174">
            <v>-59.78</v>
          </cell>
          <cell r="DE174">
            <v>1.0999999999999999E-2</v>
          </cell>
          <cell r="DF174">
            <v>53.019999999999996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3.0000000000000001E-3</v>
          </cell>
          <cell r="DL174">
            <v>28.2</v>
          </cell>
          <cell r="DM174">
            <v>3.0000000000000001E-3</v>
          </cell>
          <cell r="DN174">
            <v>28.2</v>
          </cell>
          <cell r="DO174">
            <v>0.02</v>
          </cell>
          <cell r="DP174">
            <v>179.38</v>
          </cell>
          <cell r="DQ174">
            <v>1.4999999999999999E-2</v>
          </cell>
          <cell r="DR174">
            <v>141</v>
          </cell>
          <cell r="DS174">
            <v>1.7999999999999999E-2</v>
          </cell>
          <cell r="DT174">
            <v>169.2</v>
          </cell>
          <cell r="DU174">
            <v>5.2999999999999999E-2</v>
          </cell>
          <cell r="DV174">
            <v>489.58</v>
          </cell>
          <cell r="DW174">
            <v>0.10100000000000001</v>
          </cell>
          <cell r="DX174">
            <v>856.39</v>
          </cell>
          <cell r="DY174" t="str">
            <v/>
          </cell>
          <cell r="DZ174">
            <v>0</v>
          </cell>
          <cell r="EA174">
            <v>8479.1089108910892</v>
          </cell>
        </row>
        <row r="175">
          <cell r="B175">
            <v>129335</v>
          </cell>
          <cell r="C175" t="str">
            <v>CVENI SUPRA QARGIDALI_2L*6</v>
          </cell>
          <cell r="D175" t="str">
            <v>TON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O175">
            <v>0</v>
          </cell>
          <cell r="AP175">
            <v>0</v>
          </cell>
          <cell r="AS175">
            <v>0</v>
          </cell>
          <cell r="AT175">
            <v>0</v>
          </cell>
          <cell r="AU175">
            <v>0.02</v>
          </cell>
          <cell r="AV175">
            <v>210.03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2E-3</v>
          </cell>
          <cell r="BH175">
            <v>17.5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6.0000000000000001E-3</v>
          </cell>
          <cell r="BN175">
            <v>50.93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8.0000000000000002E-3</v>
          </cell>
          <cell r="BT175">
            <v>68.430000000000007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8.0000000000000002E-3</v>
          </cell>
          <cell r="CL175">
            <v>68.430000000000007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1.2E-2</v>
          </cell>
          <cell r="CZ175">
            <v>141.6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1.2E-2</v>
          </cell>
          <cell r="DF175">
            <v>141.6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0.02</v>
          </cell>
          <cell r="DX175">
            <v>210.03</v>
          </cell>
          <cell r="DY175" t="str">
            <v/>
          </cell>
          <cell r="DZ175">
            <v>0</v>
          </cell>
          <cell r="EA175">
            <v>10501.5</v>
          </cell>
        </row>
        <row r="176">
          <cell r="B176">
            <v>129336</v>
          </cell>
          <cell r="C176" t="str">
            <v>CVENI SUPRA QARGIDALI_5L*4</v>
          </cell>
          <cell r="D176" t="str">
            <v>TON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O176">
            <v>0</v>
          </cell>
          <cell r="AP176">
            <v>0</v>
          </cell>
          <cell r="AS176">
            <v>0</v>
          </cell>
          <cell r="AT176">
            <v>0</v>
          </cell>
          <cell r="AU176">
            <v>0.01</v>
          </cell>
          <cell r="AV176">
            <v>166.42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0.01</v>
          </cell>
          <cell r="CB176">
            <v>94.5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0.01</v>
          </cell>
          <cell r="CJ176">
            <v>94.5</v>
          </cell>
          <cell r="CK176">
            <v>0.01</v>
          </cell>
          <cell r="CL176">
            <v>94.5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71.92</v>
          </cell>
          <cell r="DE176">
            <v>0</v>
          </cell>
          <cell r="DF176">
            <v>71.92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0.01</v>
          </cell>
          <cell r="DX176">
            <v>166.42000000000002</v>
          </cell>
          <cell r="DY176" t="str">
            <v/>
          </cell>
          <cell r="DZ176">
            <v>0</v>
          </cell>
          <cell r="EA176">
            <v>16642</v>
          </cell>
        </row>
        <row r="177">
          <cell r="B177">
            <v>274173</v>
          </cell>
          <cell r="C177" t="str">
            <v>სიმ.ზეთი–ჩვ.სუფრა–2ლ_11ც+1ც</v>
          </cell>
          <cell r="D177" t="str">
            <v>TON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2.4E-2</v>
          </cell>
          <cell r="T177">
            <v>186.73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2.4E-2</v>
          </cell>
          <cell r="Z177">
            <v>186.73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O177">
            <v>0</v>
          </cell>
          <cell r="AP177">
            <v>0</v>
          </cell>
          <cell r="AS177">
            <v>0</v>
          </cell>
          <cell r="AT177">
            <v>0</v>
          </cell>
          <cell r="AU177">
            <v>2.4E-2</v>
          </cell>
          <cell r="AV177">
            <v>186.73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2.4E-2</v>
          </cell>
          <cell r="DX177">
            <v>186.73</v>
          </cell>
          <cell r="DY177" t="str">
            <v/>
          </cell>
          <cell r="DZ177">
            <v>0</v>
          </cell>
          <cell r="EA177">
            <v>7780.4166666666661</v>
          </cell>
        </row>
        <row r="178">
          <cell r="B178">
            <v>0</v>
          </cell>
          <cell r="C178" t="str">
            <v>FINAL MISIROZU TOPLAMI</v>
          </cell>
          <cell r="D178" t="str">
            <v>TON</v>
          </cell>
          <cell r="E178">
            <v>0.14400000000000002</v>
          </cell>
          <cell r="F178">
            <v>1222.8499999999999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O178">
            <v>0.14400000000000002</v>
          </cell>
          <cell r="P178">
            <v>1222.8499999999999</v>
          </cell>
          <cell r="Q178">
            <v>1.2E-2</v>
          </cell>
          <cell r="R178">
            <v>104.57</v>
          </cell>
          <cell r="S178">
            <v>0.252</v>
          </cell>
          <cell r="T178">
            <v>2098.2999999999997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0.26400000000000001</v>
          </cell>
          <cell r="Z178">
            <v>2202.87</v>
          </cell>
          <cell r="AA178">
            <v>0</v>
          </cell>
          <cell r="AB178">
            <v>0</v>
          </cell>
          <cell r="AC178">
            <v>1.0000000000000009E-3</v>
          </cell>
          <cell r="AD178">
            <v>9.9000000000000057</v>
          </cell>
          <cell r="AE178">
            <v>0</v>
          </cell>
          <cell r="AF178">
            <v>0</v>
          </cell>
          <cell r="AG178">
            <v>2E-3</v>
          </cell>
          <cell r="AH178">
            <v>22.75</v>
          </cell>
          <cell r="AI178">
            <v>-5.0000000000000001E-3</v>
          </cell>
          <cell r="AJ178">
            <v>-47</v>
          </cell>
          <cell r="AK178">
            <v>-8.9999999999999993E-3</v>
          </cell>
          <cell r="AL178">
            <v>-122.04</v>
          </cell>
          <cell r="AO178">
            <v>-1.0999999999999999E-2</v>
          </cell>
          <cell r="AP178">
            <v>-136.38999999999999</v>
          </cell>
          <cell r="AS178">
            <v>0</v>
          </cell>
          <cell r="AT178">
            <v>0</v>
          </cell>
          <cell r="AU178">
            <v>1.1609999999999998</v>
          </cell>
          <cell r="AV178">
            <v>10140.84</v>
          </cell>
          <cell r="AW178">
            <v>0</v>
          </cell>
          <cell r="AX178">
            <v>0</v>
          </cell>
          <cell r="AY178">
            <v>2.4E-2</v>
          </cell>
          <cell r="AZ178">
            <v>227.9</v>
          </cell>
          <cell r="BA178">
            <v>0</v>
          </cell>
          <cell r="BB178">
            <v>0</v>
          </cell>
          <cell r="BC178">
            <v>0.25800000000000001</v>
          </cell>
          <cell r="BD178">
            <v>2242.4499999999998</v>
          </cell>
          <cell r="BE178">
            <v>0.28200000000000003</v>
          </cell>
          <cell r="BF178">
            <v>2470.35</v>
          </cell>
          <cell r="BG178">
            <v>2E-3</v>
          </cell>
          <cell r="BH178">
            <v>17.5</v>
          </cell>
          <cell r="BI178">
            <v>3.0000000000000001E-3</v>
          </cell>
          <cell r="BJ178">
            <v>26.04</v>
          </cell>
          <cell r="BK178">
            <v>0</v>
          </cell>
          <cell r="BL178">
            <v>0</v>
          </cell>
          <cell r="BM178">
            <v>6.0000000000000001E-3</v>
          </cell>
          <cell r="BN178">
            <v>50.93</v>
          </cell>
          <cell r="BO178">
            <v>4.0000000000000001E-3</v>
          </cell>
          <cell r="BP178">
            <v>37.6</v>
          </cell>
          <cell r="BQ178">
            <v>0</v>
          </cell>
          <cell r="BR178">
            <v>0</v>
          </cell>
          <cell r="BS178">
            <v>1.4999999999999999E-2</v>
          </cell>
          <cell r="BT178">
            <v>132.07</v>
          </cell>
          <cell r="BU178">
            <v>2E-3</v>
          </cell>
          <cell r="BV178">
            <v>17.899999999999999</v>
          </cell>
          <cell r="BW178">
            <v>0</v>
          </cell>
          <cell r="BX178">
            <v>0</v>
          </cell>
          <cell r="BY178">
            <v>0.02</v>
          </cell>
          <cell r="BZ178">
            <v>192.16</v>
          </cell>
          <cell r="CA178">
            <v>4.4000000000000004E-2</v>
          </cell>
          <cell r="CB178">
            <v>422.41999999999996</v>
          </cell>
          <cell r="CC178">
            <v>-1.4E-2</v>
          </cell>
          <cell r="CD178">
            <v>-175.16</v>
          </cell>
          <cell r="CE178">
            <v>3.6000000000000004E-2</v>
          </cell>
          <cell r="CF178">
            <v>352.08</v>
          </cell>
          <cell r="CG178">
            <v>0</v>
          </cell>
          <cell r="CH178">
            <v>0</v>
          </cell>
          <cell r="CI178">
            <v>8.7999999999999995E-2</v>
          </cell>
          <cell r="CJ178">
            <v>809.4</v>
          </cell>
          <cell r="CK178">
            <v>0.10299999999999999</v>
          </cell>
          <cell r="CL178">
            <v>941.47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0.33500000000000002</v>
          </cell>
          <cell r="CV178">
            <v>2935.63</v>
          </cell>
          <cell r="CW178">
            <v>0</v>
          </cell>
          <cell r="CX178">
            <v>0</v>
          </cell>
          <cell r="CY178">
            <v>3.6000000000000004E-2</v>
          </cell>
          <cell r="CZ178">
            <v>396.6</v>
          </cell>
          <cell r="DA178">
            <v>0</v>
          </cell>
          <cell r="DB178">
            <v>0</v>
          </cell>
          <cell r="DC178">
            <v>5.0000000000000001E-3</v>
          </cell>
          <cell r="DD178">
            <v>79.260000000000005</v>
          </cell>
          <cell r="DE178">
            <v>4.1000000000000002E-2</v>
          </cell>
          <cell r="DF178">
            <v>475.85999999999996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3.0000000000000001E-3</v>
          </cell>
          <cell r="DL178">
            <v>28.2</v>
          </cell>
          <cell r="DM178">
            <v>3.0000000000000001E-3</v>
          </cell>
          <cell r="DN178">
            <v>28.2</v>
          </cell>
          <cell r="DO178">
            <v>0.02</v>
          </cell>
          <cell r="DP178">
            <v>179.38</v>
          </cell>
          <cell r="DQ178">
            <v>4.4999999999999998E-2</v>
          </cell>
          <cell r="DR178">
            <v>400.25</v>
          </cell>
          <cell r="DS178">
            <v>0.27</v>
          </cell>
          <cell r="DT178">
            <v>2356</v>
          </cell>
          <cell r="DU178">
            <v>0.33500000000000002</v>
          </cell>
          <cell r="DV178">
            <v>2935.63</v>
          </cell>
          <cell r="DW178">
            <v>1.1609999999999998</v>
          </cell>
          <cell r="DX178">
            <v>10140.84</v>
          </cell>
          <cell r="DY178" t="str">
            <v/>
          </cell>
          <cell r="DZ178">
            <v>0</v>
          </cell>
          <cell r="EA178">
            <v>8734.5736434108549</v>
          </cell>
        </row>
        <row r="179">
          <cell r="B179">
            <v>16071</v>
          </cell>
          <cell r="C179" t="str">
            <v>ZOLOTOE SOLNISKO MISIROZU 1*12</v>
          </cell>
          <cell r="D179" t="str">
            <v>TON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O179">
            <v>0</v>
          </cell>
          <cell r="AP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 t="str">
            <v/>
          </cell>
          <cell r="DZ179" t="str">
            <v>pasiv</v>
          </cell>
          <cell r="EA179" t="e">
            <v>#DIV/0!</v>
          </cell>
        </row>
        <row r="180">
          <cell r="B180">
            <v>158028</v>
          </cell>
          <cell r="C180" t="str">
            <v>Z.SOLNISKO QARG.YAGI_2L*6</v>
          </cell>
          <cell r="D180" t="str">
            <v>TON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O180">
            <v>0</v>
          </cell>
          <cell r="AP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 t="str">
            <v/>
          </cell>
          <cell r="DZ180" t="str">
            <v>pasiv</v>
          </cell>
          <cell r="EA180" t="e">
            <v>#DIV/0!</v>
          </cell>
        </row>
        <row r="181">
          <cell r="B181">
            <v>0</v>
          </cell>
          <cell r="C181" t="str">
            <v>ZOL.SOLNISKO MISIROZU TOPLAMI</v>
          </cell>
          <cell r="D181" t="str">
            <v>TON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O181">
            <v>0</v>
          </cell>
          <cell r="AP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 t="str">
            <v/>
          </cell>
          <cell r="DZ181" t="str">
            <v>pasiv</v>
          </cell>
          <cell r="EA181" t="e">
            <v>#DIV/0!</v>
          </cell>
        </row>
        <row r="182">
          <cell r="B182">
            <v>16371</v>
          </cell>
          <cell r="C182" t="str">
            <v>MOCUZE KERE ETIRLI MISIROZU_1 LT*12</v>
          </cell>
          <cell r="D182" t="str">
            <v>TON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0.01</v>
          </cell>
          <cell r="AD182">
            <v>98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O182">
            <v>0.01</v>
          </cell>
          <cell r="AP182">
            <v>98</v>
          </cell>
          <cell r="AS182">
            <v>0</v>
          </cell>
          <cell r="AT182">
            <v>0</v>
          </cell>
          <cell r="AU182">
            <v>0.17399999999999999</v>
          </cell>
          <cell r="AV182">
            <v>1898.73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1.7999999999999999E-2</v>
          </cell>
          <cell r="BD182">
            <v>175.81</v>
          </cell>
          <cell r="BE182">
            <v>1.7999999999999999E-2</v>
          </cell>
          <cell r="BF182">
            <v>175.81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2E-3</v>
          </cell>
          <cell r="BZ182">
            <v>20.58</v>
          </cell>
          <cell r="CA182">
            <v>1.2E-2</v>
          </cell>
          <cell r="CB182">
            <v>123.48</v>
          </cell>
          <cell r="CC182">
            <v>0</v>
          </cell>
          <cell r="CD182">
            <v>0</v>
          </cell>
          <cell r="CE182">
            <v>2.4E-2</v>
          </cell>
          <cell r="CF182">
            <v>280.08</v>
          </cell>
          <cell r="CG182">
            <v>0</v>
          </cell>
          <cell r="CH182">
            <v>0</v>
          </cell>
          <cell r="CI182">
            <v>3.7999999999999999E-2</v>
          </cell>
          <cell r="CJ182">
            <v>424.14</v>
          </cell>
          <cell r="CK182">
            <v>3.7999999999999999E-2</v>
          </cell>
          <cell r="CL182">
            <v>424.14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1.2E-2</v>
          </cell>
          <cell r="CV182">
            <v>123.48</v>
          </cell>
          <cell r="CW182">
            <v>0</v>
          </cell>
          <cell r="CX182">
            <v>0</v>
          </cell>
          <cell r="CY182">
            <v>8.4000000000000005E-2</v>
          </cell>
          <cell r="CZ182">
            <v>947.88</v>
          </cell>
          <cell r="DA182">
            <v>0</v>
          </cell>
          <cell r="DB182">
            <v>0</v>
          </cell>
          <cell r="DC182">
            <v>1.2E-2</v>
          </cell>
          <cell r="DD182">
            <v>129.41999999999999</v>
          </cell>
          <cell r="DE182">
            <v>9.6000000000000002E-2</v>
          </cell>
          <cell r="DF182">
            <v>1077.3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2E-3</v>
          </cell>
          <cell r="DP182">
            <v>20.58</v>
          </cell>
          <cell r="DQ182">
            <v>0</v>
          </cell>
          <cell r="DR182">
            <v>0</v>
          </cell>
          <cell r="DS182">
            <v>0.01</v>
          </cell>
          <cell r="DT182">
            <v>102.9</v>
          </cell>
          <cell r="DU182">
            <v>1.2E-2</v>
          </cell>
          <cell r="DV182">
            <v>123.48</v>
          </cell>
          <cell r="DW182">
            <v>0.17399999999999999</v>
          </cell>
          <cell r="DX182">
            <v>1898.73</v>
          </cell>
          <cell r="DY182" t="str">
            <v/>
          </cell>
          <cell r="DZ182">
            <v>0</v>
          </cell>
          <cell r="EA182">
            <v>10912.241379310346</v>
          </cell>
        </row>
        <row r="183">
          <cell r="B183">
            <v>16373</v>
          </cell>
          <cell r="C183" t="str">
            <v>MOCUZE KERE ETIRLI MISIROZU_2 LT*6</v>
          </cell>
          <cell r="D183" t="str">
            <v>TON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O183">
            <v>0</v>
          </cell>
          <cell r="AP183">
            <v>0</v>
          </cell>
          <cell r="AS183">
            <v>0</v>
          </cell>
          <cell r="AT183">
            <v>0</v>
          </cell>
          <cell r="AU183">
            <v>8.2000000000000003E-2</v>
          </cell>
          <cell r="AV183">
            <v>840.2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2.4E-2</v>
          </cell>
          <cell r="BN183">
            <v>246.36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2.4E-2</v>
          </cell>
          <cell r="BT183">
            <v>246.36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2.4E-2</v>
          </cell>
          <cell r="CF183">
            <v>246.36</v>
          </cell>
          <cell r="CG183">
            <v>0</v>
          </cell>
          <cell r="CH183">
            <v>0</v>
          </cell>
          <cell r="CI183">
            <v>2.4E-2</v>
          </cell>
          <cell r="CJ183">
            <v>246.36</v>
          </cell>
          <cell r="CK183">
            <v>4.8000000000000001E-2</v>
          </cell>
          <cell r="CL183">
            <v>492.72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1.2E-2</v>
          </cell>
          <cell r="CV183">
            <v>123.18</v>
          </cell>
          <cell r="CW183">
            <v>0</v>
          </cell>
          <cell r="CX183">
            <v>0</v>
          </cell>
          <cell r="CY183">
            <v>0.01</v>
          </cell>
          <cell r="CZ183">
            <v>101.12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0.01</v>
          </cell>
          <cell r="DF183">
            <v>101.12</v>
          </cell>
          <cell r="DG183">
            <v>1.2E-2</v>
          </cell>
          <cell r="DH183">
            <v>123.18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1.2E-2</v>
          </cell>
          <cell r="DN183">
            <v>123.18</v>
          </cell>
          <cell r="DO183">
            <v>0</v>
          </cell>
          <cell r="DP183">
            <v>0</v>
          </cell>
          <cell r="DQ183">
            <v>1.2E-2</v>
          </cell>
          <cell r="DR183">
            <v>123.18</v>
          </cell>
          <cell r="DS183">
            <v>0</v>
          </cell>
          <cell r="DT183">
            <v>0</v>
          </cell>
          <cell r="DU183">
            <v>1.2E-2</v>
          </cell>
          <cell r="DV183">
            <v>123.18</v>
          </cell>
          <cell r="DW183">
            <v>8.2000000000000003E-2</v>
          </cell>
          <cell r="DX183">
            <v>840.2</v>
          </cell>
          <cell r="DY183" t="str">
            <v/>
          </cell>
          <cell r="DZ183">
            <v>0</v>
          </cell>
          <cell r="EA183">
            <v>10246.341463414634</v>
          </cell>
        </row>
        <row r="184">
          <cell r="B184">
            <v>75947</v>
          </cell>
          <cell r="C184" t="str">
            <v>MOCUZE KERE LEZZETLI QARGIDALI_5 LT*4</v>
          </cell>
          <cell r="D184" t="str">
            <v>TON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O184">
            <v>0</v>
          </cell>
          <cell r="AP184">
            <v>0</v>
          </cell>
          <cell r="AS184">
            <v>0</v>
          </cell>
          <cell r="AT184">
            <v>0</v>
          </cell>
          <cell r="AU184">
            <v>7.4999999999999997E-2</v>
          </cell>
          <cell r="AV184">
            <v>789</v>
          </cell>
          <cell r="AW184">
            <v>0</v>
          </cell>
          <cell r="AX184">
            <v>0</v>
          </cell>
          <cell r="AY184">
            <v>-5.0000000000000001E-3</v>
          </cell>
          <cell r="AZ184">
            <v>-51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-5.0000000000000001E-3</v>
          </cell>
          <cell r="BF184">
            <v>-51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0.04</v>
          </cell>
          <cell r="CB184">
            <v>420</v>
          </cell>
          <cell r="CC184">
            <v>0</v>
          </cell>
          <cell r="CD184">
            <v>0</v>
          </cell>
          <cell r="CE184">
            <v>0.02</v>
          </cell>
          <cell r="CF184">
            <v>210</v>
          </cell>
          <cell r="CG184">
            <v>0</v>
          </cell>
          <cell r="CH184">
            <v>0</v>
          </cell>
          <cell r="CI184">
            <v>0.06</v>
          </cell>
          <cell r="CJ184">
            <v>630</v>
          </cell>
          <cell r="CK184">
            <v>0.06</v>
          </cell>
          <cell r="CL184">
            <v>630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0.02</v>
          </cell>
          <cell r="DH184">
            <v>210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0.02</v>
          </cell>
          <cell r="DN184">
            <v>210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7.4999999999999997E-2</v>
          </cell>
          <cell r="DX184">
            <v>789</v>
          </cell>
          <cell r="DY184" t="str">
            <v/>
          </cell>
          <cell r="DZ184">
            <v>0</v>
          </cell>
          <cell r="EA184">
            <v>10520</v>
          </cell>
        </row>
        <row r="185">
          <cell r="C185" t="str">
            <v>MOCUZE  MISIROZU</v>
          </cell>
          <cell r="D185" t="str">
            <v>TON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0.01</v>
          </cell>
          <cell r="AD185">
            <v>98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O185">
            <v>0.01</v>
          </cell>
          <cell r="AP185">
            <v>98</v>
          </cell>
          <cell r="AS185">
            <v>0</v>
          </cell>
          <cell r="AT185">
            <v>0</v>
          </cell>
          <cell r="AU185">
            <v>0.33100000000000002</v>
          </cell>
          <cell r="AV185">
            <v>3527.9300000000003</v>
          </cell>
          <cell r="AW185">
            <v>0</v>
          </cell>
          <cell r="AX185">
            <v>0</v>
          </cell>
          <cell r="AY185">
            <v>-5.0000000000000001E-3</v>
          </cell>
          <cell r="AZ185">
            <v>-51</v>
          </cell>
          <cell r="BA185">
            <v>0</v>
          </cell>
          <cell r="BB185">
            <v>0</v>
          </cell>
          <cell r="BC185">
            <v>1.7999999999999999E-2</v>
          </cell>
          <cell r="BD185">
            <v>175.81</v>
          </cell>
          <cell r="BE185">
            <v>1.2999999999999998E-2</v>
          </cell>
          <cell r="BF185">
            <v>124.81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2.4E-2</v>
          </cell>
          <cell r="BN185">
            <v>246.36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2.4E-2</v>
          </cell>
          <cell r="BT185">
            <v>246.36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2E-3</v>
          </cell>
          <cell r="BZ185">
            <v>20.58</v>
          </cell>
          <cell r="CA185">
            <v>5.2000000000000005E-2</v>
          </cell>
          <cell r="CB185">
            <v>543.48</v>
          </cell>
          <cell r="CC185">
            <v>0</v>
          </cell>
          <cell r="CD185">
            <v>0</v>
          </cell>
          <cell r="CE185">
            <v>6.8000000000000005E-2</v>
          </cell>
          <cell r="CF185">
            <v>736.44</v>
          </cell>
          <cell r="CG185">
            <v>0</v>
          </cell>
          <cell r="CH185">
            <v>0</v>
          </cell>
          <cell r="CI185">
            <v>0.122</v>
          </cell>
          <cell r="CJ185">
            <v>1300.5</v>
          </cell>
          <cell r="CK185">
            <v>0.14599999999999999</v>
          </cell>
          <cell r="CL185">
            <v>1546.8600000000001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2.4E-2</v>
          </cell>
          <cell r="CV185">
            <v>246.66000000000003</v>
          </cell>
          <cell r="CW185">
            <v>0</v>
          </cell>
          <cell r="CX185">
            <v>0</v>
          </cell>
          <cell r="CY185">
            <v>9.4E-2</v>
          </cell>
          <cell r="CZ185">
            <v>1049</v>
          </cell>
          <cell r="DA185">
            <v>0</v>
          </cell>
          <cell r="DB185">
            <v>0</v>
          </cell>
          <cell r="DC185">
            <v>1.2E-2</v>
          </cell>
          <cell r="DD185">
            <v>129.41999999999999</v>
          </cell>
          <cell r="DE185">
            <v>0.106</v>
          </cell>
          <cell r="DF185">
            <v>1178.42</v>
          </cell>
          <cell r="DG185">
            <v>3.2000000000000001E-2</v>
          </cell>
          <cell r="DH185">
            <v>333.18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3.2000000000000001E-2</v>
          </cell>
          <cell r="DN185">
            <v>333.18</v>
          </cell>
          <cell r="DO185">
            <v>2E-3</v>
          </cell>
          <cell r="DP185">
            <v>20.58</v>
          </cell>
          <cell r="DQ185">
            <v>1.2E-2</v>
          </cell>
          <cell r="DR185">
            <v>123.18</v>
          </cell>
          <cell r="DS185">
            <v>0.01</v>
          </cell>
          <cell r="DT185">
            <v>102.9</v>
          </cell>
          <cell r="DU185">
            <v>2.4E-2</v>
          </cell>
          <cell r="DV185">
            <v>246.66000000000003</v>
          </cell>
          <cell r="DW185">
            <v>0.33100000000000002</v>
          </cell>
          <cell r="DX185">
            <v>3527.9300000000003</v>
          </cell>
          <cell r="DY185" t="str">
            <v/>
          </cell>
          <cell r="DZ185">
            <v>0</v>
          </cell>
          <cell r="EA185">
            <v>10658.398791540785</v>
          </cell>
        </row>
        <row r="186">
          <cell r="A186">
            <v>5</v>
          </cell>
          <cell r="B186">
            <v>0</v>
          </cell>
          <cell r="C186" t="str">
            <v>MISIROZU YAGI</v>
          </cell>
          <cell r="D186" t="str">
            <v>TON</v>
          </cell>
          <cell r="E186">
            <v>0.14400000000000002</v>
          </cell>
          <cell r="F186">
            <v>1222.8499999999999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O186">
            <v>0.14400000000000002</v>
          </cell>
          <cell r="P186">
            <v>1222.8499999999999</v>
          </cell>
          <cell r="Q186">
            <v>1.2E-2</v>
          </cell>
          <cell r="R186">
            <v>104.57</v>
          </cell>
          <cell r="S186">
            <v>0.252</v>
          </cell>
          <cell r="T186">
            <v>2098.2999999999997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0.26400000000000001</v>
          </cell>
          <cell r="Z186">
            <v>2202.87</v>
          </cell>
          <cell r="AA186">
            <v>0</v>
          </cell>
          <cell r="AB186">
            <v>0</v>
          </cell>
          <cell r="AC186">
            <v>1.1000000000000001E-2</v>
          </cell>
          <cell r="AD186">
            <v>107.9</v>
          </cell>
          <cell r="AE186">
            <v>0</v>
          </cell>
          <cell r="AF186">
            <v>0</v>
          </cell>
          <cell r="AG186">
            <v>2E-3</v>
          </cell>
          <cell r="AH186">
            <v>22.75</v>
          </cell>
          <cell r="AI186">
            <v>-5.0000000000000001E-3</v>
          </cell>
          <cell r="AJ186">
            <v>-47</v>
          </cell>
          <cell r="AK186">
            <v>-8.9999999999999993E-3</v>
          </cell>
          <cell r="AL186">
            <v>-122.04</v>
          </cell>
          <cell r="AO186">
            <v>-9.9999999999999915E-4</v>
          </cell>
          <cell r="AP186">
            <v>-38.39</v>
          </cell>
          <cell r="AS186">
            <v>0</v>
          </cell>
          <cell r="AT186">
            <v>0</v>
          </cell>
          <cell r="AU186">
            <v>1.4919999999999998</v>
          </cell>
          <cell r="AV186">
            <v>13668.77</v>
          </cell>
          <cell r="AW186">
            <v>0</v>
          </cell>
          <cell r="AX186">
            <v>0</v>
          </cell>
          <cell r="AY186">
            <v>1.9E-2</v>
          </cell>
          <cell r="AZ186">
            <v>176.9</v>
          </cell>
          <cell r="BA186">
            <v>0</v>
          </cell>
          <cell r="BB186">
            <v>0</v>
          </cell>
          <cell r="BC186">
            <v>0.27600000000000002</v>
          </cell>
          <cell r="BD186">
            <v>2418.2599999999998</v>
          </cell>
          <cell r="BE186">
            <v>0.29500000000000004</v>
          </cell>
          <cell r="BF186">
            <v>2595.16</v>
          </cell>
          <cell r="BG186">
            <v>2E-3</v>
          </cell>
          <cell r="BH186">
            <v>17.5</v>
          </cell>
          <cell r="BI186">
            <v>3.0000000000000001E-3</v>
          </cell>
          <cell r="BJ186">
            <v>26.04</v>
          </cell>
          <cell r="BK186">
            <v>0</v>
          </cell>
          <cell r="BL186">
            <v>0</v>
          </cell>
          <cell r="BM186">
            <v>0.03</v>
          </cell>
          <cell r="BN186">
            <v>297.29000000000002</v>
          </cell>
          <cell r="BO186">
            <v>4.0000000000000001E-3</v>
          </cell>
          <cell r="BP186">
            <v>37.6</v>
          </cell>
          <cell r="BQ186">
            <v>0</v>
          </cell>
          <cell r="BR186">
            <v>0</v>
          </cell>
          <cell r="BS186">
            <v>3.9E-2</v>
          </cell>
          <cell r="BT186">
            <v>378.43</v>
          </cell>
          <cell r="BU186">
            <v>2E-3</v>
          </cell>
          <cell r="BV186">
            <v>17.899999999999999</v>
          </cell>
          <cell r="BW186">
            <v>0</v>
          </cell>
          <cell r="BX186">
            <v>0</v>
          </cell>
          <cell r="BY186">
            <v>2.1999999999999999E-2</v>
          </cell>
          <cell r="BZ186">
            <v>212.74</v>
          </cell>
          <cell r="CA186">
            <v>9.6000000000000002E-2</v>
          </cell>
          <cell r="CB186">
            <v>965.9</v>
          </cell>
          <cell r="CC186">
            <v>-1.4E-2</v>
          </cell>
          <cell r="CD186">
            <v>-175.16</v>
          </cell>
          <cell r="CE186">
            <v>0.10400000000000001</v>
          </cell>
          <cell r="CF186">
            <v>1088.52</v>
          </cell>
          <cell r="CG186">
            <v>0</v>
          </cell>
          <cell r="CH186">
            <v>0</v>
          </cell>
          <cell r="CI186">
            <v>0.21</v>
          </cell>
          <cell r="CJ186">
            <v>2109.9</v>
          </cell>
          <cell r="CK186">
            <v>0.249</v>
          </cell>
          <cell r="CL186">
            <v>2488.33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0.35900000000000004</v>
          </cell>
          <cell r="CV186">
            <v>3182.29</v>
          </cell>
          <cell r="CW186">
            <v>0</v>
          </cell>
          <cell r="CX186">
            <v>0</v>
          </cell>
          <cell r="CY186">
            <v>0.13</v>
          </cell>
          <cell r="CZ186">
            <v>1445.6</v>
          </cell>
          <cell r="DA186">
            <v>0</v>
          </cell>
          <cell r="DB186">
            <v>0</v>
          </cell>
          <cell r="DC186">
            <v>1.7000000000000001E-2</v>
          </cell>
          <cell r="DD186">
            <v>208.68</v>
          </cell>
          <cell r="DE186">
            <v>0.14699999999999999</v>
          </cell>
          <cell r="DF186">
            <v>1654.28</v>
          </cell>
          <cell r="DG186">
            <v>3.2000000000000001E-2</v>
          </cell>
          <cell r="DH186">
            <v>333.18</v>
          </cell>
          <cell r="DI186">
            <v>0</v>
          </cell>
          <cell r="DJ186">
            <v>0</v>
          </cell>
          <cell r="DK186">
            <v>3.0000000000000001E-3</v>
          </cell>
          <cell r="DL186">
            <v>28.2</v>
          </cell>
          <cell r="DM186">
            <v>3.5000000000000003E-2</v>
          </cell>
          <cell r="DN186">
            <v>361.38</v>
          </cell>
          <cell r="DO186">
            <v>2.1999999999999999E-2</v>
          </cell>
          <cell r="DP186">
            <v>199.95999999999998</v>
          </cell>
          <cell r="DQ186">
            <v>5.6999999999999995E-2</v>
          </cell>
          <cell r="DR186">
            <v>523.43000000000006</v>
          </cell>
          <cell r="DS186">
            <v>0.28000000000000003</v>
          </cell>
          <cell r="DT186">
            <v>2458.9</v>
          </cell>
          <cell r="DU186">
            <v>0.35900000000000004</v>
          </cell>
          <cell r="DV186">
            <v>3182.29</v>
          </cell>
          <cell r="DW186">
            <v>1.4919999999999998</v>
          </cell>
          <cell r="DX186">
            <v>13668.77</v>
          </cell>
          <cell r="DY186" t="str">
            <v>Hedef</v>
          </cell>
          <cell r="DZ186">
            <v>0</v>
          </cell>
          <cell r="EA186">
            <v>9161.373994638072</v>
          </cell>
        </row>
        <row r="187">
          <cell r="B187">
            <v>16396</v>
          </cell>
          <cell r="C187" t="str">
            <v>ZEYTIN BAGLARI ZEYTIN_0.25 LT*24_CAM SISE</v>
          </cell>
          <cell r="D187" t="str">
            <v>TON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O187">
            <v>0</v>
          </cell>
          <cell r="AP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 t="str">
            <v/>
          </cell>
          <cell r="DZ187" t="str">
            <v>pasiv</v>
          </cell>
          <cell r="EA187" t="e">
            <v>#DIV/0!</v>
          </cell>
        </row>
        <row r="188">
          <cell r="B188">
            <v>238925</v>
          </cell>
          <cell r="C188" t="str">
            <v>ზეით.ზ.ზეითუნა–რივიერა-0.25ლ*24-შუშა</v>
          </cell>
          <cell r="D188" t="str">
            <v>TON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O188">
            <v>0</v>
          </cell>
          <cell r="AP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 t="str">
            <v/>
          </cell>
          <cell r="DZ188" t="str">
            <v>pasiv</v>
          </cell>
          <cell r="EA188" t="e">
            <v>#DIV/0!</v>
          </cell>
        </row>
        <row r="189">
          <cell r="B189">
            <v>263579</v>
          </cell>
          <cell r="C189" t="str">
            <v>ზეით.ზ.ბაგლარი–0.75*12–შუშის ბოთლით</v>
          </cell>
          <cell r="D189" t="str">
            <v>TON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O189">
            <v>0</v>
          </cell>
          <cell r="AP189">
            <v>0</v>
          </cell>
          <cell r="AS189">
            <v>0</v>
          </cell>
          <cell r="AT189">
            <v>0</v>
          </cell>
          <cell r="AU189">
            <v>4.4999999999999997E-3</v>
          </cell>
          <cell r="AV189">
            <v>115.2</v>
          </cell>
          <cell r="AW189">
            <v>0</v>
          </cell>
          <cell r="AX189">
            <v>0</v>
          </cell>
          <cell r="AY189">
            <v>4.4999999999999997E-3</v>
          </cell>
          <cell r="AZ189">
            <v>115.2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4.4999999999999997E-3</v>
          </cell>
          <cell r="BF189">
            <v>115.2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4.4999999999999997E-3</v>
          </cell>
          <cell r="DX189">
            <v>115.2</v>
          </cell>
          <cell r="DY189" t="str">
            <v/>
          </cell>
          <cell r="DZ189">
            <v>0</v>
          </cell>
          <cell r="EA189">
            <v>25600.000000000004</v>
          </cell>
        </row>
        <row r="190">
          <cell r="B190">
            <v>131803</v>
          </cell>
          <cell r="C190" t="str">
            <v>ზეით.ზ.ფინალი–5ლ*4 თუნუქ</v>
          </cell>
          <cell r="D190" t="str">
            <v>TON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O190">
            <v>0</v>
          </cell>
          <cell r="AP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 t="str">
            <v/>
          </cell>
          <cell r="DZ190" t="str">
            <v>pasiv</v>
          </cell>
          <cell r="EA190" t="e">
            <v>#DIV/0!</v>
          </cell>
        </row>
        <row r="191">
          <cell r="A191">
            <v>1</v>
          </cell>
          <cell r="B191">
            <v>314068</v>
          </cell>
          <cell r="C191" t="str">
            <v>ზეით.ზ.ზეითუნა პომას–0.25ლ*24–შუშა</v>
          </cell>
          <cell r="D191" t="str">
            <v>TON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O191">
            <v>0</v>
          </cell>
          <cell r="AP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 t="str">
            <v>Hedef</v>
          </cell>
          <cell r="DZ191" t="str">
            <v>pasiv</v>
          </cell>
          <cell r="EA191" t="e">
            <v>#DIV/0!</v>
          </cell>
        </row>
        <row r="192">
          <cell r="A192">
            <v>1</v>
          </cell>
          <cell r="B192">
            <v>314067</v>
          </cell>
          <cell r="C192" t="str">
            <v>ზეით.ზ.ზეითუნა რივიერა–0.5ლ*12–შუშა</v>
          </cell>
          <cell r="D192" t="str">
            <v>TON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O192">
            <v>0</v>
          </cell>
          <cell r="AP192">
            <v>0</v>
          </cell>
          <cell r="AS192">
            <v>0</v>
          </cell>
          <cell r="AT192">
            <v>0</v>
          </cell>
          <cell r="AU192">
            <v>-5.0000000000000001E-4</v>
          </cell>
          <cell r="AV192">
            <v>-13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-5.0000000000000001E-4</v>
          </cell>
          <cell r="BJ192">
            <v>-13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-5.0000000000000001E-4</v>
          </cell>
          <cell r="BT192">
            <v>-13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-5.0000000000000001E-4</v>
          </cell>
          <cell r="CL192">
            <v>-13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-5.0000000000000001E-4</v>
          </cell>
          <cell r="DX192">
            <v>-13</v>
          </cell>
          <cell r="DY192" t="str">
            <v>Hedef</v>
          </cell>
          <cell r="DZ192">
            <v>0</v>
          </cell>
          <cell r="EA192">
            <v>26000</v>
          </cell>
        </row>
        <row r="193">
          <cell r="B193">
            <v>16381</v>
          </cell>
          <cell r="C193" t="str">
            <v>FINAL ZEYTIN RIVIERA 0.5*12</v>
          </cell>
          <cell r="D193" t="str">
            <v>TON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6.4999999999999997E-3</v>
          </cell>
          <cell r="AD193">
            <v>161.07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-1E-3</v>
          </cell>
          <cell r="AJ193">
            <v>-26</v>
          </cell>
          <cell r="AK193">
            <v>0</v>
          </cell>
          <cell r="AL193">
            <v>0</v>
          </cell>
          <cell r="AO193">
            <v>5.4999999999999997E-3</v>
          </cell>
          <cell r="AP193">
            <v>135.07</v>
          </cell>
          <cell r="AS193">
            <v>0</v>
          </cell>
          <cell r="AT193">
            <v>0</v>
          </cell>
          <cell r="AU193">
            <v>4.5999999999999999E-2</v>
          </cell>
          <cell r="AV193">
            <v>1136.17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3.0000000000000001E-3</v>
          </cell>
          <cell r="BH193">
            <v>74.34</v>
          </cell>
          <cell r="BI193">
            <v>1.5E-3</v>
          </cell>
          <cell r="BJ193">
            <v>37.83</v>
          </cell>
          <cell r="BK193">
            <v>3.5000000000000001E-3</v>
          </cell>
          <cell r="BL193">
            <v>86.73</v>
          </cell>
          <cell r="BM193">
            <v>2E-3</v>
          </cell>
          <cell r="BN193">
            <v>50</v>
          </cell>
          <cell r="BO193">
            <v>5.0000000000000001E-3</v>
          </cell>
          <cell r="BP193">
            <v>123.9</v>
          </cell>
          <cell r="BQ193">
            <v>0</v>
          </cell>
          <cell r="BR193">
            <v>0</v>
          </cell>
          <cell r="BS193">
            <v>1.4999999999999999E-2</v>
          </cell>
          <cell r="BT193">
            <v>372.8</v>
          </cell>
          <cell r="BU193">
            <v>1E-3</v>
          </cell>
          <cell r="BV193">
            <v>26</v>
          </cell>
          <cell r="BW193">
            <v>1.5E-3</v>
          </cell>
          <cell r="BX193">
            <v>39</v>
          </cell>
          <cell r="BY193">
            <v>1.5E-3</v>
          </cell>
          <cell r="BZ193">
            <v>39</v>
          </cell>
          <cell r="CA193">
            <v>2E-3</v>
          </cell>
          <cell r="CB193">
            <v>49.56</v>
          </cell>
          <cell r="CC193">
            <v>0</v>
          </cell>
          <cell r="CD193">
            <v>0</v>
          </cell>
          <cell r="CE193">
            <v>6.0000000000000001E-3</v>
          </cell>
          <cell r="CF193">
            <v>137.16</v>
          </cell>
          <cell r="CG193">
            <v>0</v>
          </cell>
          <cell r="CH193">
            <v>0</v>
          </cell>
          <cell r="CI193">
            <v>1.2E-2</v>
          </cell>
          <cell r="CJ193">
            <v>290.72000000000003</v>
          </cell>
          <cell r="CK193">
            <v>2.7E-2</v>
          </cell>
          <cell r="CL193">
            <v>663.52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7.4999999999999997E-3</v>
          </cell>
          <cell r="CV193">
            <v>185.85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3.5000000000000001E-3</v>
          </cell>
          <cell r="DH193">
            <v>89.78</v>
          </cell>
          <cell r="DI193">
            <v>2.5000000000000001E-3</v>
          </cell>
          <cell r="DJ193">
            <v>61.95</v>
          </cell>
          <cell r="DK193">
            <v>0</v>
          </cell>
          <cell r="DL193">
            <v>0</v>
          </cell>
          <cell r="DM193">
            <v>6.0000000000000001E-3</v>
          </cell>
          <cell r="DN193">
            <v>151.72999999999999</v>
          </cell>
          <cell r="DO193">
            <v>2.5000000000000001E-3</v>
          </cell>
          <cell r="DP193">
            <v>61.95</v>
          </cell>
          <cell r="DQ193">
            <v>3.0000000000000001E-3</v>
          </cell>
          <cell r="DR193">
            <v>74.34</v>
          </cell>
          <cell r="DS193">
            <v>2E-3</v>
          </cell>
          <cell r="DT193">
            <v>49.56</v>
          </cell>
          <cell r="DU193">
            <v>7.4999999999999997E-3</v>
          </cell>
          <cell r="DV193">
            <v>185.85</v>
          </cell>
          <cell r="DW193">
            <v>4.5999999999999999E-2</v>
          </cell>
          <cell r="DX193">
            <v>1136.1699999999998</v>
          </cell>
          <cell r="DY193" t="str">
            <v/>
          </cell>
          <cell r="DZ193">
            <v>0</v>
          </cell>
          <cell r="EA193">
            <v>24699.347826086952</v>
          </cell>
        </row>
        <row r="194">
          <cell r="B194">
            <v>229007</v>
          </cell>
          <cell r="C194" t="str">
            <v>ზეით.ზ.ბაგლარი–0.5ლ*12</v>
          </cell>
          <cell r="D194" t="str">
            <v>TON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O194">
            <v>0</v>
          </cell>
          <cell r="AP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 t="str">
            <v/>
          </cell>
          <cell r="DZ194" t="str">
            <v>pasiv</v>
          </cell>
          <cell r="EA194" t="e">
            <v>#DIV/0!</v>
          </cell>
        </row>
        <row r="195">
          <cell r="B195">
            <v>263577</v>
          </cell>
          <cell r="C195" t="str">
            <v>ზეით.ზ.ბაგლარი–შუშის ბოთლით/0.250*24/ლ</v>
          </cell>
          <cell r="D195" t="str">
            <v>TON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3.0000000000000001E-3</v>
          </cell>
          <cell r="T195">
            <v>74.88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3.0000000000000001E-3</v>
          </cell>
          <cell r="Z195">
            <v>74.88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1.5E-3</v>
          </cell>
          <cell r="AL195">
            <v>37.200000000000003</v>
          </cell>
          <cell r="AO195">
            <v>1.5E-3</v>
          </cell>
          <cell r="AP195">
            <v>37.200000000000003</v>
          </cell>
          <cell r="AS195">
            <v>0</v>
          </cell>
          <cell r="AT195">
            <v>0</v>
          </cell>
          <cell r="AU195">
            <v>2.7E-2</v>
          </cell>
          <cell r="AV195">
            <v>664.27</v>
          </cell>
          <cell r="AW195">
            <v>0</v>
          </cell>
          <cell r="AX195">
            <v>0</v>
          </cell>
          <cell r="AY195">
            <v>2E-3</v>
          </cell>
          <cell r="AZ195">
            <v>49.92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2E-3</v>
          </cell>
          <cell r="BF195">
            <v>49.92</v>
          </cell>
          <cell r="BG195">
            <v>1.25E-3</v>
          </cell>
          <cell r="BH195">
            <v>32.5</v>
          </cell>
          <cell r="BI195">
            <v>0</v>
          </cell>
          <cell r="BJ195">
            <v>0</v>
          </cell>
          <cell r="BK195">
            <v>6.7499999999999999E-3</v>
          </cell>
          <cell r="BL195">
            <v>170.82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8.0000000000000002E-3</v>
          </cell>
          <cell r="BT195">
            <v>203.32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8.0000000000000002E-3</v>
          </cell>
          <cell r="CL195">
            <v>203.32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1.25E-3</v>
          </cell>
          <cell r="CV195">
            <v>32.5</v>
          </cell>
          <cell r="CW195">
            <v>0</v>
          </cell>
          <cell r="CX195">
            <v>0</v>
          </cell>
          <cell r="CY195">
            <v>6.0000000000000001E-3</v>
          </cell>
          <cell r="CZ195">
            <v>141.6</v>
          </cell>
          <cell r="DA195">
            <v>7.5000000000000002E-4</v>
          </cell>
          <cell r="DB195">
            <v>18.600000000000001</v>
          </cell>
          <cell r="DC195">
            <v>3.2499999999999999E-3</v>
          </cell>
          <cell r="DD195">
            <v>74.72</v>
          </cell>
          <cell r="DE195">
            <v>0.01</v>
          </cell>
          <cell r="DF195">
            <v>234.92</v>
          </cell>
          <cell r="DG195">
            <v>0</v>
          </cell>
          <cell r="DH195">
            <v>0</v>
          </cell>
          <cell r="DI195">
            <v>1.25E-3</v>
          </cell>
          <cell r="DJ195">
            <v>31.53</v>
          </cell>
          <cell r="DK195">
            <v>0</v>
          </cell>
          <cell r="DL195">
            <v>0</v>
          </cell>
          <cell r="DM195">
            <v>1.25E-3</v>
          </cell>
          <cell r="DN195">
            <v>31.53</v>
          </cell>
          <cell r="DO195">
            <v>1.25E-3</v>
          </cell>
          <cell r="DP195">
            <v>32.5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1.25E-3</v>
          </cell>
          <cell r="DV195">
            <v>32.5</v>
          </cell>
          <cell r="DW195">
            <v>2.7E-2</v>
          </cell>
          <cell r="DX195">
            <v>664.27</v>
          </cell>
          <cell r="DY195" t="str">
            <v/>
          </cell>
          <cell r="DZ195">
            <v>0</v>
          </cell>
          <cell r="EA195">
            <v>24602.592592592591</v>
          </cell>
        </row>
        <row r="196">
          <cell r="B196">
            <v>16378</v>
          </cell>
          <cell r="C196" t="str">
            <v>FINAL ZEYTUN RIVIERA_0.75 LT*12_SUSE</v>
          </cell>
          <cell r="D196" t="str">
            <v>TON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O196">
            <v>0</v>
          </cell>
          <cell r="AP196">
            <v>0</v>
          </cell>
          <cell r="AS196">
            <v>0</v>
          </cell>
          <cell r="AT196">
            <v>0</v>
          </cell>
          <cell r="AU196">
            <v>4.0500000000000001E-2</v>
          </cell>
          <cell r="AV196">
            <v>943.46</v>
          </cell>
          <cell r="AW196">
            <v>0</v>
          </cell>
          <cell r="AX196">
            <v>0</v>
          </cell>
          <cell r="AY196">
            <v>4.4999999999999997E-3</v>
          </cell>
          <cell r="AZ196">
            <v>103.68</v>
          </cell>
          <cell r="BA196">
            <v>0</v>
          </cell>
          <cell r="BB196">
            <v>0</v>
          </cell>
          <cell r="BC196">
            <v>1.5E-3</v>
          </cell>
          <cell r="BD196">
            <v>34.92</v>
          </cell>
          <cell r="BE196">
            <v>6.0000000000000001E-3</v>
          </cell>
          <cell r="BF196">
            <v>138.60000000000002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3.0000000000000001E-3</v>
          </cell>
          <cell r="CV196">
            <v>72</v>
          </cell>
          <cell r="CW196">
            <v>0</v>
          </cell>
          <cell r="CX196">
            <v>0</v>
          </cell>
          <cell r="CY196">
            <v>2.7E-2</v>
          </cell>
          <cell r="CZ196">
            <v>633.6</v>
          </cell>
          <cell r="DA196">
            <v>0</v>
          </cell>
          <cell r="DB196">
            <v>0</v>
          </cell>
          <cell r="DC196">
            <v>4.4999999999999997E-3</v>
          </cell>
          <cell r="DD196">
            <v>99.26</v>
          </cell>
          <cell r="DE196">
            <v>3.15E-2</v>
          </cell>
          <cell r="DF196">
            <v>732.86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3.0000000000000001E-3</v>
          </cell>
          <cell r="DT196">
            <v>72</v>
          </cell>
          <cell r="DU196">
            <v>3.0000000000000001E-3</v>
          </cell>
          <cell r="DV196">
            <v>72</v>
          </cell>
          <cell r="DW196">
            <v>4.0500000000000001E-2</v>
          </cell>
          <cell r="DX196">
            <v>943.46</v>
          </cell>
          <cell r="DY196" t="str">
            <v/>
          </cell>
          <cell r="DZ196">
            <v>0</v>
          </cell>
          <cell r="EA196">
            <v>23295.308641975309</v>
          </cell>
        </row>
        <row r="197">
          <cell r="B197">
            <v>135691</v>
          </cell>
          <cell r="C197" t="str">
            <v>FINAL ZEYTUN_1LT*9_SUSE QAB</v>
          </cell>
          <cell r="D197" t="str">
            <v>TON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O197">
            <v>0</v>
          </cell>
          <cell r="AP197">
            <v>0</v>
          </cell>
          <cell r="AS197">
            <v>0</v>
          </cell>
          <cell r="AT197">
            <v>0</v>
          </cell>
          <cell r="AU197">
            <v>1.2999999999999999E-2</v>
          </cell>
          <cell r="AV197">
            <v>295.63</v>
          </cell>
          <cell r="AW197">
            <v>0</v>
          </cell>
          <cell r="AX197">
            <v>0</v>
          </cell>
          <cell r="AY197">
            <v>6.0000000000000001E-3</v>
          </cell>
          <cell r="AZ197">
            <v>135.36000000000001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6.0000000000000001E-3</v>
          </cell>
          <cell r="BF197">
            <v>135.36000000000001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2E-3</v>
          </cell>
          <cell r="CD197">
            <v>45.59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2E-3</v>
          </cell>
          <cell r="CJ197">
            <v>45.59</v>
          </cell>
          <cell r="CK197">
            <v>2E-3</v>
          </cell>
          <cell r="CL197">
            <v>45.59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5.0000000000000001E-3</v>
          </cell>
          <cell r="CV197">
            <v>114.68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3.0000000000000001E-3</v>
          </cell>
          <cell r="DR197">
            <v>67.680000000000007</v>
          </cell>
          <cell r="DS197">
            <v>2E-3</v>
          </cell>
          <cell r="DT197">
            <v>47</v>
          </cell>
          <cell r="DU197">
            <v>5.0000000000000001E-3</v>
          </cell>
          <cell r="DV197">
            <v>114.68</v>
          </cell>
          <cell r="DW197">
            <v>1.3000000000000001E-2</v>
          </cell>
          <cell r="DX197">
            <v>295.63</v>
          </cell>
          <cell r="DY197" t="str">
            <v/>
          </cell>
          <cell r="DZ197">
            <v>0</v>
          </cell>
          <cell r="EA197">
            <v>22740.769230769227</v>
          </cell>
        </row>
        <row r="198">
          <cell r="B198">
            <v>383143</v>
          </cell>
          <cell r="C198" t="str">
            <v>ზეით.ზ.ზეითუნა–სიზმა-0.5ლ_11ც+1ც</v>
          </cell>
          <cell r="D198" t="str">
            <v>TON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O198">
            <v>0</v>
          </cell>
          <cell r="AP198">
            <v>0</v>
          </cell>
          <cell r="AS198">
            <v>0</v>
          </cell>
          <cell r="AT198">
            <v>0</v>
          </cell>
          <cell r="AU198">
            <v>1.2E-2</v>
          </cell>
          <cell r="AV198">
            <v>291.29000000000002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1.2E-2</v>
          </cell>
          <cell r="CV198">
            <v>291.29000000000002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6.0000000000000001E-3</v>
          </cell>
          <cell r="DP198">
            <v>141.13999999999999</v>
          </cell>
          <cell r="DQ198">
            <v>0</v>
          </cell>
          <cell r="DR198">
            <v>0</v>
          </cell>
          <cell r="DS198">
            <v>6.0000000000000001E-3</v>
          </cell>
          <cell r="DT198">
            <v>150.15</v>
          </cell>
          <cell r="DU198">
            <v>1.2E-2</v>
          </cell>
          <cell r="DV198">
            <v>291.29000000000002</v>
          </cell>
          <cell r="DW198">
            <v>1.2E-2</v>
          </cell>
          <cell r="DX198">
            <v>291.29000000000002</v>
          </cell>
          <cell r="DY198" t="str">
            <v/>
          </cell>
          <cell r="DZ198">
            <v>0</v>
          </cell>
          <cell r="EA198">
            <v>24274.166666666668</v>
          </cell>
        </row>
        <row r="199">
          <cell r="B199">
            <v>263597</v>
          </cell>
          <cell r="C199" t="str">
            <v>ზეით.ზ.ბაგლარი–1ლ*12–პლასტ.ბოთლით</v>
          </cell>
          <cell r="D199" t="str">
            <v>TON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O199">
            <v>0</v>
          </cell>
          <cell r="AP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 t="str">
            <v/>
          </cell>
          <cell r="DZ199" t="str">
            <v>pasiv</v>
          </cell>
          <cell r="EA199" t="e">
            <v>#DIV/0!</v>
          </cell>
        </row>
        <row r="200">
          <cell r="B200">
            <v>238923</v>
          </cell>
          <cell r="C200" t="str">
            <v>ზეით.ზ.ზეითუნა–სიზმა-0.5ლ*12_შუშა</v>
          </cell>
          <cell r="D200" t="str">
            <v>TON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O200">
            <v>0</v>
          </cell>
          <cell r="AP200">
            <v>0</v>
          </cell>
          <cell r="AS200">
            <v>0</v>
          </cell>
          <cell r="AT200">
            <v>0</v>
          </cell>
          <cell r="AU200">
            <v>1.6E-2</v>
          </cell>
          <cell r="AV200">
            <v>449.02</v>
          </cell>
          <cell r="AW200">
            <v>0</v>
          </cell>
          <cell r="AX200">
            <v>0</v>
          </cell>
          <cell r="AY200">
            <v>3.0000000000000001E-3</v>
          </cell>
          <cell r="AZ200">
            <v>78.62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3.0000000000000001E-3</v>
          </cell>
          <cell r="BF200">
            <v>78.62</v>
          </cell>
          <cell r="BG200">
            <v>0</v>
          </cell>
          <cell r="BH200">
            <v>0</v>
          </cell>
          <cell r="BI200">
            <v>1.2E-2</v>
          </cell>
          <cell r="BJ200">
            <v>343.92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1.2E-2</v>
          </cell>
          <cell r="BT200">
            <v>343.92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1.2E-2</v>
          </cell>
          <cell r="CL200">
            <v>343.92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1E-3</v>
          </cell>
          <cell r="DL200">
            <v>26.48</v>
          </cell>
          <cell r="DM200">
            <v>1E-3</v>
          </cell>
          <cell r="DN200">
            <v>26.48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1.6E-2</v>
          </cell>
          <cell r="DX200">
            <v>449.02000000000004</v>
          </cell>
          <cell r="DY200" t="str">
            <v/>
          </cell>
          <cell r="DZ200">
            <v>0</v>
          </cell>
          <cell r="EA200">
            <v>28063.750000000004</v>
          </cell>
        </row>
        <row r="201">
          <cell r="B201">
            <v>238924</v>
          </cell>
          <cell r="C201" t="str">
            <v>ზეით.ზ.ზეითუნა–სიზმა-0.25ლ*24-შუშა</v>
          </cell>
          <cell r="D201" t="str">
            <v>TON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O201">
            <v>0</v>
          </cell>
          <cell r="AP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 t="str">
            <v/>
          </cell>
          <cell r="DZ201" t="str">
            <v>pasiv</v>
          </cell>
          <cell r="EA201" t="e">
            <v>#DIV/0!</v>
          </cell>
        </row>
        <row r="202">
          <cell r="B202">
            <v>263580</v>
          </cell>
          <cell r="C202" t="str">
            <v>ზეით.ზ.ბაგლარი–1ლ*9–შუშის ბოთლით</v>
          </cell>
          <cell r="D202" t="str">
            <v>TON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3.0000000000000001E-3</v>
          </cell>
          <cell r="T202">
            <v>66.239999999999995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3.0000000000000001E-3</v>
          </cell>
          <cell r="Z202">
            <v>66.239999999999995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O202">
            <v>0</v>
          </cell>
          <cell r="AP202">
            <v>0</v>
          </cell>
          <cell r="AS202">
            <v>0</v>
          </cell>
          <cell r="AT202">
            <v>0</v>
          </cell>
          <cell r="AU202">
            <v>2E-3</v>
          </cell>
          <cell r="AV202">
            <v>45.28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-1E-3</v>
          </cell>
          <cell r="DD202">
            <v>-20.96</v>
          </cell>
          <cell r="DE202">
            <v>-1E-3</v>
          </cell>
          <cell r="DF202">
            <v>-20.96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2E-3</v>
          </cell>
          <cell r="DX202">
            <v>45.279999999999994</v>
          </cell>
          <cell r="DY202" t="str">
            <v/>
          </cell>
          <cell r="DZ202">
            <v>0</v>
          </cell>
          <cell r="EA202">
            <v>22639.999999999996</v>
          </cell>
        </row>
        <row r="203">
          <cell r="B203">
            <v>263595</v>
          </cell>
          <cell r="C203" t="str">
            <v>ზეით.ზ.ბაგლარი_2L*6_თუნუქის ქილით</v>
          </cell>
          <cell r="D203" t="str">
            <v>TON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O203">
            <v>0</v>
          </cell>
          <cell r="AP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 t="str">
            <v/>
          </cell>
          <cell r="DZ203" t="str">
            <v>pasiv</v>
          </cell>
          <cell r="EA203" t="e">
            <v>#DIV/0!</v>
          </cell>
        </row>
        <row r="204">
          <cell r="B204">
            <v>16382</v>
          </cell>
          <cell r="C204" t="str">
            <v>FINAL ZEYTIN RIVIERA 0.25*24</v>
          </cell>
          <cell r="D204" t="str">
            <v>TON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3.7499999999999999E-3</v>
          </cell>
          <cell r="T204">
            <v>95.24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3.7499999999999999E-3</v>
          </cell>
          <cell r="Z204">
            <v>95.24</v>
          </cell>
          <cell r="AA204">
            <v>0</v>
          </cell>
          <cell r="AB204">
            <v>0</v>
          </cell>
          <cell r="AC204">
            <v>4.0000000000000001E-3</v>
          </cell>
          <cell r="AD204">
            <v>103.7</v>
          </cell>
          <cell r="AE204">
            <v>0</v>
          </cell>
          <cell r="AF204">
            <v>0</v>
          </cell>
          <cell r="AG204">
            <v>2.7499999999999998E-3</v>
          </cell>
          <cell r="AH204">
            <v>69.900000000000006</v>
          </cell>
          <cell r="AI204">
            <v>5.0000000000000001E-4</v>
          </cell>
          <cell r="AJ204">
            <v>12.6</v>
          </cell>
          <cell r="AK204">
            <v>4.7499999999999999E-3</v>
          </cell>
          <cell r="AL204">
            <v>119.7</v>
          </cell>
          <cell r="AO204">
            <v>1.2E-2</v>
          </cell>
          <cell r="AP204">
            <v>305.90000000000003</v>
          </cell>
          <cell r="AS204">
            <v>0</v>
          </cell>
          <cell r="AT204">
            <v>0</v>
          </cell>
          <cell r="AU204">
            <v>8.7749999999999995E-2</v>
          </cell>
          <cell r="AV204">
            <v>2231.38</v>
          </cell>
          <cell r="AW204">
            <v>0</v>
          </cell>
          <cell r="AX204">
            <v>0</v>
          </cell>
          <cell r="AY204">
            <v>4.4999999999999997E-3</v>
          </cell>
          <cell r="AZ204">
            <v>113.62</v>
          </cell>
          <cell r="BA204">
            <v>0</v>
          </cell>
          <cell r="BB204">
            <v>0</v>
          </cell>
          <cell r="BC204">
            <v>1E-3</v>
          </cell>
          <cell r="BD204">
            <v>25.4</v>
          </cell>
          <cell r="BE204">
            <v>5.4999999999999997E-3</v>
          </cell>
          <cell r="BF204">
            <v>139.02000000000001</v>
          </cell>
          <cell r="BG204">
            <v>4.7499999999999999E-3</v>
          </cell>
          <cell r="BH204">
            <v>121.2</v>
          </cell>
          <cell r="BI204">
            <v>3.0000000000000001E-3</v>
          </cell>
          <cell r="BJ204">
            <v>76.03</v>
          </cell>
          <cell r="BK204">
            <v>1.5E-3</v>
          </cell>
          <cell r="BL204">
            <v>37.799999999999997</v>
          </cell>
          <cell r="BM204">
            <v>2.7499999999999998E-3</v>
          </cell>
          <cell r="BN204">
            <v>69.81</v>
          </cell>
          <cell r="BO204">
            <v>2.5000000000000001E-4</v>
          </cell>
          <cell r="BP204">
            <v>6.3</v>
          </cell>
          <cell r="BQ204">
            <v>0</v>
          </cell>
          <cell r="BR204">
            <v>0</v>
          </cell>
          <cell r="BS204">
            <v>1.225E-2</v>
          </cell>
          <cell r="BT204">
            <v>311.14</v>
          </cell>
          <cell r="BU204">
            <v>1.25E-3</v>
          </cell>
          <cell r="BV204">
            <v>33</v>
          </cell>
          <cell r="BW204">
            <v>2E-3</v>
          </cell>
          <cell r="BX204">
            <v>52.21</v>
          </cell>
          <cell r="BY204">
            <v>4.2500000000000003E-3</v>
          </cell>
          <cell r="BZ204">
            <v>109.5</v>
          </cell>
          <cell r="CA204">
            <v>1E-3</v>
          </cell>
          <cell r="CB204">
            <v>25.2</v>
          </cell>
          <cell r="CC204">
            <v>5.0000000000000001E-4</v>
          </cell>
          <cell r="CD204">
            <v>13.2</v>
          </cell>
          <cell r="CE204">
            <v>6.0000000000000001E-3</v>
          </cell>
          <cell r="CF204">
            <v>151.19999999999999</v>
          </cell>
          <cell r="CG204">
            <v>0</v>
          </cell>
          <cell r="CH204">
            <v>0</v>
          </cell>
          <cell r="CI204">
            <v>1.4999999999999999E-2</v>
          </cell>
          <cell r="CJ204">
            <v>384.31</v>
          </cell>
          <cell r="CK204">
            <v>2.725E-2</v>
          </cell>
          <cell r="CL204">
            <v>695.45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2.7E-2</v>
          </cell>
          <cell r="CV204">
            <v>695.57</v>
          </cell>
          <cell r="CW204">
            <v>0</v>
          </cell>
          <cell r="CX204">
            <v>0</v>
          </cell>
          <cell r="CY204">
            <v>6.0000000000000001E-3</v>
          </cell>
          <cell r="CZ204">
            <v>140.4</v>
          </cell>
          <cell r="DA204">
            <v>7.5000000000000002E-4</v>
          </cell>
          <cell r="DB204">
            <v>18.899999999999999</v>
          </cell>
          <cell r="DC204">
            <v>5.0000000000000001E-4</v>
          </cell>
          <cell r="DD204">
            <v>12.6</v>
          </cell>
          <cell r="DE204">
            <v>7.2499999999999995E-3</v>
          </cell>
          <cell r="DF204">
            <v>171.9</v>
          </cell>
          <cell r="DG204">
            <v>1.25E-3</v>
          </cell>
          <cell r="DH204">
            <v>33</v>
          </cell>
          <cell r="DI204">
            <v>2.5000000000000001E-3</v>
          </cell>
          <cell r="DJ204">
            <v>63.6</v>
          </cell>
          <cell r="DK204">
            <v>1.25E-3</v>
          </cell>
          <cell r="DL204">
            <v>31.7</v>
          </cell>
          <cell r="DM204">
            <v>5.0000000000000001E-3</v>
          </cell>
          <cell r="DN204">
            <v>128.30000000000001</v>
          </cell>
          <cell r="DO204">
            <v>6.2500000000000003E-3</v>
          </cell>
          <cell r="DP204">
            <v>160.11000000000001</v>
          </cell>
          <cell r="DQ204">
            <v>9.2499999999999995E-3</v>
          </cell>
          <cell r="DR204">
            <v>234.86</v>
          </cell>
          <cell r="DS204">
            <v>1.15E-2</v>
          </cell>
          <cell r="DT204">
            <v>300.60000000000002</v>
          </cell>
          <cell r="DU204">
            <v>2.7E-2</v>
          </cell>
          <cell r="DV204">
            <v>695.57</v>
          </cell>
          <cell r="DW204">
            <v>8.7750000000000009E-2</v>
          </cell>
          <cell r="DX204">
            <v>2231.38</v>
          </cell>
          <cell r="DY204" t="str">
            <v/>
          </cell>
          <cell r="DZ204">
            <v>0</v>
          </cell>
          <cell r="EA204">
            <v>25428.831908831908</v>
          </cell>
        </row>
        <row r="205">
          <cell r="A205">
            <v>6</v>
          </cell>
          <cell r="B205">
            <v>0</v>
          </cell>
          <cell r="C205" t="str">
            <v>ZEYTIN YAGI</v>
          </cell>
          <cell r="D205" t="str">
            <v>TON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9.75E-3</v>
          </cell>
          <cell r="T205">
            <v>236.36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9.75E-3</v>
          </cell>
          <cell r="Z205">
            <v>236.36</v>
          </cell>
          <cell r="AA205">
            <v>0</v>
          </cell>
          <cell r="AB205">
            <v>0</v>
          </cell>
          <cell r="AC205">
            <v>1.0499999999999999E-2</v>
          </cell>
          <cell r="AD205">
            <v>264.77</v>
          </cell>
          <cell r="AE205">
            <v>0</v>
          </cell>
          <cell r="AF205">
            <v>0</v>
          </cell>
          <cell r="AG205">
            <v>2.7499999999999998E-3</v>
          </cell>
          <cell r="AH205">
            <v>69.900000000000006</v>
          </cell>
          <cell r="AI205">
            <v>-5.0000000000000001E-4</v>
          </cell>
          <cell r="AJ205">
            <v>-13.4</v>
          </cell>
          <cell r="AK205">
            <v>6.2500000000000003E-3</v>
          </cell>
          <cell r="AL205">
            <v>156.9</v>
          </cell>
          <cell r="AO205">
            <v>1.8999999999999996E-2</v>
          </cell>
          <cell r="AP205">
            <v>478.16999999999996</v>
          </cell>
          <cell r="AS205">
            <v>0</v>
          </cell>
          <cell r="AT205">
            <v>0</v>
          </cell>
          <cell r="AU205">
            <v>0.24825000000000003</v>
          </cell>
          <cell r="AV205">
            <v>6158.7000000000007</v>
          </cell>
          <cell r="AW205">
            <v>0</v>
          </cell>
          <cell r="AX205">
            <v>0</v>
          </cell>
          <cell r="AY205">
            <v>2.4500000000000001E-2</v>
          </cell>
          <cell r="AZ205">
            <v>596.40000000000009</v>
          </cell>
          <cell r="BA205">
            <v>0</v>
          </cell>
          <cell r="BB205">
            <v>0</v>
          </cell>
          <cell r="BC205">
            <v>2.5000000000000001E-3</v>
          </cell>
          <cell r="BD205">
            <v>60.32</v>
          </cell>
          <cell r="BE205">
            <v>2.7000000000000003E-2</v>
          </cell>
          <cell r="BF205">
            <v>656.72</v>
          </cell>
          <cell r="BG205">
            <v>9.0000000000000011E-3</v>
          </cell>
          <cell r="BH205">
            <v>228.04000000000002</v>
          </cell>
          <cell r="BI205">
            <v>1.6E-2</v>
          </cell>
          <cell r="BJ205">
            <v>444.78</v>
          </cell>
          <cell r="BK205">
            <v>1.175E-2</v>
          </cell>
          <cell r="BL205">
            <v>295.35000000000002</v>
          </cell>
          <cell r="BM205">
            <v>4.7499999999999999E-3</v>
          </cell>
          <cell r="BN205">
            <v>119.81</v>
          </cell>
          <cell r="BO205">
            <v>5.2500000000000003E-3</v>
          </cell>
          <cell r="BP205">
            <v>130.20000000000002</v>
          </cell>
          <cell r="BQ205">
            <v>0</v>
          </cell>
          <cell r="BR205">
            <v>0</v>
          </cell>
          <cell r="BS205">
            <v>4.675E-2</v>
          </cell>
          <cell r="BT205">
            <v>1218.1799999999998</v>
          </cell>
          <cell r="BU205">
            <v>2.2500000000000003E-3</v>
          </cell>
          <cell r="BV205">
            <v>59</v>
          </cell>
          <cell r="BW205">
            <v>3.5000000000000001E-3</v>
          </cell>
          <cell r="BX205">
            <v>91.210000000000008</v>
          </cell>
          <cell r="BY205">
            <v>5.7499999999999999E-3</v>
          </cell>
          <cell r="BZ205">
            <v>148.5</v>
          </cell>
          <cell r="CA205">
            <v>3.0000000000000001E-3</v>
          </cell>
          <cell r="CB205">
            <v>74.760000000000005</v>
          </cell>
          <cell r="CC205">
            <v>2.5000000000000001E-3</v>
          </cell>
          <cell r="CD205">
            <v>58.790000000000006</v>
          </cell>
          <cell r="CE205">
            <v>1.2E-2</v>
          </cell>
          <cell r="CF205">
            <v>288.36</v>
          </cell>
          <cell r="CG205">
            <v>0</v>
          </cell>
          <cell r="CH205">
            <v>0</v>
          </cell>
          <cell r="CI205">
            <v>2.8999999999999998E-2</v>
          </cell>
          <cell r="CJ205">
            <v>720.62000000000012</v>
          </cell>
          <cell r="CK205">
            <v>7.5749999999999998E-2</v>
          </cell>
          <cell r="CL205">
            <v>1938.8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5.5750000000000001E-2</v>
          </cell>
          <cell r="CV205">
            <v>1391.89</v>
          </cell>
          <cell r="CW205">
            <v>0</v>
          </cell>
          <cell r="CX205">
            <v>0</v>
          </cell>
          <cell r="CY205">
            <v>3.9E-2</v>
          </cell>
          <cell r="CZ205">
            <v>915.6</v>
          </cell>
          <cell r="DA205">
            <v>1.5E-3</v>
          </cell>
          <cell r="DB205">
            <v>37.5</v>
          </cell>
          <cell r="DC205">
            <v>7.2499999999999995E-3</v>
          </cell>
          <cell r="DD205">
            <v>165.62</v>
          </cell>
          <cell r="DE205">
            <v>4.7750000000000001E-2</v>
          </cell>
          <cell r="DF205">
            <v>1118.72</v>
          </cell>
          <cell r="DG205">
            <v>4.7499999999999999E-3</v>
          </cell>
          <cell r="DH205">
            <v>122.78</v>
          </cell>
          <cell r="DI205">
            <v>6.2500000000000003E-3</v>
          </cell>
          <cell r="DJ205">
            <v>157.08000000000001</v>
          </cell>
          <cell r="DK205">
            <v>2.2500000000000003E-3</v>
          </cell>
          <cell r="DL205">
            <v>58.18</v>
          </cell>
          <cell r="DM205">
            <v>1.3250000000000001E-2</v>
          </cell>
          <cell r="DN205">
            <v>338.03999999999996</v>
          </cell>
          <cell r="DO205">
            <v>1.6E-2</v>
          </cell>
          <cell r="DP205">
            <v>395.7</v>
          </cell>
          <cell r="DQ205">
            <v>1.525E-2</v>
          </cell>
          <cell r="DR205">
            <v>376.88</v>
          </cell>
          <cell r="DS205">
            <v>2.4500000000000001E-2</v>
          </cell>
          <cell r="DT205">
            <v>619.31000000000006</v>
          </cell>
          <cell r="DU205">
            <v>5.5750000000000001E-2</v>
          </cell>
          <cell r="DV205">
            <v>1391.89</v>
          </cell>
          <cell r="DW205">
            <v>0.24825000000000003</v>
          </cell>
          <cell r="DX205">
            <v>6158.7000000000007</v>
          </cell>
          <cell r="DY205" t="str">
            <v>Hedef</v>
          </cell>
          <cell r="DZ205">
            <v>0</v>
          </cell>
          <cell r="EA205">
            <v>24808.459214501512</v>
          </cell>
        </row>
        <row r="206">
          <cell r="C206" t="str">
            <v>SIVI YAG TOPLAMI</v>
          </cell>
          <cell r="D206" t="str">
            <v>TON</v>
          </cell>
          <cell r="E206">
            <v>0.15900000000000003</v>
          </cell>
          <cell r="F206">
            <v>1282.8499999999999</v>
          </cell>
          <cell r="G206">
            <v>0.20400000000000001</v>
          </cell>
          <cell r="H206">
            <v>830.77</v>
          </cell>
          <cell r="I206">
            <v>0.58499999999999996</v>
          </cell>
          <cell r="J206">
            <v>3644.55</v>
          </cell>
          <cell r="K206">
            <v>0</v>
          </cell>
          <cell r="L206">
            <v>0</v>
          </cell>
          <cell r="O206">
            <v>0.94800000000000006</v>
          </cell>
          <cell r="P206">
            <v>5758.17</v>
          </cell>
          <cell r="Q206">
            <v>3.9E-2</v>
          </cell>
          <cell r="R206">
            <v>222.79</v>
          </cell>
          <cell r="S206">
            <v>0.92674999999999996</v>
          </cell>
          <cell r="T206">
            <v>5643.98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0.96575000000000011</v>
          </cell>
          <cell r="Z206">
            <v>5866.77</v>
          </cell>
          <cell r="AA206">
            <v>0</v>
          </cell>
          <cell r="AB206">
            <v>0</v>
          </cell>
          <cell r="AC206">
            <v>5.5500000000000001E-2</v>
          </cell>
          <cell r="AD206">
            <v>523.16999999999996</v>
          </cell>
          <cell r="AE206">
            <v>1.4E-2</v>
          </cell>
          <cell r="AF206">
            <v>77.509999999999991</v>
          </cell>
          <cell r="AG206">
            <v>1.6750000000000001E-2</v>
          </cell>
          <cell r="AH206">
            <v>166.33</v>
          </cell>
          <cell r="AI206">
            <v>2.0500000000000004E-2</v>
          </cell>
          <cell r="AJ206">
            <v>34.560000000000009</v>
          </cell>
          <cell r="AK206">
            <v>8.4249999999999992E-2</v>
          </cell>
          <cell r="AL206">
            <v>283.27</v>
          </cell>
          <cell r="AO206">
            <v>0.191</v>
          </cell>
          <cell r="AP206">
            <v>1084.8400000000001</v>
          </cell>
          <cell r="AS206">
            <v>0</v>
          </cell>
          <cell r="AT206">
            <v>0</v>
          </cell>
          <cell r="AU206">
            <v>8.1773699438746004</v>
          </cell>
          <cell r="AV206">
            <v>53405.01</v>
          </cell>
          <cell r="AW206">
            <v>0</v>
          </cell>
          <cell r="AX206">
            <v>0</v>
          </cell>
          <cell r="AY206">
            <v>0.4355</v>
          </cell>
          <cell r="AZ206">
            <v>2761.52</v>
          </cell>
          <cell r="BA206">
            <v>0</v>
          </cell>
          <cell r="BB206">
            <v>0</v>
          </cell>
          <cell r="BC206">
            <v>0.6765000000000001</v>
          </cell>
          <cell r="BD206">
            <v>4390.88</v>
          </cell>
          <cell r="BE206">
            <v>1.1120000000000001</v>
          </cell>
          <cell r="BF206">
            <v>7152.4</v>
          </cell>
          <cell r="BG206">
            <v>1.3000000000000001E-2</v>
          </cell>
          <cell r="BH206">
            <v>259.18</v>
          </cell>
          <cell r="BI206">
            <v>0.79800000000000004</v>
          </cell>
          <cell r="BJ206">
            <v>3892.4</v>
          </cell>
          <cell r="BK206">
            <v>1.7250000000000001E-2</v>
          </cell>
          <cell r="BL206">
            <v>331.38</v>
          </cell>
          <cell r="BM206">
            <v>0.10325000000000001</v>
          </cell>
          <cell r="BN206">
            <v>799.75</v>
          </cell>
          <cell r="BO206">
            <v>0.11725000000000002</v>
          </cell>
          <cell r="BP206">
            <v>828.75</v>
          </cell>
          <cell r="BQ206">
            <v>0</v>
          </cell>
          <cell r="BR206">
            <v>0</v>
          </cell>
          <cell r="BS206">
            <v>1.05125</v>
          </cell>
          <cell r="BT206">
            <v>6128.51</v>
          </cell>
          <cell r="BU206">
            <v>0.16624999999999998</v>
          </cell>
          <cell r="BV206">
            <v>909.26</v>
          </cell>
          <cell r="BW206">
            <v>6.9500000000000006E-2</v>
          </cell>
          <cell r="BX206">
            <v>448.78</v>
          </cell>
          <cell r="BY206">
            <v>0.23575000000000002</v>
          </cell>
          <cell r="BZ206">
            <v>1398.1000000000001</v>
          </cell>
          <cell r="CA206">
            <v>0.11650000000000001</v>
          </cell>
          <cell r="CB206">
            <v>1158.3800000000001</v>
          </cell>
          <cell r="CC206">
            <v>-1.15E-2</v>
          </cell>
          <cell r="CD206">
            <v>-116.36999999999999</v>
          </cell>
          <cell r="CE206">
            <v>0.19350000000000001</v>
          </cell>
          <cell r="CF206">
            <v>1862.8500000000001</v>
          </cell>
          <cell r="CG206">
            <v>5.5E-2</v>
          </cell>
          <cell r="CH206">
            <v>305.52</v>
          </cell>
          <cell r="CI206">
            <v>0.82500000000000007</v>
          </cell>
          <cell r="CJ206">
            <v>5966.52</v>
          </cell>
          <cell r="CK206">
            <v>1.8762500000000002</v>
          </cell>
          <cell r="CL206">
            <v>12095.03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0.24</v>
          </cell>
          <cell r="CT206">
            <v>1370.82</v>
          </cell>
          <cell r="CU206">
            <v>1.7388699664545997</v>
          </cell>
          <cell r="CV206">
            <v>11796.37</v>
          </cell>
          <cell r="CW206">
            <v>0</v>
          </cell>
          <cell r="CX206">
            <v>0</v>
          </cell>
          <cell r="CY206">
            <v>0.31900000000000006</v>
          </cell>
          <cell r="CZ206">
            <v>3350</v>
          </cell>
          <cell r="DA206">
            <v>3.5500000000000004E-2</v>
          </cell>
          <cell r="DB206">
            <v>196.29000000000002</v>
          </cell>
          <cell r="DC206">
            <v>0.11624999999999999</v>
          </cell>
          <cell r="DD206">
            <v>836.69999999999993</v>
          </cell>
          <cell r="DE206">
            <v>0.47075</v>
          </cell>
          <cell r="DF206">
            <v>4382.99</v>
          </cell>
          <cell r="DG206">
            <v>3.6749999999999998E-2</v>
          </cell>
          <cell r="DH206">
            <v>455.96000000000004</v>
          </cell>
          <cell r="DI206">
            <v>0.39374997741999995</v>
          </cell>
          <cell r="DJ206">
            <v>2240.3000000000002</v>
          </cell>
          <cell r="DK206">
            <v>0.20325000000000001</v>
          </cell>
          <cell r="DL206">
            <v>1197.4499999999998</v>
          </cell>
          <cell r="DM206">
            <v>0.63374997741999994</v>
          </cell>
          <cell r="DN206">
            <v>3893.7099999999996</v>
          </cell>
          <cell r="DO206">
            <v>0.18205999919868002</v>
          </cell>
          <cell r="DP206">
            <v>1298.51</v>
          </cell>
          <cell r="DQ206">
            <v>0.24444997277079999</v>
          </cell>
          <cell r="DR206">
            <v>1904.7000000000003</v>
          </cell>
          <cell r="DS206">
            <v>1.30325999900112</v>
          </cell>
          <cell r="DT206">
            <v>8538.64</v>
          </cell>
          <cell r="DU206">
            <v>1.7388699664545997</v>
          </cell>
          <cell r="DV206">
            <v>11796.37</v>
          </cell>
          <cell r="DW206">
            <v>8.1763699438746009</v>
          </cell>
          <cell r="DX206">
            <v>53401.1</v>
          </cell>
          <cell r="DY206" t="str">
            <v/>
          </cell>
          <cell r="DZ206">
            <v>0</v>
          </cell>
          <cell r="EA206">
            <v>6531.1501762473335</v>
          </cell>
        </row>
        <row r="207">
          <cell r="B207">
            <v>256455</v>
          </cell>
          <cell r="C207" t="str">
            <v>მაიონეზი–ჩვ.სუფრა ზეითუნ_820გრ/891მლ*6</v>
          </cell>
          <cell r="D207" t="str">
            <v>TON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-7.3800000000000003E-3</v>
          </cell>
          <cell r="AL207">
            <v>-78.959999999999994</v>
          </cell>
          <cell r="AO207">
            <v>-7.3800000000000003E-3</v>
          </cell>
          <cell r="AP207">
            <v>-78.959999999999994</v>
          </cell>
          <cell r="AS207">
            <v>0</v>
          </cell>
          <cell r="AT207">
            <v>0</v>
          </cell>
          <cell r="AU207">
            <v>7.3800000000000003E-3</v>
          </cell>
          <cell r="AV207">
            <v>71.19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4.9199999999999999E-3</v>
          </cell>
          <cell r="BL207">
            <v>50.05</v>
          </cell>
          <cell r="BM207">
            <v>9.8399999999999998E-3</v>
          </cell>
          <cell r="BN207">
            <v>100.1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1.4760000000000001E-2</v>
          </cell>
          <cell r="BT207">
            <v>150.15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1.4760000000000001E-2</v>
          </cell>
          <cell r="CL207">
            <v>150.15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7.3800000000000003E-3</v>
          </cell>
          <cell r="DX207">
            <v>71.190000000000012</v>
          </cell>
          <cell r="DY207" t="str">
            <v/>
          </cell>
          <cell r="DZ207">
            <v>0</v>
          </cell>
          <cell r="EA207">
            <v>9646.3414634146357</v>
          </cell>
        </row>
        <row r="208">
          <cell r="B208">
            <v>167307</v>
          </cell>
          <cell r="C208" t="str">
            <v>მაიონეზი–ჩვ.სუფრა ზეითუნ_184გრ/200მლ*40</v>
          </cell>
          <cell r="D208" t="str">
            <v>TON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2.944E-3</v>
          </cell>
          <cell r="AJ208">
            <v>34.56</v>
          </cell>
          <cell r="AK208">
            <v>4.0480000000000004E-3</v>
          </cell>
          <cell r="AL208">
            <v>46.6</v>
          </cell>
          <cell r="AO208">
            <v>6.992E-3</v>
          </cell>
          <cell r="AP208">
            <v>81.16</v>
          </cell>
          <cell r="AS208">
            <v>0</v>
          </cell>
          <cell r="AT208">
            <v>0</v>
          </cell>
          <cell r="AU208">
            <v>3.4776000000000001E-2</v>
          </cell>
          <cell r="AV208">
            <v>399.42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1.1039999999999999E-3</v>
          </cell>
          <cell r="BD208">
            <v>12.96</v>
          </cell>
          <cell r="BE208">
            <v>1.1039999999999999E-3</v>
          </cell>
          <cell r="BF208">
            <v>12.96</v>
          </cell>
          <cell r="BG208">
            <v>0</v>
          </cell>
          <cell r="BH208">
            <v>0</v>
          </cell>
          <cell r="BI208">
            <v>7.3600000000000002E-3</v>
          </cell>
          <cell r="BJ208">
            <v>86.4</v>
          </cell>
          <cell r="BK208">
            <v>0</v>
          </cell>
          <cell r="BL208">
            <v>0</v>
          </cell>
          <cell r="BM208">
            <v>9.2000000000000003E-4</v>
          </cell>
          <cell r="BN208">
            <v>10.8</v>
          </cell>
          <cell r="BO208">
            <v>4.2319999999999997E-3</v>
          </cell>
          <cell r="BP208">
            <v>49.38</v>
          </cell>
          <cell r="BQ208">
            <v>0</v>
          </cell>
          <cell r="BR208">
            <v>0</v>
          </cell>
          <cell r="BS208">
            <v>1.2512000000000001E-2</v>
          </cell>
          <cell r="BT208">
            <v>146.58000000000001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1.2880000000000001E-3</v>
          </cell>
          <cell r="CF208">
            <v>13.55</v>
          </cell>
          <cell r="CG208">
            <v>0</v>
          </cell>
          <cell r="CH208">
            <v>0</v>
          </cell>
          <cell r="CI208">
            <v>1.2880000000000001E-3</v>
          </cell>
          <cell r="CJ208">
            <v>13.55</v>
          </cell>
          <cell r="CK208">
            <v>1.38E-2</v>
          </cell>
          <cell r="CL208">
            <v>160.13000000000002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4.5999999999999999E-3</v>
          </cell>
          <cell r="CV208">
            <v>54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6.0720000000000001E-3</v>
          </cell>
          <cell r="DD208">
            <v>65.25</v>
          </cell>
          <cell r="DE208">
            <v>6.0720000000000001E-3</v>
          </cell>
          <cell r="DF208">
            <v>65.25</v>
          </cell>
          <cell r="DG208">
            <v>0</v>
          </cell>
          <cell r="DH208">
            <v>0</v>
          </cell>
          <cell r="DI208">
            <v>2.2079999999999999E-3</v>
          </cell>
          <cell r="DJ208">
            <v>25.92</v>
          </cell>
          <cell r="DK208">
            <v>0</v>
          </cell>
          <cell r="DL208">
            <v>0</v>
          </cell>
          <cell r="DM208">
            <v>2.2079999999999999E-3</v>
          </cell>
          <cell r="DN208">
            <v>25.92</v>
          </cell>
          <cell r="DO208">
            <v>2.7599999999999999E-3</v>
          </cell>
          <cell r="DP208">
            <v>32.4</v>
          </cell>
          <cell r="DQ208">
            <v>0</v>
          </cell>
          <cell r="DR208">
            <v>0</v>
          </cell>
          <cell r="DS208">
            <v>1.8400000000000001E-3</v>
          </cell>
          <cell r="DT208">
            <v>21.6</v>
          </cell>
          <cell r="DU208">
            <v>4.5999999999999999E-3</v>
          </cell>
          <cell r="DV208">
            <v>54</v>
          </cell>
          <cell r="DW208">
            <v>3.4776000000000001E-2</v>
          </cell>
          <cell r="DX208">
            <v>399.42000000000007</v>
          </cell>
          <cell r="DY208" t="str">
            <v/>
          </cell>
          <cell r="DZ208">
            <v>0</v>
          </cell>
          <cell r="EA208">
            <v>11485.507246376814</v>
          </cell>
        </row>
        <row r="209">
          <cell r="B209">
            <v>167308</v>
          </cell>
          <cell r="C209" t="str">
            <v>მაიონეზი–ჩვ.სუფრა ზეითუნ_368გრ/400მლ*24</v>
          </cell>
          <cell r="D209" t="str">
            <v>TON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O209">
            <v>0</v>
          </cell>
          <cell r="AP209">
            <v>0</v>
          </cell>
          <cell r="AS209">
            <v>0</v>
          </cell>
          <cell r="AT209">
            <v>0</v>
          </cell>
          <cell r="AU209">
            <v>2.4288000000000001E-2</v>
          </cell>
          <cell r="AV209">
            <v>256.55</v>
          </cell>
          <cell r="AW209">
            <v>0</v>
          </cell>
          <cell r="AX209">
            <v>0</v>
          </cell>
          <cell r="AY209">
            <v>3.6800000000000001E-3</v>
          </cell>
          <cell r="AZ209">
            <v>39.9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3.6800000000000001E-3</v>
          </cell>
          <cell r="BF209">
            <v>39.9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2.2079999999999999E-3</v>
          </cell>
          <cell r="CF209">
            <v>22.5</v>
          </cell>
          <cell r="CG209">
            <v>0</v>
          </cell>
          <cell r="CH209">
            <v>0</v>
          </cell>
          <cell r="CI209">
            <v>2.2079999999999999E-3</v>
          </cell>
          <cell r="CJ209">
            <v>22.5</v>
          </cell>
          <cell r="CK209">
            <v>2.2079999999999999E-3</v>
          </cell>
          <cell r="CL209">
            <v>22.5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7.36E-4</v>
          </cell>
          <cell r="CV209">
            <v>7.98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1.5455999999999999E-2</v>
          </cell>
          <cell r="DD209">
            <v>161.03</v>
          </cell>
          <cell r="DE209">
            <v>1.5455999999999999E-2</v>
          </cell>
          <cell r="DF209">
            <v>161.03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2.2079999999999999E-3</v>
          </cell>
          <cell r="DL209">
            <v>25.14</v>
          </cell>
          <cell r="DM209">
            <v>2.2079999999999999E-3</v>
          </cell>
          <cell r="DN209">
            <v>25.14</v>
          </cell>
          <cell r="DO209">
            <v>7.36E-4</v>
          </cell>
          <cell r="DP209">
            <v>7.98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7.36E-4</v>
          </cell>
          <cell r="DV209">
            <v>7.98</v>
          </cell>
          <cell r="DW209">
            <v>2.4288000000000001E-2</v>
          </cell>
          <cell r="DX209">
            <v>256.55</v>
          </cell>
          <cell r="DY209" t="str">
            <v/>
          </cell>
          <cell r="DZ209">
            <v>0</v>
          </cell>
          <cell r="EA209">
            <v>10562.829380764164</v>
          </cell>
        </row>
        <row r="210">
          <cell r="A210">
            <v>1</v>
          </cell>
          <cell r="B210">
            <v>358220</v>
          </cell>
          <cell r="C210" t="str">
            <v>მაიონეზი-ჩვენი სუფრა-სამარხვო-8კგ_55%</v>
          </cell>
          <cell r="D210" t="str">
            <v>TON</v>
          </cell>
          <cell r="E210">
            <v>0</v>
          </cell>
          <cell r="F210">
            <v>0</v>
          </cell>
          <cell r="G210">
            <v>0.112</v>
          </cell>
          <cell r="H210">
            <v>725.92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O210">
            <v>0.112</v>
          </cell>
          <cell r="P210">
            <v>725.92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O210">
            <v>0</v>
          </cell>
          <cell r="AP210">
            <v>0</v>
          </cell>
          <cell r="AS210">
            <v>0</v>
          </cell>
          <cell r="AT210">
            <v>0</v>
          </cell>
          <cell r="AU210">
            <v>0.2</v>
          </cell>
          <cell r="AV210">
            <v>1297.92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8.0000000000000002E-3</v>
          </cell>
          <cell r="BJ210">
            <v>52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8.0000000000000002E-3</v>
          </cell>
          <cell r="BT210">
            <v>52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6.4000000000000001E-2</v>
          </cell>
          <cell r="CH210">
            <v>416</v>
          </cell>
          <cell r="CI210">
            <v>6.4000000000000001E-2</v>
          </cell>
          <cell r="CJ210">
            <v>416</v>
          </cell>
          <cell r="CK210">
            <v>7.2000000000000008E-2</v>
          </cell>
          <cell r="CL210">
            <v>468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1.6E-2</v>
          </cell>
          <cell r="DN210">
            <v>104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0.2</v>
          </cell>
          <cell r="DX210">
            <v>1297.92</v>
          </cell>
          <cell r="DY210" t="str">
            <v>Hedef</v>
          </cell>
          <cell r="DZ210">
            <v>0</v>
          </cell>
          <cell r="EA210">
            <v>6489.6</v>
          </cell>
        </row>
        <row r="211">
          <cell r="A211">
            <v>1</v>
          </cell>
          <cell r="B211">
            <v>358221</v>
          </cell>
          <cell r="C211" t="str">
            <v>მაიონეზი-ჩვენი სუფრა-8კგ_55%</v>
          </cell>
          <cell r="D211" t="str">
            <v>TON</v>
          </cell>
          <cell r="E211">
            <v>0.04</v>
          </cell>
          <cell r="F211">
            <v>260</v>
          </cell>
          <cell r="G211">
            <v>5.6000000000000001E-2</v>
          </cell>
          <cell r="H211">
            <v>364</v>
          </cell>
          <cell r="I211">
            <v>0.128</v>
          </cell>
          <cell r="J211">
            <v>907.2</v>
          </cell>
          <cell r="K211">
            <v>0</v>
          </cell>
          <cell r="L211">
            <v>0</v>
          </cell>
          <cell r="O211">
            <v>0.224</v>
          </cell>
          <cell r="P211">
            <v>1531.2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O211">
            <v>0</v>
          </cell>
          <cell r="AP211">
            <v>0</v>
          </cell>
          <cell r="AS211">
            <v>0</v>
          </cell>
          <cell r="AT211">
            <v>0</v>
          </cell>
          <cell r="AU211">
            <v>0.624</v>
          </cell>
          <cell r="AV211">
            <v>4267.5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0.04</v>
          </cell>
          <cell r="BH211">
            <v>283.5</v>
          </cell>
          <cell r="BI211">
            <v>3.2000000000000001E-2</v>
          </cell>
          <cell r="BJ211">
            <v>226.8</v>
          </cell>
          <cell r="BK211">
            <v>8.0000000000000002E-3</v>
          </cell>
          <cell r="BL211">
            <v>52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0.08</v>
          </cell>
          <cell r="BT211">
            <v>562.29999999999995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0.32</v>
          </cell>
          <cell r="CH211">
            <v>2174</v>
          </cell>
          <cell r="CI211">
            <v>0.32</v>
          </cell>
          <cell r="CJ211">
            <v>2174</v>
          </cell>
          <cell r="CK211">
            <v>0.4</v>
          </cell>
          <cell r="CL211">
            <v>2736.3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0.624</v>
          </cell>
          <cell r="DX211">
            <v>4267.5</v>
          </cell>
          <cell r="DY211" t="str">
            <v>Hedef</v>
          </cell>
          <cell r="DZ211">
            <v>0</v>
          </cell>
          <cell r="EA211">
            <v>6838.9423076923076</v>
          </cell>
        </row>
        <row r="212">
          <cell r="B212">
            <v>274968</v>
          </cell>
          <cell r="C212" t="str">
            <v>მაიონეზი ჩვენი სუფრა სამარხო 200მლ_10ც+1ც</v>
          </cell>
          <cell r="D212" t="str">
            <v>TON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O212">
            <v>0</v>
          </cell>
          <cell r="AP212">
            <v>0</v>
          </cell>
          <cell r="AS212">
            <v>0</v>
          </cell>
          <cell r="AT212">
            <v>0</v>
          </cell>
          <cell r="AU212">
            <v>1.4168E-2</v>
          </cell>
          <cell r="AV212">
            <v>135.71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2.0240000000000002E-3</v>
          </cell>
          <cell r="BN212">
            <v>19.3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2.0240000000000002E-3</v>
          </cell>
          <cell r="BT212">
            <v>19.3</v>
          </cell>
          <cell r="BU212">
            <v>0</v>
          </cell>
          <cell r="BV212">
            <v>0</v>
          </cell>
          <cell r="BW212">
            <v>2.0240000000000002E-3</v>
          </cell>
          <cell r="BX212">
            <v>19.3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2.0240000000000002E-3</v>
          </cell>
          <cell r="CJ212">
            <v>19.3</v>
          </cell>
          <cell r="CK212">
            <v>4.0480000000000004E-3</v>
          </cell>
          <cell r="CL212">
            <v>38.6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6.0720000000000001E-3</v>
          </cell>
          <cell r="CV212">
            <v>58.5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4.0480000000000004E-3</v>
          </cell>
          <cell r="DJ212">
            <v>38.61</v>
          </cell>
          <cell r="DK212">
            <v>0</v>
          </cell>
          <cell r="DL212">
            <v>0</v>
          </cell>
          <cell r="DM212">
            <v>4.0480000000000004E-3</v>
          </cell>
          <cell r="DN212">
            <v>38.61</v>
          </cell>
          <cell r="DO212">
            <v>4.0480000000000004E-3</v>
          </cell>
          <cell r="DP212">
            <v>38.6</v>
          </cell>
          <cell r="DQ212">
            <v>0</v>
          </cell>
          <cell r="DR212">
            <v>0</v>
          </cell>
          <cell r="DS212">
            <v>2.0240000000000002E-3</v>
          </cell>
          <cell r="DT212">
            <v>19.899999999999999</v>
          </cell>
          <cell r="DU212">
            <v>6.0720000000000001E-3</v>
          </cell>
          <cell r="DV212">
            <v>58.5</v>
          </cell>
          <cell r="DW212">
            <v>1.4168E-2</v>
          </cell>
          <cell r="DX212">
            <v>135.71</v>
          </cell>
          <cell r="DY212" t="str">
            <v/>
          </cell>
          <cell r="DZ212">
            <v>0</v>
          </cell>
          <cell r="EA212">
            <v>9578.6278938452851</v>
          </cell>
        </row>
        <row r="213">
          <cell r="B213">
            <v>275032</v>
          </cell>
          <cell r="C213" t="str">
            <v>მაიონეზი ჩვენი სუფრა სამარხო 900მლ_10ც+1ც</v>
          </cell>
          <cell r="D213" t="str">
            <v>TON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O213">
            <v>0</v>
          </cell>
          <cell r="AP213">
            <v>0</v>
          </cell>
          <cell r="AS213">
            <v>0</v>
          </cell>
          <cell r="AT213">
            <v>0</v>
          </cell>
          <cell r="AU213">
            <v>3.6431999999999999E-2</v>
          </cell>
          <cell r="AV213">
            <v>303.36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9.1079999999999998E-3</v>
          </cell>
          <cell r="BZ213">
            <v>74.260000000000005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9.1079999999999998E-3</v>
          </cell>
          <cell r="CF213">
            <v>74.260000000000005</v>
          </cell>
          <cell r="CG213">
            <v>0</v>
          </cell>
          <cell r="CH213">
            <v>0</v>
          </cell>
          <cell r="CI213">
            <v>1.8216E-2</v>
          </cell>
          <cell r="CJ213">
            <v>148.52000000000001</v>
          </cell>
          <cell r="CK213">
            <v>1.8216E-2</v>
          </cell>
          <cell r="CL213">
            <v>148.52000000000001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1.8216E-2</v>
          </cell>
          <cell r="CV213">
            <v>154.84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1.8216E-2</v>
          </cell>
          <cell r="DP213">
            <v>154.84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1.8216E-2</v>
          </cell>
          <cell r="DV213">
            <v>154.84</v>
          </cell>
          <cell r="DW213">
            <v>3.6431999999999999E-2</v>
          </cell>
          <cell r="DX213">
            <v>303.36</v>
          </cell>
          <cell r="DY213" t="str">
            <v/>
          </cell>
          <cell r="DZ213">
            <v>0</v>
          </cell>
          <cell r="EA213">
            <v>8326.745718050066</v>
          </cell>
        </row>
        <row r="214">
          <cell r="B214">
            <v>275031</v>
          </cell>
          <cell r="C214" t="str">
            <v>მაიონეზი ჩვენი სუფრა ზეით.900მლ_10ც+1ც</v>
          </cell>
          <cell r="D214" t="str">
            <v>TON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9.1079999999999998E-3</v>
          </cell>
          <cell r="T214">
            <v>78.72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9.1079999999999998E-3</v>
          </cell>
          <cell r="Z214">
            <v>78.72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O214">
            <v>0</v>
          </cell>
          <cell r="AP214">
            <v>0</v>
          </cell>
          <cell r="AS214">
            <v>0</v>
          </cell>
          <cell r="AT214">
            <v>0</v>
          </cell>
          <cell r="AU214">
            <v>2.7324000000000001E-2</v>
          </cell>
          <cell r="AV214">
            <v>232.88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1.8216E-2</v>
          </cell>
          <cell r="CV214">
            <v>154.16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1.8216E-2</v>
          </cell>
          <cell r="DP214">
            <v>154.16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1.8216E-2</v>
          </cell>
          <cell r="DV214">
            <v>154.16</v>
          </cell>
          <cell r="DW214">
            <v>2.7324000000000001E-2</v>
          </cell>
          <cell r="DX214">
            <v>232.88</v>
          </cell>
          <cell r="DY214" t="str">
            <v/>
          </cell>
          <cell r="DZ214">
            <v>0</v>
          </cell>
          <cell r="EA214">
            <v>8522.9102620406957</v>
          </cell>
        </row>
        <row r="215">
          <cell r="B215">
            <v>274622</v>
          </cell>
          <cell r="C215" t="str">
            <v>მაიონეზი ჩვენი სუფრა სამარხო 400მლ_10ც+1ც</v>
          </cell>
          <cell r="D215" t="str">
            <v>TON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2E-3</v>
          </cell>
          <cell r="T215">
            <v>73.92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2E-3</v>
          </cell>
          <cell r="Z215">
            <v>73.92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O215">
            <v>0</v>
          </cell>
          <cell r="AP215">
            <v>0</v>
          </cell>
          <cell r="AS215">
            <v>0</v>
          </cell>
          <cell r="AT215">
            <v>0</v>
          </cell>
          <cell r="AU215">
            <v>7.0000000000000001E-3</v>
          </cell>
          <cell r="AV215">
            <v>259.5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1E-3</v>
          </cell>
          <cell r="BN215">
            <v>37.35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1E-3</v>
          </cell>
          <cell r="BT215">
            <v>37.35</v>
          </cell>
          <cell r="BU215">
            <v>0</v>
          </cell>
          <cell r="BV215">
            <v>0</v>
          </cell>
          <cell r="BW215">
            <v>1E-3</v>
          </cell>
          <cell r="BX215">
            <v>37.35</v>
          </cell>
          <cell r="BY215">
            <v>2E-3</v>
          </cell>
          <cell r="BZ215">
            <v>72.38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3.0000000000000001E-3</v>
          </cell>
          <cell r="CJ215">
            <v>109.73</v>
          </cell>
          <cell r="CK215">
            <v>4.0000000000000001E-3</v>
          </cell>
          <cell r="CL215">
            <v>147.08000000000001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1E-3</v>
          </cell>
          <cell r="CV215">
            <v>38.5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1E-3</v>
          </cell>
          <cell r="DT215">
            <v>38.5</v>
          </cell>
          <cell r="DU215">
            <v>1E-3</v>
          </cell>
          <cell r="DV215">
            <v>38.5</v>
          </cell>
          <cell r="DW215">
            <v>7.0000000000000001E-3</v>
          </cell>
          <cell r="DX215">
            <v>259.5</v>
          </cell>
          <cell r="DY215" t="str">
            <v/>
          </cell>
          <cell r="DZ215">
            <v>0</v>
          </cell>
          <cell r="EA215">
            <v>37071.428571428572</v>
          </cell>
        </row>
        <row r="216">
          <cell r="A216">
            <v>0.15270017999999999</v>
          </cell>
          <cell r="B216">
            <v>388730</v>
          </cell>
          <cell r="C216" t="str">
            <v>სიმ.ზეთი-ფინალი-5ლ 1ც+1ც მაიონ.ჩვ.სუფრა_891მლ/820გ</v>
          </cell>
          <cell r="D216" t="str">
            <v>TON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O216">
            <v>0</v>
          </cell>
          <cell r="AP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 t="str">
            <v/>
          </cell>
          <cell r="DZ216" t="str">
            <v>pasiv</v>
          </cell>
          <cell r="EA216" t="e">
            <v>#DIV/0!</v>
          </cell>
        </row>
        <row r="217">
          <cell r="A217">
            <v>0.15270017999999999</v>
          </cell>
          <cell r="B217">
            <v>389097</v>
          </cell>
          <cell r="C217" t="str">
            <v>სიმ.ზეთი-მოჯუზე-5ლ 1ც+1ც მაიონ.ჩვ.სუფრა_891მლ/820გ</v>
          </cell>
          <cell r="D217" t="str">
            <v>TON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O217">
            <v>0</v>
          </cell>
          <cell r="AP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 t="str">
            <v/>
          </cell>
          <cell r="DZ217" t="str">
            <v>pasiv</v>
          </cell>
          <cell r="EA217" t="e">
            <v>#DIV/0!</v>
          </cell>
        </row>
        <row r="218">
          <cell r="A218">
            <v>0.15396100000000001</v>
          </cell>
          <cell r="B218">
            <v>386461</v>
          </cell>
          <cell r="C218" t="str">
            <v>მზ.ზეთი-ფინალი-5ლ 1ც+1ც მაიონეზი–ჩვ.სუფრა-900მლ</v>
          </cell>
          <cell r="D218" t="str">
            <v>TON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O218">
            <v>0</v>
          </cell>
          <cell r="AP218">
            <v>0</v>
          </cell>
          <cell r="AS218">
            <v>0</v>
          </cell>
          <cell r="AT218">
            <v>0</v>
          </cell>
          <cell r="AU218">
            <v>9.9360270959999997E-3</v>
          </cell>
          <cell r="AV218">
            <v>344.52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1.6560045160000001E-3</v>
          </cell>
          <cell r="CV218">
            <v>54.52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8.2800225800000009E-3</v>
          </cell>
          <cell r="DJ218">
            <v>290</v>
          </cell>
          <cell r="DK218">
            <v>0</v>
          </cell>
          <cell r="DL218">
            <v>0</v>
          </cell>
          <cell r="DM218">
            <v>8.2800225800000009E-3</v>
          </cell>
          <cell r="DN218">
            <v>290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1.6560045160000001E-3</v>
          </cell>
          <cell r="DV218">
            <v>54.52</v>
          </cell>
          <cell r="DW218">
            <v>9.9360270960000014E-3</v>
          </cell>
          <cell r="DX218">
            <v>344.52</v>
          </cell>
          <cell r="DY218" t="str">
            <v/>
          </cell>
          <cell r="DZ218">
            <v>0</v>
          </cell>
          <cell r="EA218">
            <v>34673.818486132674</v>
          </cell>
        </row>
        <row r="219">
          <cell r="A219">
            <v>0.15396100000000001</v>
          </cell>
          <cell r="B219">
            <v>386369</v>
          </cell>
          <cell r="C219" t="str">
            <v>მზ.ზ.ზოლ.სოლნიშ_5ლ 1ც+1ც მაიონ_ჩვ.სუფ.სამრხვ-900მლ</v>
          </cell>
          <cell r="D219" t="str">
            <v>TON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O219">
            <v>0</v>
          </cell>
          <cell r="AP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 t="str">
            <v/>
          </cell>
          <cell r="DZ219" t="str">
            <v>pasiv</v>
          </cell>
          <cell r="EA219" t="e">
            <v>#DIV/0!</v>
          </cell>
        </row>
        <row r="220">
          <cell r="A220">
            <v>0.16819013000000005</v>
          </cell>
          <cell r="B220">
            <v>386462</v>
          </cell>
          <cell r="C220" t="str">
            <v>მზ.ზ.ზოლ.სოლნიშ_1ლ 1ც+1ც მაიონ_ჩვ.სუფრა 200მლ</v>
          </cell>
          <cell r="D220" t="str">
            <v>TON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O220">
            <v>0</v>
          </cell>
          <cell r="AP220">
            <v>0</v>
          </cell>
          <cell r="AS220">
            <v>0</v>
          </cell>
          <cell r="AT220">
            <v>0</v>
          </cell>
          <cell r="AU220">
            <v>2.2080000266400009E-3</v>
          </cell>
          <cell r="AV220">
            <v>67.2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2.2080000266400009E-3</v>
          </cell>
          <cell r="CV220">
            <v>67.2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2.2080000266400009E-3</v>
          </cell>
          <cell r="DT220">
            <v>67.2</v>
          </cell>
          <cell r="DU220">
            <v>2.2080000266400009E-3</v>
          </cell>
          <cell r="DV220">
            <v>67.2</v>
          </cell>
          <cell r="DW220">
            <v>2.2080000266400009E-3</v>
          </cell>
          <cell r="DX220">
            <v>67.2</v>
          </cell>
          <cell r="DY220" t="str">
            <v/>
          </cell>
          <cell r="DZ220">
            <v>0</v>
          </cell>
          <cell r="EA220">
            <v>30434.782241493376</v>
          </cell>
        </row>
        <row r="221">
          <cell r="A221">
            <v>0.16819019999999996</v>
          </cell>
          <cell r="B221">
            <v>386464</v>
          </cell>
          <cell r="C221" t="str">
            <v>მზ.ზ.ზოლ.სოლნიშ_2ლ 1ც+1ც მაიონ_ჩვ.სუფ. სამრხვ-400მ</v>
          </cell>
          <cell r="D221" t="str">
            <v>TON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O221">
            <v>0</v>
          </cell>
          <cell r="AP221">
            <v>0</v>
          </cell>
          <cell r="AS221">
            <v>0</v>
          </cell>
          <cell r="AT221">
            <v>0</v>
          </cell>
          <cell r="AU221">
            <v>2.2080009455999997E-3</v>
          </cell>
          <cell r="AV221">
            <v>66.900000000000006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2.2080009455999997E-3</v>
          </cell>
          <cell r="CV221">
            <v>66.900000000000006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2.2080009455999997E-3</v>
          </cell>
          <cell r="DT221">
            <v>66.900000000000006</v>
          </cell>
          <cell r="DU221">
            <v>2.2080009455999997E-3</v>
          </cell>
          <cell r="DV221">
            <v>66.900000000000006</v>
          </cell>
          <cell r="DW221">
            <v>2.2080009455999997E-3</v>
          </cell>
          <cell r="DX221">
            <v>66.900000000000006</v>
          </cell>
          <cell r="DY221" t="str">
            <v/>
          </cell>
          <cell r="DZ221">
            <v>0</v>
          </cell>
          <cell r="EA221">
            <v>30298.90006764498</v>
          </cell>
        </row>
        <row r="222">
          <cell r="A222">
            <v>0.15396100000000001</v>
          </cell>
          <cell r="B222">
            <v>386460</v>
          </cell>
          <cell r="C222" t="str">
            <v>მზ.ზეთი-ჩვ.სუფრა-5ლ 1ც+1ც მაიონ_ჩვ.სუფ.ზეით. 900მლ</v>
          </cell>
          <cell r="D222" t="str">
            <v>TON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O222">
            <v>0</v>
          </cell>
          <cell r="AP222">
            <v>0</v>
          </cell>
          <cell r="AS222">
            <v>0</v>
          </cell>
          <cell r="AT222">
            <v>0</v>
          </cell>
          <cell r="AU222">
            <v>9.9360270959999997E-3</v>
          </cell>
          <cell r="AV222">
            <v>325.92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9.9360270959999997E-3</v>
          </cell>
          <cell r="CV222">
            <v>325.92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9.9360270959999997E-3</v>
          </cell>
          <cell r="DR222">
            <v>325.92</v>
          </cell>
          <cell r="DS222">
            <v>0</v>
          </cell>
          <cell r="DT222">
            <v>0</v>
          </cell>
          <cell r="DU222">
            <v>9.9360270959999997E-3</v>
          </cell>
          <cell r="DV222">
            <v>325.92</v>
          </cell>
          <cell r="DW222">
            <v>9.9360270959999997E-3</v>
          </cell>
          <cell r="DX222">
            <v>325.92</v>
          </cell>
          <cell r="DY222" t="str">
            <v/>
          </cell>
          <cell r="DZ222">
            <v>0</v>
          </cell>
          <cell r="EA222">
            <v>32801.842914781038</v>
          </cell>
        </row>
        <row r="223">
          <cell r="A223">
            <v>0.16819013000000005</v>
          </cell>
          <cell r="B223">
            <v>386463</v>
          </cell>
          <cell r="C223" t="str">
            <v>მზ.ზეთი-ჩვ.სუფრა-1ლ 1ც+1ც მაიონ_ჩვ.სუფ.ზეით. 200მლ</v>
          </cell>
          <cell r="D223" t="str">
            <v>TON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O223">
            <v>0</v>
          </cell>
          <cell r="AP223">
            <v>0</v>
          </cell>
          <cell r="AS223">
            <v>0</v>
          </cell>
          <cell r="AT223">
            <v>0</v>
          </cell>
          <cell r="AU223">
            <v>1.4352000173160006E-2</v>
          </cell>
          <cell r="AV223">
            <v>422.35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1.4352000173160006E-2</v>
          </cell>
          <cell r="CV223">
            <v>422.35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1.1040000133200004E-3</v>
          </cell>
          <cell r="DP223">
            <v>32.590000000000003</v>
          </cell>
          <cell r="DQ223">
            <v>1.1040000133200004E-2</v>
          </cell>
          <cell r="DR223">
            <v>322.56</v>
          </cell>
          <cell r="DS223">
            <v>2.2080000266400009E-3</v>
          </cell>
          <cell r="DT223">
            <v>67.2</v>
          </cell>
          <cell r="DU223">
            <v>1.4352000173160006E-2</v>
          </cell>
          <cell r="DV223">
            <v>422.35</v>
          </cell>
          <cell r="DW223">
            <v>1.4352000173160006E-2</v>
          </cell>
          <cell r="DX223">
            <v>422.35</v>
          </cell>
          <cell r="DY223" t="str">
            <v/>
          </cell>
          <cell r="DZ223">
            <v>0</v>
          </cell>
          <cell r="EA223">
            <v>29427.953937030055</v>
          </cell>
        </row>
        <row r="224">
          <cell r="A224">
            <v>0.16819019999999996</v>
          </cell>
          <cell r="B224">
            <v>386465</v>
          </cell>
          <cell r="C224" t="str">
            <v>მზ.ზეთი-ჩვ.სუფრა-2ლ 1ც+1ც მაიონ_ჩვ.სუფ.ზეით. 400მლ</v>
          </cell>
          <cell r="D224" t="str">
            <v>TON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O224">
            <v>0</v>
          </cell>
          <cell r="AP224">
            <v>0</v>
          </cell>
          <cell r="AS224">
            <v>0</v>
          </cell>
          <cell r="AT224">
            <v>0</v>
          </cell>
          <cell r="AU224">
            <v>1.8400007879999995E-3</v>
          </cell>
          <cell r="AV224">
            <v>54.08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1.8400007879999995E-3</v>
          </cell>
          <cell r="CV224">
            <v>54.08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1.8400007879999995E-3</v>
          </cell>
          <cell r="DP224">
            <v>54.08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1.8400007879999995E-3</v>
          </cell>
          <cell r="DV224">
            <v>54.08</v>
          </cell>
          <cell r="DW224">
            <v>1.8400007879999995E-3</v>
          </cell>
          <cell r="DX224">
            <v>54.08</v>
          </cell>
          <cell r="DY224" t="str">
            <v/>
          </cell>
          <cell r="DZ224">
            <v>0</v>
          </cell>
          <cell r="EA224">
            <v>29391.291760685926</v>
          </cell>
        </row>
        <row r="225">
          <cell r="B225">
            <v>275151</v>
          </cell>
          <cell r="C225" t="str">
            <v>მაიონეზი ჩვენი სუფრა 900მლ_10ც+1ც</v>
          </cell>
          <cell r="D225" t="str">
            <v>TON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9.1079999999999998E-3</v>
          </cell>
          <cell r="T225">
            <v>75.84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9.1079999999999998E-3</v>
          </cell>
          <cell r="Z225">
            <v>75.84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O225">
            <v>0</v>
          </cell>
          <cell r="AP225">
            <v>0</v>
          </cell>
          <cell r="AS225">
            <v>0</v>
          </cell>
          <cell r="AT225">
            <v>0</v>
          </cell>
          <cell r="AU225">
            <v>0.33699600000000002</v>
          </cell>
          <cell r="AV225">
            <v>2844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1.8216E-2</v>
          </cell>
          <cell r="BH225">
            <v>158</v>
          </cell>
          <cell r="BI225">
            <v>9.1079999999999998E-3</v>
          </cell>
          <cell r="BJ225">
            <v>76.63</v>
          </cell>
          <cell r="BK225">
            <v>1.8216E-2</v>
          </cell>
          <cell r="BL225">
            <v>158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4.5539999999999997E-2</v>
          </cell>
          <cell r="BT225">
            <v>392.63</v>
          </cell>
          <cell r="BU225">
            <v>9.1079999999999998E-3</v>
          </cell>
          <cell r="BV225">
            <v>76.63</v>
          </cell>
          <cell r="BW225">
            <v>0</v>
          </cell>
          <cell r="BX225">
            <v>0</v>
          </cell>
          <cell r="BY225">
            <v>2.7324000000000001E-2</v>
          </cell>
          <cell r="BZ225">
            <v>229.89</v>
          </cell>
          <cell r="CA225">
            <v>0</v>
          </cell>
          <cell r="CB225">
            <v>0</v>
          </cell>
          <cell r="CC225">
            <v>0.100188</v>
          </cell>
          <cell r="CD225">
            <v>842.93</v>
          </cell>
          <cell r="CE225">
            <v>0</v>
          </cell>
          <cell r="CF225">
            <v>0</v>
          </cell>
          <cell r="CG225">
            <v>0.118404</v>
          </cell>
          <cell r="CH225">
            <v>993.82</v>
          </cell>
          <cell r="CI225">
            <v>0.25502399999999997</v>
          </cell>
          <cell r="CJ225">
            <v>2143.27</v>
          </cell>
          <cell r="CK225">
            <v>0.30056399999999994</v>
          </cell>
          <cell r="CL225">
            <v>2535.9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2.7324000000000001E-2</v>
          </cell>
          <cell r="DL225">
            <v>232.26</v>
          </cell>
          <cell r="DM225">
            <v>2.7324000000000001E-2</v>
          </cell>
          <cell r="DN225">
            <v>232.26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0.33699599999999996</v>
          </cell>
          <cell r="DX225">
            <v>2844</v>
          </cell>
          <cell r="DY225" t="str">
            <v/>
          </cell>
          <cell r="DZ225">
            <v>0</v>
          </cell>
          <cell r="EA225">
            <v>8439.2693088345277</v>
          </cell>
        </row>
        <row r="226">
          <cell r="B226">
            <v>274945</v>
          </cell>
          <cell r="C226" t="str">
            <v>მაიონეზი ჩვენი სუფრა 200მლ_10ც+1ც</v>
          </cell>
          <cell r="D226" t="str">
            <v>TON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O226">
            <v>0</v>
          </cell>
          <cell r="AP226">
            <v>0</v>
          </cell>
          <cell r="AS226">
            <v>0</v>
          </cell>
          <cell r="AT226">
            <v>0</v>
          </cell>
          <cell r="AU226">
            <v>6.6792000000000004E-2</v>
          </cell>
          <cell r="AV226">
            <v>634.39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2.0240000000000002E-3</v>
          </cell>
          <cell r="BJ226">
            <v>19.3</v>
          </cell>
          <cell r="BK226">
            <v>0</v>
          </cell>
          <cell r="BL226">
            <v>0</v>
          </cell>
          <cell r="BM226">
            <v>2.0240000000000002E-3</v>
          </cell>
          <cell r="BN226">
            <v>19.899999999999999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4.0480000000000004E-3</v>
          </cell>
          <cell r="BT226">
            <v>39.200000000000003</v>
          </cell>
          <cell r="BU226">
            <v>2.0240000000000001E-2</v>
          </cell>
          <cell r="BV226">
            <v>194.22</v>
          </cell>
          <cell r="BW226">
            <v>4.0480000000000004E-3</v>
          </cell>
          <cell r="BX226">
            <v>39.200000000000003</v>
          </cell>
          <cell r="BY226">
            <v>4.0480000000000004E-3</v>
          </cell>
          <cell r="BZ226">
            <v>37.409999999999997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1.0120000000000001E-2</v>
          </cell>
          <cell r="CF226">
            <v>93.53</v>
          </cell>
          <cell r="CG226">
            <v>0</v>
          </cell>
          <cell r="CH226">
            <v>0</v>
          </cell>
          <cell r="CI226">
            <v>3.8455999999999997E-2</v>
          </cell>
          <cell r="CJ226">
            <v>364.36</v>
          </cell>
          <cell r="CK226">
            <v>4.2504E-2</v>
          </cell>
          <cell r="CL226">
            <v>403.56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1.4168E-2</v>
          </cell>
          <cell r="CV226">
            <v>133.12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2.0240000000000002E-3</v>
          </cell>
          <cell r="DH226">
            <v>19.899999999999999</v>
          </cell>
          <cell r="DI226">
            <v>6.0720000000000001E-3</v>
          </cell>
          <cell r="DJ226">
            <v>57.91</v>
          </cell>
          <cell r="DK226">
            <v>2.0240000000000002E-3</v>
          </cell>
          <cell r="DL226">
            <v>19.899999999999999</v>
          </cell>
          <cell r="DM226">
            <v>1.0120000000000001E-2</v>
          </cell>
          <cell r="DN226">
            <v>97.71</v>
          </cell>
          <cell r="DO226">
            <v>1.0120000000000001E-2</v>
          </cell>
          <cell r="DP226">
            <v>94.12</v>
          </cell>
          <cell r="DQ226">
            <v>2.0240000000000002E-3</v>
          </cell>
          <cell r="DR226">
            <v>19.100000000000001</v>
          </cell>
          <cell r="DS226">
            <v>2.0240000000000002E-3</v>
          </cell>
          <cell r="DT226">
            <v>19.899999999999999</v>
          </cell>
          <cell r="DU226">
            <v>1.4168E-2</v>
          </cell>
          <cell r="DV226">
            <v>133.12</v>
          </cell>
          <cell r="DW226">
            <v>6.6792000000000004E-2</v>
          </cell>
          <cell r="DX226">
            <v>634.39</v>
          </cell>
          <cell r="DY226" t="str">
            <v/>
          </cell>
          <cell r="DZ226">
            <v>0</v>
          </cell>
          <cell r="EA226">
            <v>9497.9937717091852</v>
          </cell>
        </row>
        <row r="227">
          <cell r="B227">
            <v>274592</v>
          </cell>
          <cell r="C227" t="str">
            <v>მაიონეზი ჩვენი სუფრა_400მლ_10ც+1ც</v>
          </cell>
          <cell r="D227" t="str">
            <v>TON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O227">
            <v>0</v>
          </cell>
          <cell r="AP227">
            <v>0</v>
          </cell>
          <cell r="AS227">
            <v>0</v>
          </cell>
          <cell r="AT227">
            <v>0</v>
          </cell>
          <cell r="AU227">
            <v>5.2623999999999997E-2</v>
          </cell>
          <cell r="AV227">
            <v>500.11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4.0480000000000004E-3</v>
          </cell>
          <cell r="BJ227">
            <v>38.32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4.0480000000000004E-3</v>
          </cell>
          <cell r="BT227">
            <v>38.32</v>
          </cell>
          <cell r="BU227">
            <v>2.8336E-2</v>
          </cell>
          <cell r="BV227">
            <v>269.41000000000003</v>
          </cell>
          <cell r="BW227">
            <v>4.0480000000000004E-3</v>
          </cell>
          <cell r="BX227">
            <v>38.32</v>
          </cell>
          <cell r="BY227">
            <v>4.0480000000000004E-3</v>
          </cell>
          <cell r="BZ227">
            <v>38.32</v>
          </cell>
          <cell r="CA227">
            <v>0</v>
          </cell>
          <cell r="CB227">
            <v>0</v>
          </cell>
          <cell r="CC227">
            <v>4.0480000000000004E-3</v>
          </cell>
          <cell r="CD227">
            <v>38.32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4.0480000000000002E-2</v>
          </cell>
          <cell r="CJ227">
            <v>384.37</v>
          </cell>
          <cell r="CK227">
            <v>4.4528000000000005E-2</v>
          </cell>
          <cell r="CL227">
            <v>422.69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8.0960000000000008E-3</v>
          </cell>
          <cell r="CV227">
            <v>77.42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4.0480000000000004E-3</v>
          </cell>
          <cell r="DR227">
            <v>37.92</v>
          </cell>
          <cell r="DS227">
            <v>4.0480000000000004E-3</v>
          </cell>
          <cell r="DT227">
            <v>39.5</v>
          </cell>
          <cell r="DU227">
            <v>8.0960000000000008E-3</v>
          </cell>
          <cell r="DV227">
            <v>77.42</v>
          </cell>
          <cell r="DW227">
            <v>5.2624000000000004E-2</v>
          </cell>
          <cell r="DX227">
            <v>500.11</v>
          </cell>
          <cell r="DY227" t="str">
            <v/>
          </cell>
          <cell r="DZ227">
            <v>0</v>
          </cell>
          <cell r="EA227">
            <v>9503.4584980237141</v>
          </cell>
        </row>
        <row r="228">
          <cell r="B228">
            <v>274947</v>
          </cell>
          <cell r="C228" t="str">
            <v>მაიონეზი–ჩვ.სუფრა ზეითუნ_184გრ/200მლ_10ც+1ც</v>
          </cell>
          <cell r="D228" t="str">
            <v>TON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O228">
            <v>0</v>
          </cell>
          <cell r="AP228">
            <v>0</v>
          </cell>
          <cell r="AS228">
            <v>0</v>
          </cell>
          <cell r="AT228">
            <v>0</v>
          </cell>
          <cell r="AU228">
            <v>2.2263999999999999E-2</v>
          </cell>
          <cell r="AV228">
            <v>218.98</v>
          </cell>
          <cell r="AW228">
            <v>0</v>
          </cell>
          <cell r="AX228">
            <v>0</v>
          </cell>
          <cell r="AY228">
            <v>2.0240000000000002E-3</v>
          </cell>
          <cell r="AZ228">
            <v>20.6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2.0240000000000002E-3</v>
          </cell>
          <cell r="BF228">
            <v>20.6</v>
          </cell>
          <cell r="BG228">
            <v>0</v>
          </cell>
          <cell r="BH228">
            <v>0</v>
          </cell>
          <cell r="BI228">
            <v>2.0240000000000002E-3</v>
          </cell>
          <cell r="BJ228">
            <v>19.98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2.0240000000000002E-3</v>
          </cell>
          <cell r="BT228">
            <v>19.98</v>
          </cell>
          <cell r="BU228">
            <v>2.0240000000000002E-3</v>
          </cell>
          <cell r="BV228">
            <v>19.98</v>
          </cell>
          <cell r="BW228">
            <v>2.0240000000000002E-3</v>
          </cell>
          <cell r="BX228">
            <v>19.98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4.0480000000000004E-3</v>
          </cell>
          <cell r="CJ228">
            <v>39.96</v>
          </cell>
          <cell r="CK228">
            <v>6.072000000000001E-3</v>
          </cell>
          <cell r="CL228">
            <v>59.94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1.2144E-2</v>
          </cell>
          <cell r="CV228">
            <v>117.84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2.0240000000000002E-3</v>
          </cell>
          <cell r="DL228">
            <v>20.6</v>
          </cell>
          <cell r="DM228">
            <v>2.0240000000000002E-3</v>
          </cell>
          <cell r="DN228">
            <v>20.6</v>
          </cell>
          <cell r="DO228">
            <v>8.0960000000000008E-3</v>
          </cell>
          <cell r="DP228">
            <v>77.459999999999994</v>
          </cell>
          <cell r="DQ228">
            <v>2.0240000000000002E-3</v>
          </cell>
          <cell r="DR228">
            <v>19.78</v>
          </cell>
          <cell r="DS228">
            <v>2.0240000000000002E-3</v>
          </cell>
          <cell r="DT228">
            <v>20.6</v>
          </cell>
          <cell r="DU228">
            <v>1.2144E-2</v>
          </cell>
          <cell r="DV228">
            <v>117.84</v>
          </cell>
          <cell r="DW228">
            <v>2.2264000000000003E-2</v>
          </cell>
          <cell r="DX228">
            <v>218.98</v>
          </cell>
          <cell r="DY228" t="str">
            <v/>
          </cell>
          <cell r="DZ228">
            <v>0</v>
          </cell>
          <cell r="EA228">
            <v>9835.6090549766432</v>
          </cell>
        </row>
        <row r="229">
          <cell r="B229">
            <v>275048</v>
          </cell>
          <cell r="C229" t="str">
            <v>მაიონეზი–ჩვ.სუფრა ზეითუნ_820გრ/891მლ_10ც+1ც</v>
          </cell>
          <cell r="D229" t="str">
            <v>TON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9.0200000000000002E-3</v>
          </cell>
          <cell r="T229">
            <v>82.56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9.0200000000000002E-3</v>
          </cell>
          <cell r="Z229">
            <v>82.56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O229">
            <v>0</v>
          </cell>
          <cell r="AP229">
            <v>0</v>
          </cell>
          <cell r="AS229">
            <v>0</v>
          </cell>
          <cell r="AT229">
            <v>0</v>
          </cell>
          <cell r="AU229">
            <v>5.4120000000000001E-2</v>
          </cell>
          <cell r="AV229">
            <v>494.5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9.0200000000000002E-3</v>
          </cell>
          <cell r="BZ229">
            <v>80.84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9.0200000000000002E-3</v>
          </cell>
          <cell r="CJ229">
            <v>80.84</v>
          </cell>
          <cell r="CK229">
            <v>9.0200000000000002E-3</v>
          </cell>
          <cell r="CL229">
            <v>80.84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2.7060000000000001E-2</v>
          </cell>
          <cell r="CV229">
            <v>247.68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9.0200000000000002E-3</v>
          </cell>
          <cell r="DL229">
            <v>83.42</v>
          </cell>
          <cell r="DM229">
            <v>9.0200000000000002E-3</v>
          </cell>
          <cell r="DN229">
            <v>83.42</v>
          </cell>
          <cell r="DO229">
            <v>1.804E-2</v>
          </cell>
          <cell r="DP229">
            <v>161.68</v>
          </cell>
          <cell r="DQ229">
            <v>0</v>
          </cell>
          <cell r="DR229">
            <v>0</v>
          </cell>
          <cell r="DS229">
            <v>9.0200000000000002E-3</v>
          </cell>
          <cell r="DT229">
            <v>86</v>
          </cell>
          <cell r="DU229">
            <v>2.7060000000000001E-2</v>
          </cell>
          <cell r="DV229">
            <v>247.68</v>
          </cell>
          <cell r="DW229">
            <v>5.4120000000000001E-2</v>
          </cell>
          <cell r="DX229">
            <v>494.50000000000006</v>
          </cell>
          <cell r="DY229" t="str">
            <v/>
          </cell>
          <cell r="DZ229">
            <v>0</v>
          </cell>
          <cell r="EA229">
            <v>9137.1027346637111</v>
          </cell>
        </row>
        <row r="230">
          <cell r="B230">
            <v>274621</v>
          </cell>
          <cell r="C230" t="str">
            <v>მაიონეზი–ჩვ.სუფრა ზეითუნ_368გრ/400მლ_10ც+1ც</v>
          </cell>
          <cell r="D230" t="str">
            <v>TON</v>
          </cell>
          <cell r="E230">
            <v>4.0480000000000004E-3</v>
          </cell>
          <cell r="F230">
            <v>39.9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O230">
            <v>4.0480000000000004E-3</v>
          </cell>
          <cell r="P230">
            <v>39.9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4.0480000000000004E-3</v>
          </cell>
          <cell r="AL230">
            <v>38.700000000000003</v>
          </cell>
          <cell r="AO230">
            <v>4.0480000000000004E-3</v>
          </cell>
          <cell r="AP230">
            <v>38.700000000000003</v>
          </cell>
          <cell r="AS230">
            <v>0</v>
          </cell>
          <cell r="AT230">
            <v>0</v>
          </cell>
          <cell r="AU230">
            <v>6.4768000000000006E-2</v>
          </cell>
          <cell r="AV230">
            <v>621.23</v>
          </cell>
          <cell r="AW230">
            <v>0</v>
          </cell>
          <cell r="AX230">
            <v>0</v>
          </cell>
          <cell r="AY230">
            <v>4.0480000000000004E-3</v>
          </cell>
          <cell r="AZ230">
            <v>39.9</v>
          </cell>
          <cell r="BA230">
            <v>0</v>
          </cell>
          <cell r="BB230">
            <v>0</v>
          </cell>
          <cell r="BC230">
            <v>8.0960000000000008E-3</v>
          </cell>
          <cell r="BD230">
            <v>77.41</v>
          </cell>
          <cell r="BE230">
            <v>1.2144000000000002E-2</v>
          </cell>
          <cell r="BF230">
            <v>117.31</v>
          </cell>
          <cell r="BG230">
            <v>0</v>
          </cell>
          <cell r="BH230">
            <v>0</v>
          </cell>
          <cell r="BI230">
            <v>4.0480000000000004E-3</v>
          </cell>
          <cell r="BJ230">
            <v>38.700000000000003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4.0480000000000004E-3</v>
          </cell>
          <cell r="BT230">
            <v>38.700000000000003</v>
          </cell>
          <cell r="BU230">
            <v>4.0480000000000004E-3</v>
          </cell>
          <cell r="BV230">
            <v>38.700000000000003</v>
          </cell>
          <cell r="BW230">
            <v>4.0480000000000004E-3</v>
          </cell>
          <cell r="BX230">
            <v>38.700000000000003</v>
          </cell>
          <cell r="BY230">
            <v>4.0480000000000004E-3</v>
          </cell>
          <cell r="BZ230">
            <v>38.700000000000003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4.0480000000000004E-3</v>
          </cell>
          <cell r="CF230">
            <v>37.51</v>
          </cell>
          <cell r="CG230">
            <v>0</v>
          </cell>
          <cell r="CH230">
            <v>0</v>
          </cell>
          <cell r="CI230">
            <v>1.6192000000000002E-2</v>
          </cell>
          <cell r="CJ230">
            <v>153.61000000000001</v>
          </cell>
          <cell r="CK230">
            <v>2.0240000000000001E-2</v>
          </cell>
          <cell r="CL230">
            <v>192.31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1.6192000000000002E-2</v>
          </cell>
          <cell r="CV230">
            <v>153.21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8.0960000000000008E-3</v>
          </cell>
          <cell r="DH230">
            <v>79.8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8.0960000000000008E-3</v>
          </cell>
          <cell r="DN230">
            <v>79.8</v>
          </cell>
          <cell r="DO230">
            <v>8.0960000000000008E-3</v>
          </cell>
          <cell r="DP230">
            <v>75.010000000000005</v>
          </cell>
          <cell r="DQ230">
            <v>4.0480000000000004E-3</v>
          </cell>
          <cell r="DR230">
            <v>38.299999999999997</v>
          </cell>
          <cell r="DS230">
            <v>4.0480000000000004E-3</v>
          </cell>
          <cell r="DT230">
            <v>39.9</v>
          </cell>
          <cell r="DU230">
            <v>1.6192000000000002E-2</v>
          </cell>
          <cell r="DV230">
            <v>153.21</v>
          </cell>
          <cell r="DW230">
            <v>6.4768000000000006E-2</v>
          </cell>
          <cell r="DX230">
            <v>621.23</v>
          </cell>
          <cell r="DY230" t="str">
            <v/>
          </cell>
          <cell r="DZ230">
            <v>0</v>
          </cell>
          <cell r="EA230">
            <v>9591.619318181818</v>
          </cell>
        </row>
        <row r="231">
          <cell r="B231">
            <v>309308</v>
          </cell>
          <cell r="C231" t="str">
            <v>მაიონეზი-ჩვენი სუფრა-8კგ_10ც+1ც</v>
          </cell>
          <cell r="D231" t="str">
            <v>TON</v>
          </cell>
          <cell r="E231">
            <v>8.7999999999999995E-2</v>
          </cell>
          <cell r="F231">
            <v>520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O231">
            <v>8.7999999999999995E-2</v>
          </cell>
          <cell r="P231">
            <v>520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O231">
            <v>0</v>
          </cell>
          <cell r="AP231">
            <v>0</v>
          </cell>
          <cell r="AS231">
            <v>0</v>
          </cell>
          <cell r="AT231">
            <v>0</v>
          </cell>
          <cell r="AU231">
            <v>8.7999999999999995E-2</v>
          </cell>
          <cell r="AV231">
            <v>520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8.7999999999999995E-2</v>
          </cell>
          <cell r="DX231">
            <v>520</v>
          </cell>
          <cell r="DY231" t="str">
            <v/>
          </cell>
          <cell r="DZ231">
            <v>0</v>
          </cell>
          <cell r="EA231">
            <v>5909.090909090909</v>
          </cell>
        </row>
        <row r="232">
          <cell r="B232">
            <v>275100</v>
          </cell>
          <cell r="C232" t="str">
            <v>მაიონეზი-ჩვენი სუფრა-სამარხვო-8კგ_10ც+1ც</v>
          </cell>
          <cell r="D232" t="str">
            <v>TON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O232">
            <v>0</v>
          </cell>
          <cell r="AP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 t="str">
            <v/>
          </cell>
          <cell r="DZ232" t="str">
            <v>pasiv</v>
          </cell>
          <cell r="EA232" t="e">
            <v>#DIV/0!</v>
          </cell>
        </row>
        <row r="233">
          <cell r="B233">
            <v>275049</v>
          </cell>
          <cell r="C233" t="str">
            <v>მაიონეზი_ჩვენი სუფრა_891მლ_10ც+1ც</v>
          </cell>
          <cell r="D233" t="str">
            <v>TON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9.0200000000000002E-3</v>
          </cell>
          <cell r="T233">
            <v>78.72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9.0200000000000002E-3</v>
          </cell>
          <cell r="Z233">
            <v>78.72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O233">
            <v>0</v>
          </cell>
          <cell r="AP233">
            <v>0</v>
          </cell>
          <cell r="AS233">
            <v>0</v>
          </cell>
          <cell r="AT233">
            <v>0</v>
          </cell>
          <cell r="AU233">
            <v>9.0200000000000002E-2</v>
          </cell>
          <cell r="AV233">
            <v>792.12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2.7060000000000001E-2</v>
          </cell>
          <cell r="BZ233">
            <v>236.16</v>
          </cell>
          <cell r="CA233">
            <v>0</v>
          </cell>
          <cell r="CB233">
            <v>0</v>
          </cell>
          <cell r="CC233">
            <v>9.0200000000000002E-3</v>
          </cell>
          <cell r="CD233">
            <v>79.540000000000006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3.6080000000000001E-2</v>
          </cell>
          <cell r="CJ233">
            <v>315.7</v>
          </cell>
          <cell r="CK233">
            <v>3.6080000000000001E-2</v>
          </cell>
          <cell r="CL233">
            <v>315.7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1.804E-2</v>
          </cell>
          <cell r="DJ233">
            <v>159.08000000000001</v>
          </cell>
          <cell r="DK233">
            <v>2.7060000000000001E-2</v>
          </cell>
          <cell r="DL233">
            <v>238.62</v>
          </cell>
          <cell r="DM233">
            <v>4.5100000000000001E-2</v>
          </cell>
          <cell r="DN233">
            <v>397.7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9.0200000000000002E-2</v>
          </cell>
          <cell r="DX233">
            <v>792.12</v>
          </cell>
          <cell r="DY233" t="str">
            <v/>
          </cell>
          <cell r="DZ233">
            <v>0</v>
          </cell>
          <cell r="EA233">
            <v>8781.818181818182</v>
          </cell>
        </row>
        <row r="234">
          <cell r="B234">
            <v>162027</v>
          </cell>
          <cell r="C234" t="str">
            <v>C.SUPRA MYZ_200ML*40</v>
          </cell>
          <cell r="D234" t="str">
            <v>TON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O234">
            <v>0</v>
          </cell>
          <cell r="AP234">
            <v>0</v>
          </cell>
          <cell r="AS234">
            <v>0</v>
          </cell>
          <cell r="AT234">
            <v>0</v>
          </cell>
          <cell r="AU234">
            <v>3.0727999999999998E-2</v>
          </cell>
          <cell r="AV234">
            <v>335.44</v>
          </cell>
          <cell r="AW234">
            <v>0</v>
          </cell>
          <cell r="AX234">
            <v>0</v>
          </cell>
          <cell r="AY234">
            <v>2.944E-3</v>
          </cell>
          <cell r="AZ234">
            <v>32.44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2.944E-3</v>
          </cell>
          <cell r="BF234">
            <v>32.44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3.6800000000000001E-3</v>
          </cell>
          <cell r="BL234">
            <v>41.8</v>
          </cell>
          <cell r="BM234">
            <v>0</v>
          </cell>
          <cell r="BN234">
            <v>0</v>
          </cell>
          <cell r="BO234">
            <v>5.5199999999999997E-4</v>
          </cell>
          <cell r="BP234">
            <v>5.97</v>
          </cell>
          <cell r="BQ234">
            <v>0</v>
          </cell>
          <cell r="BR234">
            <v>0</v>
          </cell>
          <cell r="BS234">
            <v>4.2319999999999997E-3</v>
          </cell>
          <cell r="BT234">
            <v>47.77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1.1039999999999999E-3</v>
          </cell>
          <cell r="CB234">
            <v>12.54</v>
          </cell>
          <cell r="CC234">
            <v>0</v>
          </cell>
          <cell r="CD234">
            <v>0</v>
          </cell>
          <cell r="CE234">
            <v>8.0960000000000008E-3</v>
          </cell>
          <cell r="CF234">
            <v>91.08</v>
          </cell>
          <cell r="CG234">
            <v>0</v>
          </cell>
          <cell r="CH234">
            <v>0</v>
          </cell>
          <cell r="CI234">
            <v>9.1999999999999998E-3</v>
          </cell>
          <cell r="CJ234">
            <v>103.62</v>
          </cell>
          <cell r="CK234">
            <v>1.3431999999999999E-2</v>
          </cell>
          <cell r="CL234">
            <v>151.39000000000001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1.1039999999999999E-3</v>
          </cell>
          <cell r="CV234">
            <v>12.54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3.6800000000000001E-3</v>
          </cell>
          <cell r="DB234">
            <v>41.8</v>
          </cell>
          <cell r="DC234">
            <v>9.5680000000000001E-3</v>
          </cell>
          <cell r="DD234">
            <v>97.27</v>
          </cell>
          <cell r="DE234">
            <v>1.3247999999999999E-2</v>
          </cell>
          <cell r="DF234">
            <v>139.07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1.1039999999999999E-3</v>
          </cell>
          <cell r="DP234">
            <v>12.54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1.1039999999999999E-3</v>
          </cell>
          <cell r="DV234">
            <v>12.54</v>
          </cell>
          <cell r="DW234">
            <v>3.0727999999999998E-2</v>
          </cell>
          <cell r="DX234">
            <v>335.44</v>
          </cell>
          <cell r="DY234" t="str">
            <v/>
          </cell>
          <cell r="DZ234">
            <v>0</v>
          </cell>
          <cell r="EA234">
            <v>10916.428013538141</v>
          </cell>
        </row>
        <row r="235">
          <cell r="B235">
            <v>162035</v>
          </cell>
          <cell r="C235" t="str">
            <v>C.SUPRA MYZ ORUC_200ML*40</v>
          </cell>
          <cell r="D235" t="str">
            <v>TON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5.1520000000000003E-3</v>
          </cell>
          <cell r="AL235">
            <v>56.12</v>
          </cell>
          <cell r="AO235">
            <v>5.1520000000000003E-3</v>
          </cell>
          <cell r="AP235">
            <v>56.12</v>
          </cell>
          <cell r="AS235">
            <v>0</v>
          </cell>
          <cell r="AT235">
            <v>0</v>
          </cell>
          <cell r="AU235">
            <v>2.4472000000000001E-2</v>
          </cell>
          <cell r="AV235">
            <v>270.60000000000002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5.5199999999999997E-3</v>
          </cell>
          <cell r="BH235">
            <v>62.7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1.8400000000000001E-3</v>
          </cell>
          <cell r="BN235">
            <v>20.9</v>
          </cell>
          <cell r="BO235">
            <v>5.5199999999999997E-4</v>
          </cell>
          <cell r="BP235">
            <v>5.97</v>
          </cell>
          <cell r="BQ235">
            <v>0</v>
          </cell>
          <cell r="BR235">
            <v>0</v>
          </cell>
          <cell r="BS235">
            <v>7.9120000000000006E-3</v>
          </cell>
          <cell r="BT235">
            <v>89.57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7.36E-4</v>
          </cell>
          <cell r="CF235">
            <v>7.48</v>
          </cell>
          <cell r="CG235">
            <v>0</v>
          </cell>
          <cell r="CH235">
            <v>0</v>
          </cell>
          <cell r="CI235">
            <v>7.36E-4</v>
          </cell>
          <cell r="CJ235">
            <v>7.48</v>
          </cell>
          <cell r="CK235">
            <v>8.6480000000000012E-3</v>
          </cell>
          <cell r="CL235">
            <v>97.05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3.6800000000000001E-3</v>
          </cell>
          <cell r="CV235">
            <v>41.8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-3.68E-4</v>
          </cell>
          <cell r="DB235">
            <v>-3.98</v>
          </cell>
          <cell r="DC235">
            <v>6.992E-3</v>
          </cell>
          <cell r="DD235">
            <v>75.459999999999994</v>
          </cell>
          <cell r="DE235">
            <v>6.6239999999999997E-3</v>
          </cell>
          <cell r="DF235">
            <v>71.47999999999999</v>
          </cell>
          <cell r="DG235">
            <v>-1.84E-4</v>
          </cell>
          <cell r="DH235">
            <v>-1.82</v>
          </cell>
          <cell r="DI235">
            <v>0</v>
          </cell>
          <cell r="DJ235">
            <v>0</v>
          </cell>
          <cell r="DK235">
            <v>5.5199999999999997E-4</v>
          </cell>
          <cell r="DL235">
            <v>5.97</v>
          </cell>
          <cell r="DM235">
            <v>3.68E-4</v>
          </cell>
          <cell r="DN235">
            <v>4.1500000000000004</v>
          </cell>
          <cell r="DO235">
            <v>1.8400000000000001E-3</v>
          </cell>
          <cell r="DP235">
            <v>20.9</v>
          </cell>
          <cell r="DQ235">
            <v>1.8400000000000001E-3</v>
          </cell>
          <cell r="DR235">
            <v>20.9</v>
          </cell>
          <cell r="DS235">
            <v>0</v>
          </cell>
          <cell r="DT235">
            <v>0</v>
          </cell>
          <cell r="DU235">
            <v>3.6800000000000001E-3</v>
          </cell>
          <cell r="DV235">
            <v>41.8</v>
          </cell>
          <cell r="DW235">
            <v>2.4472000000000004E-2</v>
          </cell>
          <cell r="DX235">
            <v>270.59999999999997</v>
          </cell>
          <cell r="DY235" t="str">
            <v/>
          </cell>
          <cell r="DZ235">
            <v>0</v>
          </cell>
          <cell r="EA235">
            <v>11057.535142203331</v>
          </cell>
        </row>
        <row r="236">
          <cell r="B236">
            <v>162009</v>
          </cell>
          <cell r="C236" t="str">
            <v>C.SUPRA MYZ_400ML*24</v>
          </cell>
          <cell r="D236" t="str">
            <v>TON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O236">
            <v>0</v>
          </cell>
          <cell r="AP236">
            <v>0</v>
          </cell>
          <cell r="AS236">
            <v>0</v>
          </cell>
          <cell r="AT236">
            <v>0</v>
          </cell>
          <cell r="AU236">
            <v>8.6111999999999994E-2</v>
          </cell>
          <cell r="AV236">
            <v>952.48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8.8319999999999996E-3</v>
          </cell>
          <cell r="BJ236">
            <v>99.6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8.8319999999999996E-3</v>
          </cell>
          <cell r="BT236">
            <v>99.6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7.36E-4</v>
          </cell>
          <cell r="BZ236">
            <v>7.58</v>
          </cell>
          <cell r="CA236">
            <v>0</v>
          </cell>
          <cell r="CB236">
            <v>0</v>
          </cell>
          <cell r="CC236">
            <v>2.6495999999999999E-2</v>
          </cell>
          <cell r="CD236">
            <v>298.8</v>
          </cell>
          <cell r="CE236">
            <v>1.0671999999999999E-2</v>
          </cell>
          <cell r="CF236">
            <v>118.17</v>
          </cell>
          <cell r="CG236">
            <v>0</v>
          </cell>
          <cell r="CH236">
            <v>0</v>
          </cell>
          <cell r="CI236">
            <v>3.7904E-2</v>
          </cell>
          <cell r="CJ236">
            <v>424.55</v>
          </cell>
          <cell r="CK236">
            <v>4.6736E-2</v>
          </cell>
          <cell r="CL236">
            <v>524.15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2.6495999999999999E-2</v>
          </cell>
          <cell r="CZ236">
            <v>294</v>
          </cell>
          <cell r="DA236">
            <v>0</v>
          </cell>
          <cell r="DB236">
            <v>0</v>
          </cell>
          <cell r="DC236">
            <v>9.1999999999999998E-3</v>
          </cell>
          <cell r="DD236">
            <v>92.83</v>
          </cell>
          <cell r="DE236">
            <v>3.5695999999999999E-2</v>
          </cell>
          <cell r="DF236">
            <v>386.83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3.6800000000000001E-3</v>
          </cell>
          <cell r="DL236">
            <v>41.5</v>
          </cell>
          <cell r="DM236">
            <v>3.6800000000000001E-3</v>
          </cell>
          <cell r="DN236">
            <v>41.5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8.6111999999999994E-2</v>
          </cell>
          <cell r="DX236">
            <v>952.48</v>
          </cell>
          <cell r="DY236" t="str">
            <v/>
          </cell>
          <cell r="DZ236">
            <v>0</v>
          </cell>
          <cell r="EA236">
            <v>11060.943887030844</v>
          </cell>
        </row>
        <row r="237">
          <cell r="B237">
            <v>162343</v>
          </cell>
          <cell r="C237" t="str">
            <v>C.SUPRA MYZ ORUC_400ML*24</v>
          </cell>
          <cell r="D237" t="str">
            <v>TON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3.6800000000000001E-3</v>
          </cell>
          <cell r="AL237">
            <v>37.35</v>
          </cell>
          <cell r="AO237">
            <v>3.6800000000000001E-3</v>
          </cell>
          <cell r="AP237">
            <v>37.35</v>
          </cell>
          <cell r="AS237">
            <v>0</v>
          </cell>
          <cell r="AT237">
            <v>0</v>
          </cell>
          <cell r="AU237">
            <v>1.8031999999999999E-2</v>
          </cell>
          <cell r="AV237">
            <v>185.85</v>
          </cell>
          <cell r="AW237">
            <v>0</v>
          </cell>
          <cell r="AX237">
            <v>0</v>
          </cell>
          <cell r="AY237">
            <v>3.6800000000000001E-3</v>
          </cell>
          <cell r="AZ237">
            <v>38.5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3.6800000000000001E-3</v>
          </cell>
          <cell r="BF237">
            <v>38.5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2.2079999999999999E-3</v>
          </cell>
          <cell r="CB237">
            <v>24.24</v>
          </cell>
          <cell r="CC237">
            <v>0</v>
          </cell>
          <cell r="CD237">
            <v>0</v>
          </cell>
          <cell r="CE237">
            <v>1.1039999999999999E-3</v>
          </cell>
          <cell r="CF237">
            <v>10.86</v>
          </cell>
          <cell r="CG237">
            <v>0</v>
          </cell>
          <cell r="CH237">
            <v>0</v>
          </cell>
          <cell r="CI237">
            <v>3.3119999999999998E-3</v>
          </cell>
          <cell r="CJ237">
            <v>35.1</v>
          </cell>
          <cell r="CK237">
            <v>3.3119999999999998E-3</v>
          </cell>
          <cell r="CL237">
            <v>35.1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2.2079999999999999E-3</v>
          </cell>
          <cell r="CV237">
            <v>24.24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5.1520000000000003E-3</v>
          </cell>
          <cell r="DD237">
            <v>50.66</v>
          </cell>
          <cell r="DE237">
            <v>5.1520000000000003E-3</v>
          </cell>
          <cell r="DF237">
            <v>50.66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2.2079999999999999E-3</v>
          </cell>
          <cell r="DR237">
            <v>24.24</v>
          </cell>
          <cell r="DS237">
            <v>0</v>
          </cell>
          <cell r="DT237">
            <v>0</v>
          </cell>
          <cell r="DU237">
            <v>2.2079999999999999E-3</v>
          </cell>
          <cell r="DV237">
            <v>24.24</v>
          </cell>
          <cell r="DW237">
            <v>1.8031999999999999E-2</v>
          </cell>
          <cell r="DX237">
            <v>185.85</v>
          </cell>
          <cell r="DY237" t="str">
            <v/>
          </cell>
          <cell r="DZ237">
            <v>0</v>
          </cell>
          <cell r="EA237">
            <v>10306.67701863354</v>
          </cell>
        </row>
        <row r="238">
          <cell r="B238">
            <v>253847</v>
          </cell>
          <cell r="C238" t="str">
            <v>მაიონეზი–ჩვენი სუფრა_891მლ/820გრ*6</v>
          </cell>
          <cell r="D238" t="str">
            <v>TON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O238">
            <v>0</v>
          </cell>
          <cell r="AP238">
            <v>0</v>
          </cell>
          <cell r="AS238">
            <v>0</v>
          </cell>
          <cell r="AT238">
            <v>0</v>
          </cell>
          <cell r="AU238">
            <v>2.87E-2</v>
          </cell>
          <cell r="AV238">
            <v>279.62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4.9199999999999999E-3</v>
          </cell>
          <cell r="BJ238">
            <v>47.72</v>
          </cell>
          <cell r="BK238">
            <v>9.8399999999999998E-3</v>
          </cell>
          <cell r="BL238">
            <v>98.4</v>
          </cell>
          <cell r="BM238">
            <v>9.8399999999999998E-3</v>
          </cell>
          <cell r="BN238">
            <v>94.46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2.6239999999999999E-2</v>
          </cell>
          <cell r="BT238">
            <v>256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1.64E-3</v>
          </cell>
          <cell r="CD238">
            <v>15.42</v>
          </cell>
          <cell r="CE238">
            <v>0</v>
          </cell>
          <cell r="CF238">
            <v>0</v>
          </cell>
          <cell r="CG238">
            <v>8.1999999999999998E-4</v>
          </cell>
          <cell r="CH238">
            <v>8.1999999999999993</v>
          </cell>
          <cell r="CI238">
            <v>2.4599999999999999E-3</v>
          </cell>
          <cell r="CJ238">
            <v>23.62</v>
          </cell>
          <cell r="CK238">
            <v>2.87E-2</v>
          </cell>
          <cell r="CL238">
            <v>279.62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2.87E-2</v>
          </cell>
          <cell r="DX238">
            <v>279.62</v>
          </cell>
          <cell r="DY238" t="str">
            <v/>
          </cell>
          <cell r="DZ238">
            <v>0</v>
          </cell>
          <cell r="EA238">
            <v>9742.8571428571431</v>
          </cell>
        </row>
        <row r="239">
          <cell r="B239">
            <v>171474</v>
          </cell>
          <cell r="C239" t="str">
            <v xml:space="preserve">მაიონ_ჩვ.სუფრა ზეით. 900მლ*12 </v>
          </cell>
          <cell r="D239" t="str">
            <v>TON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O239">
            <v>0</v>
          </cell>
          <cell r="AP239">
            <v>0</v>
          </cell>
          <cell r="AS239">
            <v>0</v>
          </cell>
          <cell r="AT239">
            <v>0</v>
          </cell>
          <cell r="AU239">
            <v>2.3184E-2</v>
          </cell>
          <cell r="AV239">
            <v>220.73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4.9680000000000002E-3</v>
          </cell>
          <cell r="BN239">
            <v>47.72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4.9680000000000002E-3</v>
          </cell>
          <cell r="BT239">
            <v>47.72</v>
          </cell>
          <cell r="BU239">
            <v>0</v>
          </cell>
          <cell r="BV239">
            <v>0</v>
          </cell>
          <cell r="BW239">
            <v>2.4840000000000001E-3</v>
          </cell>
          <cell r="BX239">
            <v>23.86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5.7959999999999999E-3</v>
          </cell>
          <cell r="CF239">
            <v>53.96</v>
          </cell>
          <cell r="CG239">
            <v>0</v>
          </cell>
          <cell r="CH239">
            <v>0</v>
          </cell>
          <cell r="CI239">
            <v>8.2799999999999992E-3</v>
          </cell>
          <cell r="CJ239">
            <v>77.819999999999993</v>
          </cell>
          <cell r="CK239">
            <v>1.3247999999999999E-2</v>
          </cell>
          <cell r="CL239">
            <v>125.53999999999999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7.4520000000000003E-3</v>
          </cell>
          <cell r="DD239">
            <v>69.36</v>
          </cell>
          <cell r="DE239">
            <v>7.4520000000000003E-3</v>
          </cell>
          <cell r="DF239">
            <v>69.36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2.4840000000000001E-3</v>
          </cell>
          <cell r="DL239">
            <v>25.83</v>
          </cell>
          <cell r="DM239">
            <v>2.4840000000000001E-3</v>
          </cell>
          <cell r="DN239">
            <v>25.83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2.3184E-2</v>
          </cell>
          <cell r="DX239">
            <v>220.73</v>
          </cell>
          <cell r="DY239" t="str">
            <v/>
          </cell>
          <cell r="DZ239">
            <v>0</v>
          </cell>
          <cell r="EA239">
            <v>9520.7902001380262</v>
          </cell>
        </row>
        <row r="240">
          <cell r="B240">
            <v>171493</v>
          </cell>
          <cell r="C240" t="str">
            <v>C.SUPRA MYZ ORC_900ML*12</v>
          </cell>
          <cell r="D240" t="str">
            <v>TON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O240">
            <v>0</v>
          </cell>
          <cell r="AP240">
            <v>0</v>
          </cell>
          <cell r="AS240">
            <v>0</v>
          </cell>
          <cell r="AT240">
            <v>0</v>
          </cell>
          <cell r="AU240">
            <v>1.7388000000000001E-2</v>
          </cell>
          <cell r="AV240">
            <v>161.91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2.4840000000000001E-3</v>
          </cell>
          <cell r="BX240">
            <v>22.99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2.4840000000000001E-3</v>
          </cell>
          <cell r="CF240">
            <v>22.28</v>
          </cell>
          <cell r="CG240">
            <v>0</v>
          </cell>
          <cell r="CH240">
            <v>0</v>
          </cell>
          <cell r="CI240">
            <v>4.9680000000000002E-3</v>
          </cell>
          <cell r="CJ240">
            <v>45.27</v>
          </cell>
          <cell r="CK240">
            <v>4.9680000000000002E-3</v>
          </cell>
          <cell r="CL240">
            <v>45.27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4.9680000000000002E-3</v>
          </cell>
          <cell r="DB240">
            <v>49.8</v>
          </cell>
          <cell r="DC240">
            <v>7.4520000000000003E-3</v>
          </cell>
          <cell r="DD240">
            <v>66.84</v>
          </cell>
          <cell r="DE240">
            <v>1.242E-2</v>
          </cell>
          <cell r="DF240">
            <v>116.64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1.7388000000000001E-2</v>
          </cell>
          <cell r="DX240">
            <v>161.91</v>
          </cell>
          <cell r="DY240" t="str">
            <v/>
          </cell>
          <cell r="DZ240">
            <v>0</v>
          </cell>
          <cell r="EA240">
            <v>9311.5942028985501</v>
          </cell>
        </row>
        <row r="241">
          <cell r="B241">
            <v>171472</v>
          </cell>
          <cell r="C241" t="str">
            <v>CHVENI SUPRA MAYONEZ 900ML*12_PLS</v>
          </cell>
          <cell r="D241" t="str">
            <v>TON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O241">
            <v>0</v>
          </cell>
          <cell r="AP241">
            <v>0</v>
          </cell>
          <cell r="AS241">
            <v>0</v>
          </cell>
          <cell r="AT241">
            <v>0</v>
          </cell>
          <cell r="AU241">
            <v>4.6367999999999999E-2</v>
          </cell>
          <cell r="AV241">
            <v>429.68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9.9360000000000004E-3</v>
          </cell>
          <cell r="BJ241">
            <v>99.6</v>
          </cell>
          <cell r="BK241">
            <v>2.4840000000000001E-3</v>
          </cell>
          <cell r="BL241">
            <v>24.9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1.242E-2</v>
          </cell>
          <cell r="BT241">
            <v>124.5</v>
          </cell>
          <cell r="BU241">
            <v>0</v>
          </cell>
          <cell r="BV241">
            <v>0</v>
          </cell>
          <cell r="BW241">
            <v>2.4840000000000001E-3</v>
          </cell>
          <cell r="BX241">
            <v>22.99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3.1463999999999999E-2</v>
          </cell>
          <cell r="CF241">
            <v>282.19</v>
          </cell>
          <cell r="CG241">
            <v>0</v>
          </cell>
          <cell r="CH241">
            <v>0</v>
          </cell>
          <cell r="CI241">
            <v>3.3947999999999999E-2</v>
          </cell>
          <cell r="CJ241">
            <v>305.18</v>
          </cell>
          <cell r="CK241">
            <v>4.6367999999999999E-2</v>
          </cell>
          <cell r="CL241">
            <v>429.68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4.6367999999999999E-2</v>
          </cell>
          <cell r="DX241">
            <v>429.68</v>
          </cell>
          <cell r="DY241" t="str">
            <v/>
          </cell>
          <cell r="DZ241">
            <v>0</v>
          </cell>
          <cell r="EA241">
            <v>9266.7356797791581</v>
          </cell>
        </row>
        <row r="242">
          <cell r="B242">
            <v>128497</v>
          </cell>
          <cell r="C242" t="str">
            <v xml:space="preserve">CVENI SUPRA MYZ_8KQ*2_55%_PLS </v>
          </cell>
          <cell r="D242" t="str">
            <v>TON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O242">
            <v>0</v>
          </cell>
          <cell r="AP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 t="str">
            <v/>
          </cell>
          <cell r="DZ242" t="str">
            <v>pasiv</v>
          </cell>
          <cell r="EA242" t="e">
            <v>#DIV/0!</v>
          </cell>
        </row>
        <row r="243">
          <cell r="A243">
            <v>7</v>
          </cell>
          <cell r="C243" t="str">
            <v>MAYONEZ</v>
          </cell>
          <cell r="D243" t="str">
            <v>TON</v>
          </cell>
          <cell r="E243">
            <v>0.132048</v>
          </cell>
          <cell r="F243">
            <v>819.9</v>
          </cell>
          <cell r="G243">
            <v>0.16800000000000001</v>
          </cell>
          <cell r="H243">
            <v>1089.92</v>
          </cell>
          <cell r="I243">
            <v>0.128</v>
          </cell>
          <cell r="J243">
            <v>907.2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0.42804799999999998</v>
          </cell>
          <cell r="P243">
            <v>2817.02</v>
          </cell>
          <cell r="Q243">
            <v>0</v>
          </cell>
          <cell r="R243">
            <v>0</v>
          </cell>
          <cell r="S243">
            <v>3.8255999999999998E-2</v>
          </cell>
          <cell r="T243">
            <v>389.76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3.8255999999999998E-2</v>
          </cell>
          <cell r="Z243">
            <v>389.76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2.944E-3</v>
          </cell>
          <cell r="AJ243">
            <v>34.56</v>
          </cell>
          <cell r="AK243">
            <v>9.5480000000000009E-3</v>
          </cell>
          <cell r="AL243">
            <v>99.81</v>
          </cell>
          <cell r="AM243">
            <v>0</v>
          </cell>
          <cell r="AN243">
            <v>0</v>
          </cell>
          <cell r="AO243">
            <v>1.2492000000000001E-2</v>
          </cell>
          <cell r="AP243">
            <v>134.37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2.0665960561254004</v>
          </cell>
          <cell r="AV243">
            <v>17966.639999999996</v>
          </cell>
          <cell r="AW243">
            <v>0</v>
          </cell>
          <cell r="AX243">
            <v>0</v>
          </cell>
          <cell r="AY243">
            <v>1.6376000000000002E-2</v>
          </cell>
          <cell r="AZ243">
            <v>171.34</v>
          </cell>
          <cell r="BA243">
            <v>0</v>
          </cell>
          <cell r="BB243">
            <v>0</v>
          </cell>
          <cell r="BC243">
            <v>9.1999999999999998E-3</v>
          </cell>
          <cell r="BD243">
            <v>90.37</v>
          </cell>
          <cell r="BE243">
            <v>2.5576000000000002E-2</v>
          </cell>
          <cell r="BF243">
            <v>261.71000000000004</v>
          </cell>
          <cell r="BG243">
            <v>6.3736000000000001E-2</v>
          </cell>
          <cell r="BH243">
            <v>504.2</v>
          </cell>
          <cell r="BI243">
            <v>9.2299999999999979E-2</v>
          </cell>
          <cell r="BJ243">
            <v>805.05000000000018</v>
          </cell>
          <cell r="BK243">
            <v>4.7140000000000001E-2</v>
          </cell>
          <cell r="BL243">
            <v>425.15</v>
          </cell>
          <cell r="BM243">
            <v>3.2456000000000006E-2</v>
          </cell>
          <cell r="BN243">
            <v>350.53</v>
          </cell>
          <cell r="BO243">
            <v>5.3360000000000005E-3</v>
          </cell>
          <cell r="BP243">
            <v>61.32</v>
          </cell>
          <cell r="BQ243">
            <v>0</v>
          </cell>
          <cell r="BR243">
            <v>0</v>
          </cell>
          <cell r="BS243">
            <v>0.24260799999999999</v>
          </cell>
          <cell r="BT243">
            <v>2161.67</v>
          </cell>
          <cell r="BU243">
            <v>6.3755999999999993E-2</v>
          </cell>
          <cell r="BV243">
            <v>598.94000000000005</v>
          </cell>
          <cell r="BW243">
            <v>2.4644000000000003E-2</v>
          </cell>
          <cell r="BX243">
            <v>262.69000000000005</v>
          </cell>
          <cell r="BY243">
            <v>8.7392000000000011E-2</v>
          </cell>
          <cell r="BZ243">
            <v>815.54</v>
          </cell>
          <cell r="CA243">
            <v>3.3119999999999998E-3</v>
          </cell>
          <cell r="CB243">
            <v>36.78</v>
          </cell>
          <cell r="CC243">
            <v>0.14139199999999999</v>
          </cell>
          <cell r="CD243">
            <v>1275.01</v>
          </cell>
          <cell r="CE243">
            <v>8.7124000000000007E-2</v>
          </cell>
          <cell r="CF243">
            <v>827.37000000000012</v>
          </cell>
          <cell r="CG243">
            <v>0.503224</v>
          </cell>
          <cell r="CH243">
            <v>3592.02</v>
          </cell>
          <cell r="CI243">
            <v>0.91084399999999999</v>
          </cell>
          <cell r="CJ243">
            <v>7408.35</v>
          </cell>
          <cell r="CK243">
            <v>1.1534520000000001</v>
          </cell>
          <cell r="CL243">
            <v>9570.0200000000041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0.16569203354539999</v>
          </cell>
          <cell r="CV243">
            <v>2266.7999999999997</v>
          </cell>
          <cell r="CW243">
            <v>0</v>
          </cell>
          <cell r="CX243">
            <v>0</v>
          </cell>
          <cell r="CY243">
            <v>2.6495999999999999E-2</v>
          </cell>
          <cell r="CZ243">
            <v>294</v>
          </cell>
          <cell r="DA243">
            <v>8.2800000000000009E-3</v>
          </cell>
          <cell r="DB243">
            <v>87.62</v>
          </cell>
          <cell r="DC243">
            <v>6.7344000000000001E-2</v>
          </cell>
          <cell r="DD243">
            <v>678.7</v>
          </cell>
          <cell r="DE243">
            <v>0.10212</v>
          </cell>
          <cell r="DF243">
            <v>1060.3200000000002</v>
          </cell>
          <cell r="DG243">
            <v>9.9360000000000004E-3</v>
          </cell>
          <cell r="DH243">
            <v>97.88</v>
          </cell>
          <cell r="DI243">
            <v>3.8648022580000004E-2</v>
          </cell>
          <cell r="DJ243">
            <v>571.52</v>
          </cell>
          <cell r="DK243">
            <v>7.6375999999999999E-2</v>
          </cell>
          <cell r="DL243">
            <v>693.24000000000012</v>
          </cell>
          <cell r="DM243">
            <v>0.14096002258000001</v>
          </cell>
          <cell r="DN243">
            <v>1466.64</v>
          </cell>
          <cell r="DO243">
            <v>9.4216000801320005E-2</v>
          </cell>
          <cell r="DP243">
            <v>916.36</v>
          </cell>
          <cell r="DQ243">
            <v>3.7168027229200012E-2</v>
          </cell>
          <cell r="DR243">
            <v>808.71999999999991</v>
          </cell>
          <cell r="DS243">
            <v>3.2652000998880007E-2</v>
          </cell>
          <cell r="DT243">
            <v>487.2</v>
          </cell>
          <cell r="DU243">
            <v>0.16569203354539999</v>
          </cell>
          <cell r="DV243">
            <v>2266.7999999999997</v>
          </cell>
          <cell r="DW243">
            <v>2.0665960561254004</v>
          </cell>
          <cell r="DX243">
            <v>17966.639999999996</v>
          </cell>
          <cell r="DY243" t="str">
            <v>Hedef</v>
          </cell>
          <cell r="DZ243">
            <v>0</v>
          </cell>
          <cell r="EA243">
            <v>8693.8325207515954</v>
          </cell>
        </row>
        <row r="244">
          <cell r="C244" t="str">
            <v>YAG TOPLAMI</v>
          </cell>
          <cell r="D244" t="str">
            <v>TON</v>
          </cell>
          <cell r="E244">
            <v>1.0202980000000001</v>
          </cell>
          <cell r="F244">
            <v>6386.08</v>
          </cell>
          <cell r="G244">
            <v>1.6835</v>
          </cell>
          <cell r="H244">
            <v>9483.02</v>
          </cell>
          <cell r="I244">
            <v>0.77300000000000002</v>
          </cell>
          <cell r="J244">
            <v>5080.95</v>
          </cell>
          <cell r="K244">
            <v>0</v>
          </cell>
          <cell r="L244">
            <v>0</v>
          </cell>
          <cell r="O244">
            <v>3.4767979999999996</v>
          </cell>
          <cell r="P244">
            <v>20950.05</v>
          </cell>
          <cell r="Q244">
            <v>3.4061549999999996</v>
          </cell>
          <cell r="R244">
            <v>20421.16</v>
          </cell>
          <cell r="S244">
            <v>3.2075410000000004</v>
          </cell>
          <cell r="T244">
            <v>20750.539999999997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6.613696</v>
          </cell>
          <cell r="Z244">
            <v>41171.700000000004</v>
          </cell>
          <cell r="AA244">
            <v>0</v>
          </cell>
          <cell r="AB244">
            <v>0</v>
          </cell>
          <cell r="AC244">
            <v>7.7220000000000011E-2</v>
          </cell>
          <cell r="AD244">
            <v>719.46999999999991</v>
          </cell>
          <cell r="AE244">
            <v>1.537E-2</v>
          </cell>
          <cell r="AF244">
            <v>88.6</v>
          </cell>
          <cell r="AG244">
            <v>6.0620000000000007E-2</v>
          </cell>
          <cell r="AH244">
            <v>551.93000000000006</v>
          </cell>
          <cell r="AI244">
            <v>6.5343999999999999E-2</v>
          </cell>
          <cell r="AJ244">
            <v>454.88</v>
          </cell>
          <cell r="AK244">
            <v>0.229603</v>
          </cell>
          <cell r="AL244">
            <v>1547.2299999999998</v>
          </cell>
          <cell r="AO244">
            <v>0.44815700000000003</v>
          </cell>
          <cell r="AP244">
            <v>3362.1099999999997</v>
          </cell>
          <cell r="AS244">
            <v>0</v>
          </cell>
          <cell r="AT244">
            <v>0</v>
          </cell>
          <cell r="AU244">
            <v>29.619146000000001</v>
          </cell>
          <cell r="AV244">
            <v>200947.87</v>
          </cell>
          <cell r="AW244">
            <v>0</v>
          </cell>
          <cell r="AX244">
            <v>0</v>
          </cell>
          <cell r="AY244">
            <v>0.62584600000000001</v>
          </cell>
          <cell r="AZ244">
            <v>4396.17</v>
          </cell>
          <cell r="BA244">
            <v>0</v>
          </cell>
          <cell r="BB244">
            <v>0</v>
          </cell>
          <cell r="BC244">
            <v>3.9755149999999997</v>
          </cell>
          <cell r="BD244">
            <v>27589.900000000005</v>
          </cell>
          <cell r="BE244">
            <v>4.6013609999999998</v>
          </cell>
          <cell r="BF244">
            <v>31986.070000000003</v>
          </cell>
          <cell r="BG244">
            <v>0.28903600000000002</v>
          </cell>
          <cell r="BH244">
            <v>2308.2800000000002</v>
          </cell>
          <cell r="BI244">
            <v>2.7761700000000005</v>
          </cell>
          <cell r="BJ244">
            <v>15734.41</v>
          </cell>
          <cell r="BK244">
            <v>0.40329999999999999</v>
          </cell>
          <cell r="BL244">
            <v>2865.93</v>
          </cell>
          <cell r="BM244">
            <v>0.48341600000000007</v>
          </cell>
          <cell r="BN244">
            <v>3560.0699999999997</v>
          </cell>
          <cell r="BO244">
            <v>1.5602960000000003</v>
          </cell>
          <cell r="BP244">
            <v>10210</v>
          </cell>
          <cell r="BQ244">
            <v>0</v>
          </cell>
          <cell r="BR244">
            <v>1.1839487723541708E-16</v>
          </cell>
          <cell r="BS244">
            <v>5.5185780000000006</v>
          </cell>
          <cell r="BT244">
            <v>34734.789999999994</v>
          </cell>
          <cell r="BU244">
            <v>0.24800599999999995</v>
          </cell>
          <cell r="BV244">
            <v>1628.6100000000001</v>
          </cell>
          <cell r="BW244">
            <v>9.6364000000000005E-2</v>
          </cell>
          <cell r="BX244">
            <v>734.11</v>
          </cell>
          <cell r="BY244">
            <v>0.37279200000000007</v>
          </cell>
          <cell r="BZ244">
            <v>2574.2999999999997</v>
          </cell>
          <cell r="CA244">
            <v>0.22103200000000003</v>
          </cell>
          <cell r="CB244">
            <v>2211.56</v>
          </cell>
          <cell r="CC244">
            <v>0.17814199999999997</v>
          </cell>
          <cell r="CD244">
            <v>1642.9</v>
          </cell>
          <cell r="CE244">
            <v>0.32862400000000003</v>
          </cell>
          <cell r="CF244">
            <v>3072.66</v>
          </cell>
          <cell r="CG244">
            <v>0.873224</v>
          </cell>
          <cell r="CH244">
            <v>5947.55</v>
          </cell>
          <cell r="CI244">
            <v>2.3181840000000005</v>
          </cell>
          <cell r="CJ244">
            <v>17811.690000000002</v>
          </cell>
          <cell r="CK244">
            <v>7.8367620000000011</v>
          </cell>
          <cell r="CL244">
            <v>52546.48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0.24</v>
          </cell>
          <cell r="CT244">
            <v>1370.82</v>
          </cell>
          <cell r="CU244">
            <v>3.0660669999999999</v>
          </cell>
          <cell r="CV244">
            <v>22406.19</v>
          </cell>
          <cell r="CW244">
            <v>0</v>
          </cell>
          <cell r="CX244">
            <v>0</v>
          </cell>
          <cell r="CY244">
            <v>0.613456</v>
          </cell>
          <cell r="CZ244">
            <v>5947.09</v>
          </cell>
          <cell r="DA244">
            <v>0.28145500000000001</v>
          </cell>
          <cell r="DB244">
            <v>2556.2699999999995</v>
          </cell>
          <cell r="DC244">
            <v>0.25095400000000001</v>
          </cell>
          <cell r="DD244">
            <v>2090.04</v>
          </cell>
          <cell r="DE244">
            <v>1.1458650000000001</v>
          </cell>
          <cell r="DF244">
            <v>10593.4</v>
          </cell>
          <cell r="DG244">
            <v>0.74924599999999997</v>
          </cell>
          <cell r="DH244">
            <v>5921.14</v>
          </cell>
          <cell r="DI244">
            <v>0.64636799999999994</v>
          </cell>
          <cell r="DJ244">
            <v>4383.0600000000004</v>
          </cell>
          <cell r="DK244">
            <v>0.73482599999999998</v>
          </cell>
          <cell r="DL244">
            <v>5197.6399999999994</v>
          </cell>
          <cell r="DM244">
            <v>2.1894400000000003</v>
          </cell>
          <cell r="DN244">
            <v>15879.74</v>
          </cell>
          <cell r="DO244">
            <v>0.6115560000000001</v>
          </cell>
          <cell r="DP244">
            <v>4595.3499999999995</v>
          </cell>
          <cell r="DQ244">
            <v>0.70611299999999999</v>
          </cell>
          <cell r="DR244">
            <v>5640.420000000001</v>
          </cell>
          <cell r="DS244">
            <v>1.7376420000000001</v>
          </cell>
          <cell r="DT244">
            <v>12738.78</v>
          </cell>
          <cell r="DU244">
            <v>3.0660669999999999</v>
          </cell>
          <cell r="DV244">
            <v>23083.59</v>
          </cell>
          <cell r="DW244">
            <v>29.618146000000003</v>
          </cell>
          <cell r="DX244">
            <v>200943.96</v>
          </cell>
          <cell r="DY244" t="str">
            <v/>
          </cell>
          <cell r="DZ244">
            <v>0</v>
          </cell>
          <cell r="EA244">
            <v>6784.4881310261608</v>
          </cell>
        </row>
        <row r="245">
          <cell r="B245">
            <v>39382</v>
          </cell>
          <cell r="C245" t="str">
            <v>AZERCAY BUKET_500 GR*10_SEFFAF POSET</v>
          </cell>
          <cell r="D245" t="str">
            <v>TON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O245">
            <v>0</v>
          </cell>
          <cell r="P245">
            <v>0</v>
          </cell>
          <cell r="Q245">
            <v>1E-3</v>
          </cell>
          <cell r="R245">
            <v>41.71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1E-3</v>
          </cell>
          <cell r="Z245">
            <v>41.71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O245">
            <v>0</v>
          </cell>
          <cell r="AP245">
            <v>0</v>
          </cell>
          <cell r="AS245">
            <v>0</v>
          </cell>
          <cell r="AT245">
            <v>0</v>
          </cell>
          <cell r="AU245">
            <v>6.4999999999999997E-3</v>
          </cell>
          <cell r="AV245">
            <v>287.93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1E-3</v>
          </cell>
          <cell r="BN245">
            <v>43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1E-3</v>
          </cell>
          <cell r="BT245">
            <v>43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1E-3</v>
          </cell>
          <cell r="CL245">
            <v>43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4.4999999999999997E-3</v>
          </cell>
          <cell r="DB245">
            <v>203.22</v>
          </cell>
          <cell r="DC245">
            <v>0</v>
          </cell>
          <cell r="DD245">
            <v>0</v>
          </cell>
          <cell r="DE245">
            <v>4.4999999999999997E-3</v>
          </cell>
          <cell r="DF245">
            <v>203.22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6.4999999999999997E-3</v>
          </cell>
          <cell r="DX245">
            <v>287.93</v>
          </cell>
          <cell r="DY245" t="str">
            <v/>
          </cell>
          <cell r="DZ245">
            <v>0</v>
          </cell>
          <cell r="EA245">
            <v>44296.923076923078</v>
          </cell>
        </row>
        <row r="246">
          <cell r="B246">
            <v>136121</v>
          </cell>
          <cell r="C246" t="str">
            <v>AZERCAY_YASIL KLASSIK_100GR*60</v>
          </cell>
          <cell r="D246" t="str">
            <v>TON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O246">
            <v>0</v>
          </cell>
          <cell r="AP246">
            <v>0</v>
          </cell>
          <cell r="AS246">
            <v>0</v>
          </cell>
          <cell r="AT246">
            <v>0</v>
          </cell>
          <cell r="AU246">
            <v>1.8E-3</v>
          </cell>
          <cell r="AV246">
            <v>66.239999999999995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1.8E-3</v>
          </cell>
          <cell r="CZ246">
            <v>66.239999999999995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1.8E-3</v>
          </cell>
          <cell r="DF246">
            <v>66.239999999999995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1.8E-3</v>
          </cell>
          <cell r="DX246">
            <v>66.239999999999995</v>
          </cell>
          <cell r="DY246" t="str">
            <v/>
          </cell>
          <cell r="DZ246">
            <v>0</v>
          </cell>
          <cell r="EA246">
            <v>36800</v>
          </cell>
        </row>
        <row r="247">
          <cell r="B247">
            <v>118137</v>
          </cell>
          <cell r="C247" t="str">
            <v>აზერჩაი-ბუკეტ_100გ*60</v>
          </cell>
          <cell r="D247" t="str">
            <v>TON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O247">
            <v>0</v>
          </cell>
          <cell r="AP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 t="str">
            <v/>
          </cell>
          <cell r="DZ247" t="str">
            <v>pasiv</v>
          </cell>
          <cell r="EA247" t="e">
            <v>#DIV/0!</v>
          </cell>
        </row>
        <row r="248">
          <cell r="B248">
            <v>355745</v>
          </cell>
          <cell r="C248" t="str">
            <v>ჩაი-აზერჩაი ბუკეტი-მწვანე_100გ*24</v>
          </cell>
          <cell r="D248" t="str">
            <v>TON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O248">
            <v>0</v>
          </cell>
          <cell r="AP248">
            <v>0</v>
          </cell>
          <cell r="AS248">
            <v>0</v>
          </cell>
          <cell r="AT248">
            <v>0</v>
          </cell>
          <cell r="AU248">
            <v>3.3999999999999998E-3</v>
          </cell>
          <cell r="AV248">
            <v>100.92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1.1999999999999999E-3</v>
          </cell>
          <cell r="BN248">
            <v>36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1.1999999999999999E-3</v>
          </cell>
          <cell r="BT248">
            <v>36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1.1999999999999999E-3</v>
          </cell>
          <cell r="CL248">
            <v>36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2.2000000000000001E-3</v>
          </cell>
          <cell r="DD248">
            <v>64.92</v>
          </cell>
          <cell r="DE248">
            <v>2.2000000000000001E-3</v>
          </cell>
          <cell r="DF248">
            <v>64.92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3.4000000000000002E-3</v>
          </cell>
          <cell r="DX248">
            <v>100.92</v>
          </cell>
          <cell r="DY248" t="str">
            <v/>
          </cell>
          <cell r="DZ248">
            <v>0</v>
          </cell>
          <cell r="EA248">
            <v>29682.352941176468</v>
          </cell>
        </row>
        <row r="249">
          <cell r="B249">
            <v>286968</v>
          </cell>
          <cell r="C249" t="str">
            <v>ჩაი-აზერჩაი-2.4კგ(100*24)</v>
          </cell>
          <cell r="D249" t="str">
            <v>TON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6.6E-3</v>
          </cell>
          <cell r="AD249">
            <v>238.92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2E-3</v>
          </cell>
          <cell r="AL249">
            <v>71.55</v>
          </cell>
          <cell r="AO249">
            <v>8.6E-3</v>
          </cell>
          <cell r="AP249">
            <v>310.46999999999997</v>
          </cell>
          <cell r="AS249">
            <v>0</v>
          </cell>
          <cell r="AT249">
            <v>0</v>
          </cell>
          <cell r="AU249">
            <v>2.3099999999999999E-2</v>
          </cell>
          <cell r="AV249">
            <v>825.17</v>
          </cell>
          <cell r="AW249">
            <v>0</v>
          </cell>
          <cell r="AX249">
            <v>0</v>
          </cell>
          <cell r="AY249">
            <v>5.9999999999999995E-4</v>
          </cell>
          <cell r="AZ249">
            <v>20.7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5.9999999999999995E-4</v>
          </cell>
          <cell r="BF249">
            <v>20.7</v>
          </cell>
          <cell r="BG249">
            <v>1E-3</v>
          </cell>
          <cell r="BH249">
            <v>34.5</v>
          </cell>
          <cell r="BI249">
            <v>0</v>
          </cell>
          <cell r="BJ249">
            <v>0</v>
          </cell>
          <cell r="BK249">
            <v>5.4000000000000003E-3</v>
          </cell>
          <cell r="BL249">
            <v>195.48</v>
          </cell>
          <cell r="BM249">
            <v>1.4E-3</v>
          </cell>
          <cell r="BN249">
            <v>49.66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7.7999999999999996E-3</v>
          </cell>
          <cell r="BT249">
            <v>279.64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7.7999999999999996E-3</v>
          </cell>
          <cell r="CL249">
            <v>279.64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5.5999999999999999E-3</v>
          </cell>
          <cell r="CV249">
            <v>196.26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4.0000000000000002E-4</v>
          </cell>
          <cell r="DD249">
            <v>14.48</v>
          </cell>
          <cell r="DE249">
            <v>4.0000000000000002E-4</v>
          </cell>
          <cell r="DF249">
            <v>14.48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1E-4</v>
          </cell>
          <cell r="DL249">
            <v>3.62</v>
          </cell>
          <cell r="DM249">
            <v>1E-4</v>
          </cell>
          <cell r="DN249">
            <v>3.62</v>
          </cell>
          <cell r="DO249">
            <v>8.9999999999999998E-4</v>
          </cell>
          <cell r="DP249">
            <v>31.05</v>
          </cell>
          <cell r="DQ249">
            <v>0</v>
          </cell>
          <cell r="DR249">
            <v>0</v>
          </cell>
          <cell r="DS249">
            <v>4.7000000000000002E-3</v>
          </cell>
          <cell r="DT249">
            <v>165.21</v>
          </cell>
          <cell r="DU249">
            <v>5.5999999999999999E-3</v>
          </cell>
          <cell r="DV249">
            <v>196.26</v>
          </cell>
          <cell r="DW249">
            <v>2.3099999999999999E-2</v>
          </cell>
          <cell r="DX249">
            <v>825.17000000000007</v>
          </cell>
          <cell r="DY249" t="str">
            <v/>
          </cell>
          <cell r="DZ249">
            <v>0</v>
          </cell>
          <cell r="EA249">
            <v>35721.645021645025</v>
          </cell>
        </row>
        <row r="250">
          <cell r="B250">
            <v>39381</v>
          </cell>
          <cell r="C250" t="str">
            <v>AZERCAY BUKET_250QR*20_SEFFAF PK</v>
          </cell>
          <cell r="D250" t="str">
            <v>TON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1.5E-3</v>
          </cell>
          <cell r="AL250">
            <v>68.7</v>
          </cell>
          <cell r="AO250">
            <v>1.5E-3</v>
          </cell>
          <cell r="AP250">
            <v>68.7</v>
          </cell>
          <cell r="AS250">
            <v>0</v>
          </cell>
          <cell r="AT250">
            <v>0</v>
          </cell>
          <cell r="AU250">
            <v>4.5999999999999999E-2</v>
          </cell>
          <cell r="AV250">
            <v>2095.8000000000002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1.5E-3</v>
          </cell>
          <cell r="BN250">
            <v>68.7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1.5E-3</v>
          </cell>
          <cell r="BT250">
            <v>68.7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5.0000000000000001E-3</v>
          </cell>
          <cell r="CD250">
            <v>229</v>
          </cell>
          <cell r="CE250">
            <v>5.0000000000000001E-3</v>
          </cell>
          <cell r="CF250">
            <v>218</v>
          </cell>
          <cell r="CG250">
            <v>0</v>
          </cell>
          <cell r="CH250">
            <v>0</v>
          </cell>
          <cell r="CI250">
            <v>0.01</v>
          </cell>
          <cell r="CJ250">
            <v>447</v>
          </cell>
          <cell r="CK250">
            <v>1.15E-2</v>
          </cell>
          <cell r="CL250">
            <v>515.70000000000005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5.0000000000000001E-4</v>
          </cell>
          <cell r="CV250">
            <v>22.9</v>
          </cell>
          <cell r="CW250">
            <v>0</v>
          </cell>
          <cell r="CX250">
            <v>0</v>
          </cell>
          <cell r="CY250">
            <v>0.03</v>
          </cell>
          <cell r="CZ250">
            <v>1374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0.03</v>
          </cell>
          <cell r="DF250">
            <v>1374</v>
          </cell>
          <cell r="DG250">
            <v>2.5000000000000001E-3</v>
          </cell>
          <cell r="DH250">
            <v>114.5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2.5000000000000001E-3</v>
          </cell>
          <cell r="DN250">
            <v>114.5</v>
          </cell>
          <cell r="DO250">
            <v>5.0000000000000001E-4</v>
          </cell>
          <cell r="DP250">
            <v>22.9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5.0000000000000001E-4</v>
          </cell>
          <cell r="DV250">
            <v>22.9</v>
          </cell>
          <cell r="DW250">
            <v>4.5999999999999999E-2</v>
          </cell>
          <cell r="DX250">
            <v>2095.8000000000002</v>
          </cell>
          <cell r="DY250" t="str">
            <v/>
          </cell>
          <cell r="DZ250">
            <v>0</v>
          </cell>
          <cell r="EA250">
            <v>45560.869565217399</v>
          </cell>
        </row>
        <row r="251">
          <cell r="B251">
            <v>16620</v>
          </cell>
          <cell r="C251" t="str">
            <v>AZERCAY (250*40)</v>
          </cell>
          <cell r="D251" t="str">
            <v>TON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1.5E-3</v>
          </cell>
          <cell r="T251">
            <v>48.38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1.5E-3</v>
          </cell>
          <cell r="Z251">
            <v>48.38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O251">
            <v>0</v>
          </cell>
          <cell r="AP251">
            <v>0</v>
          </cell>
          <cell r="AS251">
            <v>0</v>
          </cell>
          <cell r="AT251">
            <v>0</v>
          </cell>
          <cell r="AU251">
            <v>5.2500000000000003E-3</v>
          </cell>
          <cell r="AV251">
            <v>167.5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1E-3</v>
          </cell>
          <cell r="BZ251">
            <v>32.26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1E-3</v>
          </cell>
          <cell r="CJ251">
            <v>32.26</v>
          </cell>
          <cell r="CK251">
            <v>1E-3</v>
          </cell>
          <cell r="CL251">
            <v>32.26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2.7499999999999998E-3</v>
          </cell>
          <cell r="DD251">
            <v>86.86</v>
          </cell>
          <cell r="DE251">
            <v>2.7499999999999998E-3</v>
          </cell>
          <cell r="DF251">
            <v>86.86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5.2499999999999995E-3</v>
          </cell>
          <cell r="DX251">
            <v>167.5</v>
          </cell>
          <cell r="DY251" t="str">
            <v/>
          </cell>
          <cell r="DZ251">
            <v>0</v>
          </cell>
          <cell r="EA251">
            <v>31904.761904761908</v>
          </cell>
        </row>
        <row r="252">
          <cell r="B252">
            <v>292226</v>
          </cell>
          <cell r="C252" t="str">
            <v>ჩაი-აზერჩაი-პეკოე-2.4კგ/100*24</v>
          </cell>
          <cell r="D252" t="str">
            <v>TON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O252">
            <v>0</v>
          </cell>
          <cell r="AP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 t="str">
            <v/>
          </cell>
          <cell r="DZ252" t="str">
            <v>pasiv</v>
          </cell>
          <cell r="EA252" t="e">
            <v>#DIV/0!</v>
          </cell>
        </row>
        <row r="253">
          <cell r="B253">
            <v>164387</v>
          </cell>
          <cell r="C253" t="str">
            <v>AZERCAY BERGAMUT_450QR*15</v>
          </cell>
          <cell r="D253" t="str">
            <v>TON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1.3500000000000001E-3</v>
          </cell>
          <cell r="T253">
            <v>42.05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1.3500000000000001E-3</v>
          </cell>
          <cell r="Z253">
            <v>42.05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O253">
            <v>0</v>
          </cell>
          <cell r="AP253">
            <v>0</v>
          </cell>
          <cell r="AS253">
            <v>0</v>
          </cell>
          <cell r="AT253">
            <v>0</v>
          </cell>
          <cell r="AU253">
            <v>1.3500000000000001E-3</v>
          </cell>
          <cell r="AV253">
            <v>42.05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1.3500000000000001E-3</v>
          </cell>
          <cell r="DX253">
            <v>42.05</v>
          </cell>
          <cell r="DY253" t="str">
            <v/>
          </cell>
          <cell r="DZ253">
            <v>0</v>
          </cell>
          <cell r="EA253">
            <v>31148.148148148146</v>
          </cell>
        </row>
        <row r="254">
          <cell r="B254">
            <v>165793</v>
          </cell>
          <cell r="C254" t="str">
            <v>AZERCAY BUKET_450QR*15</v>
          </cell>
          <cell r="D254" t="str">
            <v>TON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O254">
            <v>0</v>
          </cell>
          <cell r="AP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 t="str">
            <v/>
          </cell>
          <cell r="DZ254" t="str">
            <v>pasiv</v>
          </cell>
          <cell r="EA254" t="e">
            <v>#DIV/0!</v>
          </cell>
        </row>
        <row r="255">
          <cell r="B255">
            <v>39383</v>
          </cell>
          <cell r="C255" t="str">
            <v>AZERCAY BUKET_1000 GR*5_SEFFAF PAKET</v>
          </cell>
          <cell r="D255" t="str">
            <v>TON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O255">
            <v>0</v>
          </cell>
          <cell r="AP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 t="str">
            <v/>
          </cell>
          <cell r="DZ255" t="str">
            <v>pasiv</v>
          </cell>
          <cell r="EA255" t="e">
            <v>#DIV/0!</v>
          </cell>
        </row>
        <row r="256">
          <cell r="B256">
            <v>287008</v>
          </cell>
          <cell r="C256" t="str">
            <v>აზერჩაი-ბუკეტ_100გ*24</v>
          </cell>
          <cell r="D256" t="str">
            <v>TON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O256">
            <v>0</v>
          </cell>
          <cell r="AP256">
            <v>0</v>
          </cell>
          <cell r="AS256">
            <v>0</v>
          </cell>
          <cell r="AT256">
            <v>0</v>
          </cell>
          <cell r="AU256">
            <v>4.5999999999999999E-3</v>
          </cell>
          <cell r="AV256">
            <v>234.4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3.3999999999999998E-3</v>
          </cell>
          <cell r="CZ256">
            <v>172.6</v>
          </cell>
          <cell r="DA256">
            <v>5.9999999999999995E-4</v>
          </cell>
          <cell r="DB256">
            <v>30.9</v>
          </cell>
          <cell r="DC256">
            <v>0</v>
          </cell>
          <cell r="DD256">
            <v>0</v>
          </cell>
          <cell r="DE256">
            <v>4.0000000000000001E-3</v>
          </cell>
          <cell r="DF256">
            <v>203.5</v>
          </cell>
          <cell r="DG256">
            <v>5.9999999999999995E-4</v>
          </cell>
          <cell r="DH256">
            <v>30.9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5.9999999999999995E-4</v>
          </cell>
          <cell r="DN256">
            <v>30.9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4.5999999999999999E-3</v>
          </cell>
          <cell r="DX256">
            <v>234.4</v>
          </cell>
          <cell r="DY256" t="str">
            <v/>
          </cell>
          <cell r="DZ256">
            <v>0</v>
          </cell>
          <cell r="EA256">
            <v>50956.52173913044</v>
          </cell>
        </row>
        <row r="257">
          <cell r="B257">
            <v>118535</v>
          </cell>
          <cell r="C257" t="str">
            <v>ჩაი-აზერჩაი-6კგ(100*60)</v>
          </cell>
          <cell r="D257" t="str">
            <v>TON</v>
          </cell>
          <cell r="E257">
            <v>2E-3</v>
          </cell>
          <cell r="F257">
            <v>66.930000000000007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O257">
            <v>2E-3</v>
          </cell>
          <cell r="P257">
            <v>66.930000000000007</v>
          </cell>
          <cell r="Q257">
            <v>0</v>
          </cell>
          <cell r="R257">
            <v>0</v>
          </cell>
          <cell r="S257">
            <v>1E-3</v>
          </cell>
          <cell r="T257">
            <v>33.119999999999997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1E-3</v>
          </cell>
          <cell r="Z257">
            <v>33.119999999999997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2.2000000000000001E-3</v>
          </cell>
          <cell r="AH257">
            <v>79.64</v>
          </cell>
          <cell r="AI257">
            <v>2.0999999999999999E-3</v>
          </cell>
          <cell r="AJ257">
            <v>75.2</v>
          </cell>
          <cell r="AK257">
            <v>1.8E-3</v>
          </cell>
          <cell r="AL257">
            <v>65.16</v>
          </cell>
          <cell r="AO257">
            <v>6.0999999999999995E-3</v>
          </cell>
          <cell r="AP257">
            <v>220</v>
          </cell>
          <cell r="AS257">
            <v>0</v>
          </cell>
          <cell r="AT257">
            <v>0</v>
          </cell>
          <cell r="AU257">
            <v>5.8500000000000003E-2</v>
          </cell>
          <cell r="AV257">
            <v>2071.4299999999998</v>
          </cell>
          <cell r="AW257">
            <v>0</v>
          </cell>
          <cell r="AX257">
            <v>0</v>
          </cell>
          <cell r="AY257">
            <v>2.7000000000000001E-3</v>
          </cell>
          <cell r="AZ257">
            <v>97.23</v>
          </cell>
          <cell r="BA257">
            <v>0</v>
          </cell>
          <cell r="BB257">
            <v>0</v>
          </cell>
          <cell r="BC257">
            <v>1.6000000000000001E-3</v>
          </cell>
          <cell r="BD257">
            <v>57.92</v>
          </cell>
          <cell r="BE257">
            <v>4.3E-3</v>
          </cell>
          <cell r="BF257">
            <v>155.15</v>
          </cell>
          <cell r="BG257">
            <v>4.1999999999999997E-3</v>
          </cell>
          <cell r="BH257">
            <v>146.94</v>
          </cell>
          <cell r="BI257">
            <v>2.8999999999999998E-3</v>
          </cell>
          <cell r="BJ257">
            <v>103.61</v>
          </cell>
          <cell r="BK257">
            <v>0</v>
          </cell>
          <cell r="BL257">
            <v>0</v>
          </cell>
          <cell r="BM257">
            <v>3.0999999999999999E-3</v>
          </cell>
          <cell r="BN257">
            <v>110.85</v>
          </cell>
          <cell r="BO257">
            <v>3.0999999999999999E-3</v>
          </cell>
          <cell r="BP257">
            <v>112.22</v>
          </cell>
          <cell r="BQ257">
            <v>0</v>
          </cell>
          <cell r="BR257">
            <v>0</v>
          </cell>
          <cell r="BS257">
            <v>1.3299999999999999E-2</v>
          </cell>
          <cell r="BT257">
            <v>473.62</v>
          </cell>
          <cell r="BU257">
            <v>1.6000000000000001E-3</v>
          </cell>
          <cell r="BV257">
            <v>53.55</v>
          </cell>
          <cell r="BW257">
            <v>4.0000000000000002E-4</v>
          </cell>
          <cell r="BX257">
            <v>13.39</v>
          </cell>
          <cell r="BY257">
            <v>1.6999999999999999E-3</v>
          </cell>
          <cell r="BZ257">
            <v>57.2</v>
          </cell>
          <cell r="CA257">
            <v>3.5999999999999999E-3</v>
          </cell>
          <cell r="CB257">
            <v>129.30000000000001</v>
          </cell>
          <cell r="CC257">
            <v>0</v>
          </cell>
          <cell r="CD257">
            <v>0</v>
          </cell>
          <cell r="CE257">
            <v>4.7999999999999996E-3</v>
          </cell>
          <cell r="CF257">
            <v>169.46</v>
          </cell>
          <cell r="CG257">
            <v>0</v>
          </cell>
          <cell r="CH257">
            <v>0</v>
          </cell>
          <cell r="CI257">
            <v>1.21E-2</v>
          </cell>
          <cell r="CJ257">
            <v>422.9</v>
          </cell>
          <cell r="CK257">
            <v>2.5399999999999999E-2</v>
          </cell>
          <cell r="CL257">
            <v>896.52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6.1000000000000004E-3</v>
          </cell>
          <cell r="CV257">
            <v>217.75</v>
          </cell>
          <cell r="CW257">
            <v>0</v>
          </cell>
          <cell r="CX257">
            <v>0</v>
          </cell>
          <cell r="CY257">
            <v>5.4000000000000003E-3</v>
          </cell>
          <cell r="CZ257">
            <v>195.48</v>
          </cell>
          <cell r="DA257">
            <v>1E-3</v>
          </cell>
          <cell r="DB257">
            <v>36.200000000000003</v>
          </cell>
          <cell r="DC257">
            <v>1.8E-3</v>
          </cell>
          <cell r="DD257">
            <v>58.38</v>
          </cell>
          <cell r="DE257">
            <v>8.2000000000000007E-3</v>
          </cell>
          <cell r="DF257">
            <v>290.06</v>
          </cell>
          <cell r="DG257">
            <v>1.1000000000000001E-3</v>
          </cell>
          <cell r="DH257">
            <v>38.97</v>
          </cell>
          <cell r="DI257">
            <v>1.9E-3</v>
          </cell>
          <cell r="DJ257">
            <v>66.05</v>
          </cell>
          <cell r="DK257">
            <v>2.3999999999999998E-3</v>
          </cell>
          <cell r="DL257">
            <v>86.88</v>
          </cell>
          <cell r="DM257">
            <v>5.4000000000000003E-3</v>
          </cell>
          <cell r="DN257">
            <v>191.9</v>
          </cell>
          <cell r="DO257">
            <v>1.1999999999999999E-3</v>
          </cell>
          <cell r="DP257">
            <v>43.44</v>
          </cell>
          <cell r="DQ257">
            <v>5.0000000000000001E-4</v>
          </cell>
          <cell r="DR257">
            <v>16.73</v>
          </cell>
          <cell r="DS257">
            <v>4.4000000000000003E-3</v>
          </cell>
          <cell r="DT257">
            <v>157.58000000000001</v>
          </cell>
          <cell r="DU257">
            <v>6.1000000000000004E-3</v>
          </cell>
          <cell r="DV257">
            <v>217.75</v>
          </cell>
          <cell r="DW257">
            <v>5.8500000000000003E-2</v>
          </cell>
          <cell r="DX257">
            <v>2071.4299999999998</v>
          </cell>
          <cell r="DY257" t="str">
            <v/>
          </cell>
          <cell r="DZ257">
            <v>0</v>
          </cell>
          <cell r="EA257">
            <v>35409.059829059821</v>
          </cell>
        </row>
        <row r="258">
          <cell r="B258">
            <v>359222</v>
          </cell>
          <cell r="C258" t="str">
            <v>ჩაი-აზერჩაი-ვარდის_100გ*24</v>
          </cell>
          <cell r="D258" t="str">
            <v>TON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1E-4</v>
          </cell>
          <cell r="AF258">
            <v>4.6100000000000003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O258">
            <v>1E-4</v>
          </cell>
          <cell r="AP258">
            <v>4.6100000000000003</v>
          </cell>
          <cell r="AS258">
            <v>0</v>
          </cell>
          <cell r="AT258">
            <v>0</v>
          </cell>
          <cell r="AU258">
            <v>1.1000000000000001E-3</v>
          </cell>
          <cell r="AV258">
            <v>52.14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1E-3</v>
          </cell>
          <cell r="BD258">
            <v>47.53</v>
          </cell>
          <cell r="BE258">
            <v>1E-3</v>
          </cell>
          <cell r="BF258">
            <v>47.53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1.1000000000000001E-3</v>
          </cell>
          <cell r="DX258">
            <v>52.14</v>
          </cell>
          <cell r="DY258" t="str">
            <v/>
          </cell>
          <cell r="DZ258">
            <v>0</v>
          </cell>
          <cell r="EA258">
            <v>47400</v>
          </cell>
        </row>
        <row r="259">
          <cell r="B259">
            <v>359284</v>
          </cell>
          <cell r="C259" t="str">
            <v>ჩაი_აზერჩაი-ბუკეტ_100გ_10ც+1ც</v>
          </cell>
          <cell r="D259" t="str">
            <v>TON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O259">
            <v>0</v>
          </cell>
          <cell r="AP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 t="str">
            <v/>
          </cell>
          <cell r="DZ259" t="str">
            <v>pasiv</v>
          </cell>
          <cell r="EA259" t="e">
            <v>#DIV/0!</v>
          </cell>
        </row>
        <row r="260">
          <cell r="B260">
            <v>348172</v>
          </cell>
          <cell r="C260" t="str">
            <v>ჩაი-აზერჩაი-ბუკეტ-100გ_15ც+1ც</v>
          </cell>
          <cell r="D260" t="str">
            <v>TON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O260">
            <v>0</v>
          </cell>
          <cell r="AP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 t="str">
            <v/>
          </cell>
          <cell r="DZ260" t="str">
            <v>pasiv</v>
          </cell>
          <cell r="EA260" t="e">
            <v>#DIV/0!</v>
          </cell>
        </row>
        <row r="261">
          <cell r="B261">
            <v>39380</v>
          </cell>
          <cell r="C261" t="str">
            <v>ჩაი-აზერჩაი ბუკეტი-100*50 გამჭ. პარკში</v>
          </cell>
          <cell r="D261" t="str">
            <v>TON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O261">
            <v>0</v>
          </cell>
          <cell r="P261">
            <v>0</v>
          </cell>
          <cell r="Q261">
            <v>2.9999999999999997E-4</v>
          </cell>
          <cell r="R261">
            <v>12.8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2.9999999999999997E-4</v>
          </cell>
          <cell r="Z261">
            <v>12.8</v>
          </cell>
          <cell r="AA261">
            <v>0</v>
          </cell>
          <cell r="AB261">
            <v>0</v>
          </cell>
          <cell r="AC261">
            <v>5.9999999999999995E-4</v>
          </cell>
          <cell r="AD261">
            <v>27.72</v>
          </cell>
          <cell r="AE261">
            <v>0</v>
          </cell>
          <cell r="AF261">
            <v>0</v>
          </cell>
          <cell r="AG261">
            <v>1.6999999999999999E-3</v>
          </cell>
          <cell r="AH261">
            <v>78.540000000000006</v>
          </cell>
          <cell r="AI261">
            <v>3.8E-3</v>
          </cell>
          <cell r="AJ261">
            <v>171.34</v>
          </cell>
          <cell r="AK261">
            <v>3.5000000000000001E-3</v>
          </cell>
          <cell r="AL261">
            <v>157.74</v>
          </cell>
          <cell r="AO261">
            <v>9.5999999999999992E-3</v>
          </cell>
          <cell r="AP261">
            <v>435.34000000000003</v>
          </cell>
          <cell r="AS261">
            <v>0</v>
          </cell>
          <cell r="AT261">
            <v>0</v>
          </cell>
          <cell r="AU261">
            <v>4.9000000000000002E-2</v>
          </cell>
          <cell r="AV261">
            <v>2194.33</v>
          </cell>
          <cell r="AW261">
            <v>0</v>
          </cell>
          <cell r="AX261">
            <v>0</v>
          </cell>
          <cell r="AY261">
            <v>1.1999999999999999E-3</v>
          </cell>
          <cell r="AZ261">
            <v>50.69</v>
          </cell>
          <cell r="BA261">
            <v>0</v>
          </cell>
          <cell r="BB261">
            <v>0</v>
          </cell>
          <cell r="BC261">
            <v>2.3999999999999998E-3</v>
          </cell>
          <cell r="BD261">
            <v>110.88</v>
          </cell>
          <cell r="BE261">
            <v>3.5999999999999999E-3</v>
          </cell>
          <cell r="BF261">
            <v>161.57</v>
          </cell>
          <cell r="BG261">
            <v>1.1999999999999999E-3</v>
          </cell>
          <cell r="BH261">
            <v>55.44</v>
          </cell>
          <cell r="BI261">
            <v>0</v>
          </cell>
          <cell r="BJ261">
            <v>0</v>
          </cell>
          <cell r="BK261">
            <v>1.6000000000000001E-3</v>
          </cell>
          <cell r="BL261">
            <v>73.92</v>
          </cell>
          <cell r="BM261">
            <v>4.1999999999999997E-3</v>
          </cell>
          <cell r="BN261">
            <v>194.04</v>
          </cell>
          <cell r="BO261">
            <v>2.0000000000000001E-4</v>
          </cell>
          <cell r="BP261">
            <v>9.24</v>
          </cell>
          <cell r="BQ261">
            <v>0</v>
          </cell>
          <cell r="BR261">
            <v>0</v>
          </cell>
          <cell r="BS261">
            <v>7.1999999999999998E-3</v>
          </cell>
          <cell r="BT261">
            <v>332.64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7.1999999999999998E-3</v>
          </cell>
          <cell r="CL261">
            <v>332.64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1.1000000000000001E-3</v>
          </cell>
          <cell r="CV261">
            <v>49.72</v>
          </cell>
          <cell r="CW261">
            <v>0</v>
          </cell>
          <cell r="CX261">
            <v>0</v>
          </cell>
          <cell r="CY261">
            <v>1.9599999999999999E-2</v>
          </cell>
          <cell r="CZ261">
            <v>878.24</v>
          </cell>
          <cell r="DA261">
            <v>0</v>
          </cell>
          <cell r="DB261">
            <v>0</v>
          </cell>
          <cell r="DC261">
            <v>5.5999999999999999E-3</v>
          </cell>
          <cell r="DD261">
            <v>231.62</v>
          </cell>
          <cell r="DE261">
            <v>2.52E-2</v>
          </cell>
          <cell r="DF261">
            <v>1109.8600000000001</v>
          </cell>
          <cell r="DG261">
            <v>0</v>
          </cell>
          <cell r="DH261">
            <v>0</v>
          </cell>
          <cell r="DI261">
            <v>8.0000000000000004E-4</v>
          </cell>
          <cell r="DJ261">
            <v>36.96</v>
          </cell>
          <cell r="DK261">
            <v>1.1999999999999999E-3</v>
          </cell>
          <cell r="DL261">
            <v>55.44</v>
          </cell>
          <cell r="DM261">
            <v>2E-3</v>
          </cell>
          <cell r="DN261">
            <v>92.4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1.1000000000000001E-3</v>
          </cell>
          <cell r="DT261">
            <v>49.72</v>
          </cell>
          <cell r="DU261">
            <v>1.1000000000000001E-3</v>
          </cell>
          <cell r="DV261">
            <v>49.72</v>
          </cell>
          <cell r="DW261">
            <v>4.9000000000000002E-2</v>
          </cell>
          <cell r="DX261">
            <v>2194.3300000000004</v>
          </cell>
          <cell r="DY261" t="str">
            <v/>
          </cell>
          <cell r="DZ261">
            <v>0</v>
          </cell>
          <cell r="EA261">
            <v>44782.244897959186</v>
          </cell>
        </row>
        <row r="262">
          <cell r="B262">
            <v>371123</v>
          </cell>
          <cell r="C262" t="str">
            <v>ჩაი-აზერჩაი-100გ_2ც+1ც ულქერი_კაკაოს ფხვნ.25გ</v>
          </cell>
          <cell r="D262" t="str">
            <v>TON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O262">
            <v>0</v>
          </cell>
          <cell r="AP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 t="str">
            <v/>
          </cell>
          <cell r="DZ262" t="str">
            <v>pasiv</v>
          </cell>
          <cell r="EA262" t="e">
            <v>#DIV/0!</v>
          </cell>
        </row>
        <row r="263">
          <cell r="B263">
            <v>328462</v>
          </cell>
          <cell r="C263" t="str">
            <v>ჩაი-აზერჩაი ბუკეტი-მწვანე_100გ*24</v>
          </cell>
          <cell r="D263" t="str">
            <v>TON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O263">
            <v>0</v>
          </cell>
          <cell r="AP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 t="str">
            <v/>
          </cell>
          <cell r="DZ263" t="str">
            <v>pasiv</v>
          </cell>
          <cell r="EA263" t="e">
            <v>#DIV/0!</v>
          </cell>
        </row>
        <row r="264">
          <cell r="B264">
            <v>21162</v>
          </cell>
          <cell r="C264" t="str">
            <v>AZERCAY BUKET_250 GR*40</v>
          </cell>
          <cell r="D264" t="str">
            <v>TON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O264">
            <v>0</v>
          </cell>
          <cell r="AP264">
            <v>0</v>
          </cell>
          <cell r="AS264">
            <v>0</v>
          </cell>
          <cell r="AT264">
            <v>0</v>
          </cell>
          <cell r="AU264">
            <v>1.2500000000000001E-2</v>
          </cell>
          <cell r="AV264">
            <v>588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1.5E-3</v>
          </cell>
          <cell r="BN264">
            <v>70.56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1.5E-3</v>
          </cell>
          <cell r="BT264">
            <v>70.56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2.5000000000000001E-3</v>
          </cell>
          <cell r="CF264">
            <v>117.6</v>
          </cell>
          <cell r="CG264">
            <v>0</v>
          </cell>
          <cell r="CH264">
            <v>0</v>
          </cell>
          <cell r="CI264">
            <v>2.5000000000000001E-3</v>
          </cell>
          <cell r="CJ264">
            <v>117.6</v>
          </cell>
          <cell r="CK264">
            <v>4.0000000000000001E-3</v>
          </cell>
          <cell r="CL264">
            <v>188.16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8.5000000000000006E-3</v>
          </cell>
          <cell r="CZ264">
            <v>399.84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8.5000000000000006E-3</v>
          </cell>
          <cell r="DF264">
            <v>399.84</v>
          </cell>
          <cell r="DG264">
            <v>0</v>
          </cell>
          <cell r="D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1.2500000000000001E-2</v>
          </cell>
          <cell r="DX264">
            <v>588</v>
          </cell>
          <cell r="DY264" t="str">
            <v/>
          </cell>
          <cell r="DZ264">
            <v>0</v>
          </cell>
          <cell r="EA264">
            <v>47040</v>
          </cell>
        </row>
        <row r="265">
          <cell r="B265">
            <v>289124</v>
          </cell>
          <cell r="C265" t="str">
            <v>ჩაი-აზერჩაი-100გ_3ც+1ც ფინჯანი</v>
          </cell>
          <cell r="D265" t="str">
            <v>TON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O265">
            <v>0</v>
          </cell>
          <cell r="AP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 t="str">
            <v/>
          </cell>
          <cell r="DZ265" t="str">
            <v>pasiv</v>
          </cell>
          <cell r="EA265" t="e">
            <v>#DIV/0!</v>
          </cell>
        </row>
        <row r="266">
          <cell r="B266">
            <v>286964</v>
          </cell>
          <cell r="C266" t="str">
            <v>ჩაი-აზერჩაი ბუკეტი-100*24 გამჭ. პარკში</v>
          </cell>
          <cell r="D266" t="str">
            <v>TON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O266">
            <v>0</v>
          </cell>
          <cell r="AP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 t="str">
            <v/>
          </cell>
          <cell r="DZ266" t="str">
            <v>pasiv</v>
          </cell>
          <cell r="EA266" t="e">
            <v>#DIV/0!</v>
          </cell>
        </row>
        <row r="267">
          <cell r="B267">
            <v>318572</v>
          </cell>
          <cell r="C267" t="str">
            <v>ჩაი-აზერჩაი ასტარა-ბუკეტი_100გ*50_ გამჭ. პარკში</v>
          </cell>
          <cell r="D267" t="str">
            <v>TON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4.0000000000000002E-4</v>
          </cell>
          <cell r="AF267">
            <v>13.16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5.9999999999999995E-4</v>
          </cell>
          <cell r="AL267">
            <v>22.08</v>
          </cell>
          <cell r="AO267">
            <v>1E-3</v>
          </cell>
          <cell r="AP267">
            <v>35.239999999999995</v>
          </cell>
          <cell r="AS267">
            <v>0</v>
          </cell>
          <cell r="AT267">
            <v>0</v>
          </cell>
          <cell r="AU267">
            <v>2E-3</v>
          </cell>
          <cell r="AV267">
            <v>69.2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1E-3</v>
          </cell>
          <cell r="BX267">
            <v>33.96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1E-3</v>
          </cell>
          <cell r="CJ267">
            <v>33.96</v>
          </cell>
          <cell r="CK267">
            <v>1E-3</v>
          </cell>
          <cell r="CL267">
            <v>33.96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2E-3</v>
          </cell>
          <cell r="DX267">
            <v>69.199999999999989</v>
          </cell>
          <cell r="DY267" t="str">
            <v/>
          </cell>
          <cell r="DZ267">
            <v>0</v>
          </cell>
          <cell r="EA267">
            <v>34599.999999999993</v>
          </cell>
        </row>
        <row r="268">
          <cell r="B268">
            <v>321779</v>
          </cell>
          <cell r="C268" t="str">
            <v>ჩაი-აზერჩაი ასტარა-ბუკეტი_200გ*20_გამჭ. პარკში</v>
          </cell>
          <cell r="D268" t="str">
            <v>TON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O268">
            <v>0</v>
          </cell>
          <cell r="AP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 t="str">
            <v/>
          </cell>
          <cell r="DZ268" t="str">
            <v>pasiv</v>
          </cell>
          <cell r="EA268" t="e">
            <v>#DIV/0!</v>
          </cell>
        </row>
        <row r="269">
          <cell r="B269">
            <v>136120</v>
          </cell>
          <cell r="C269" t="str">
            <v>AZERCAY YSL JASMIN_100QR*60</v>
          </cell>
          <cell r="D269" t="str">
            <v>TON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O269">
            <v>0</v>
          </cell>
          <cell r="AP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 t="str">
            <v/>
          </cell>
          <cell r="DZ269" t="str">
            <v>pasiv</v>
          </cell>
          <cell r="EA269" t="e">
            <v>#DIV/0!</v>
          </cell>
        </row>
        <row r="270">
          <cell r="B270">
            <v>359283</v>
          </cell>
          <cell r="C270" t="str">
            <v>ჩაი-აზერჩაი-100გ_10ც+1ც</v>
          </cell>
          <cell r="D270" t="str">
            <v>TON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O270">
            <v>0</v>
          </cell>
          <cell r="AP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 t="str">
            <v/>
          </cell>
          <cell r="DZ270" t="str">
            <v>pasiv</v>
          </cell>
          <cell r="EA270" t="e">
            <v>#DIV/0!</v>
          </cell>
        </row>
        <row r="271">
          <cell r="B271">
            <v>359285</v>
          </cell>
          <cell r="C271" t="str">
            <v>ჩაი-აზერჩაი ბუკეტ-100გ_10ც+1ც-გამჭ. პარკში</v>
          </cell>
          <cell r="D271" t="str">
            <v>TON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O271">
            <v>0</v>
          </cell>
          <cell r="AP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 t="str">
            <v/>
          </cell>
          <cell r="DZ271" t="str">
            <v>pasiv</v>
          </cell>
          <cell r="EA271" t="e">
            <v>#DIV/0!</v>
          </cell>
        </row>
        <row r="272">
          <cell r="B272">
            <v>313031</v>
          </cell>
          <cell r="C272" t="str">
            <v>ჩაი-აზერჩაი-პეკოე-6.75კგ/450*15</v>
          </cell>
          <cell r="D272" t="str">
            <v>TON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O272">
            <v>0</v>
          </cell>
          <cell r="AP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 t="str">
            <v/>
          </cell>
          <cell r="DZ272" t="str">
            <v>pasiv</v>
          </cell>
          <cell r="EA272" t="e">
            <v>#DIV/0!</v>
          </cell>
        </row>
        <row r="273">
          <cell r="B273">
            <v>313040</v>
          </cell>
          <cell r="C273" t="str">
            <v>ჩაი-აზერჩაი-პეკოე-7.5კგ/250*30</v>
          </cell>
          <cell r="D273" t="str">
            <v>TON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O273">
            <v>0</v>
          </cell>
          <cell r="AP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 t="str">
            <v/>
          </cell>
          <cell r="DZ273" t="str">
            <v>pasiv</v>
          </cell>
          <cell r="EA273" t="e">
            <v>#DIV/0!</v>
          </cell>
        </row>
        <row r="274">
          <cell r="B274">
            <v>174169</v>
          </cell>
          <cell r="C274" t="str">
            <v>ჩაი-აზერჩაი-ხალჩა-100გ*20_თუნუქი</v>
          </cell>
          <cell r="D274" t="str">
            <v>TON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O274">
            <v>0</v>
          </cell>
          <cell r="AP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  <cell r="DD274">
            <v>0</v>
          </cell>
          <cell r="DE274">
            <v>0</v>
          </cell>
          <cell r="DF274">
            <v>0</v>
          </cell>
          <cell r="DG274">
            <v>0</v>
          </cell>
          <cell r="D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 t="str">
            <v/>
          </cell>
          <cell r="DZ274" t="str">
            <v>pasiv</v>
          </cell>
          <cell r="EA274" t="e">
            <v>#DIV/0!</v>
          </cell>
        </row>
        <row r="275">
          <cell r="A275">
            <v>3000</v>
          </cell>
          <cell r="C275" t="str">
            <v>AZERCAY DOKME</v>
          </cell>
          <cell r="D275" t="str">
            <v>TON</v>
          </cell>
          <cell r="E275">
            <v>2E-3</v>
          </cell>
          <cell r="F275">
            <v>66.930000000000007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O275">
            <v>2E-3</v>
          </cell>
          <cell r="P275">
            <v>66.930000000000007</v>
          </cell>
          <cell r="Q275">
            <v>1.2999999999999999E-3</v>
          </cell>
          <cell r="R275">
            <v>54.510000000000005</v>
          </cell>
          <cell r="S275">
            <v>3.8500000000000001E-3</v>
          </cell>
          <cell r="T275">
            <v>123.55000000000001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5.1500000000000001E-3</v>
          </cell>
          <cell r="Z275">
            <v>178.06</v>
          </cell>
          <cell r="AA275">
            <v>0</v>
          </cell>
          <cell r="AB275">
            <v>0</v>
          </cell>
          <cell r="AC275">
            <v>7.1999999999999998E-3</v>
          </cell>
          <cell r="AD275">
            <v>266.64</v>
          </cell>
          <cell r="AE275">
            <v>5.0000000000000001E-4</v>
          </cell>
          <cell r="AF275">
            <v>17.77</v>
          </cell>
          <cell r="AG275">
            <v>3.8999999999999998E-3</v>
          </cell>
          <cell r="AH275">
            <v>158.18</v>
          </cell>
          <cell r="AI275">
            <v>5.8999999999999999E-3</v>
          </cell>
          <cell r="AJ275">
            <v>246.54000000000002</v>
          </cell>
          <cell r="AK275">
            <v>9.4000000000000004E-3</v>
          </cell>
          <cell r="AL275">
            <v>385.22999999999996</v>
          </cell>
          <cell r="AO275">
            <v>2.69E-2</v>
          </cell>
          <cell r="AP275">
            <v>1074.3599999999999</v>
          </cell>
          <cell r="AS275">
            <v>0</v>
          </cell>
          <cell r="AT275">
            <v>0</v>
          </cell>
          <cell r="AU275">
            <v>0.21510000000000001</v>
          </cell>
          <cell r="AV275">
            <v>8795.11</v>
          </cell>
          <cell r="AW275">
            <v>0</v>
          </cell>
          <cell r="AX275">
            <v>0</v>
          </cell>
          <cell r="AY275">
            <v>4.4999999999999997E-3</v>
          </cell>
          <cell r="AZ275">
            <v>168.62</v>
          </cell>
          <cell r="BA275">
            <v>0</v>
          </cell>
          <cell r="BB275">
            <v>0</v>
          </cell>
          <cell r="BC275">
            <v>4.9999999999999992E-3</v>
          </cell>
          <cell r="BD275">
            <v>216.32999999999998</v>
          </cell>
          <cell r="BE275">
            <v>9.4999999999999998E-3</v>
          </cell>
          <cell r="BF275">
            <v>384.95</v>
          </cell>
          <cell r="BG275">
            <v>6.3999999999999994E-3</v>
          </cell>
          <cell r="BH275">
            <v>236.88</v>
          </cell>
          <cell r="BI275">
            <v>2.8999999999999998E-3</v>
          </cell>
          <cell r="BJ275">
            <v>103.61</v>
          </cell>
          <cell r="BK275">
            <v>7.0000000000000001E-3</v>
          </cell>
          <cell r="BL275">
            <v>269.39999999999998</v>
          </cell>
          <cell r="BM275">
            <v>1.3900000000000001E-2</v>
          </cell>
          <cell r="BN275">
            <v>572.80999999999995</v>
          </cell>
          <cell r="BO275">
            <v>3.3E-3</v>
          </cell>
          <cell r="BP275">
            <v>121.46</v>
          </cell>
          <cell r="BQ275">
            <v>0</v>
          </cell>
          <cell r="BR275">
            <v>0</v>
          </cell>
          <cell r="BS275">
            <v>3.3499999999999995E-2</v>
          </cell>
          <cell r="BT275">
            <v>1304.1599999999999</v>
          </cell>
          <cell r="BU275">
            <v>1.6000000000000001E-3</v>
          </cell>
          <cell r="BV275">
            <v>53.55</v>
          </cell>
          <cell r="BW275">
            <v>1.4E-3</v>
          </cell>
          <cell r="BX275">
            <v>47.35</v>
          </cell>
          <cell r="BY275">
            <v>2.7000000000000001E-3</v>
          </cell>
          <cell r="BZ275">
            <v>89.460000000000008</v>
          </cell>
          <cell r="CA275">
            <v>3.5999999999999999E-3</v>
          </cell>
          <cell r="CB275">
            <v>129.30000000000001</v>
          </cell>
          <cell r="CC275">
            <v>5.0000000000000001E-3</v>
          </cell>
          <cell r="CD275">
            <v>229</v>
          </cell>
          <cell r="CE275">
            <v>1.23E-2</v>
          </cell>
          <cell r="CF275">
            <v>505.06000000000006</v>
          </cell>
          <cell r="CG275">
            <v>0</v>
          </cell>
          <cell r="CH275">
            <v>0</v>
          </cell>
          <cell r="CI275">
            <v>2.6599999999999999E-2</v>
          </cell>
          <cell r="CJ275">
            <v>1053.72</v>
          </cell>
          <cell r="CK275">
            <v>6.0100000000000001E-2</v>
          </cell>
          <cell r="CL275">
            <v>2357.8799999999997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1.3299999999999999E-2</v>
          </cell>
          <cell r="CV275">
            <v>486.63</v>
          </cell>
          <cell r="CW275">
            <v>0</v>
          </cell>
          <cell r="CX275">
            <v>0</v>
          </cell>
          <cell r="CY275">
            <v>6.8700000000000011E-2</v>
          </cell>
          <cell r="CZ275">
            <v>3086.4</v>
          </cell>
          <cell r="DA275">
            <v>6.0999999999999995E-3</v>
          </cell>
          <cell r="DB275">
            <v>270.32</v>
          </cell>
          <cell r="DC275">
            <v>1.2750000000000001E-2</v>
          </cell>
          <cell r="DD275">
            <v>456.26</v>
          </cell>
          <cell r="DE275">
            <v>8.7549999999999989E-2</v>
          </cell>
          <cell r="DF275">
            <v>3812.9800000000005</v>
          </cell>
          <cell r="DG275">
            <v>4.1999999999999997E-3</v>
          </cell>
          <cell r="DH275">
            <v>184.37</v>
          </cell>
          <cell r="DI275">
            <v>2.7000000000000001E-3</v>
          </cell>
          <cell r="DJ275">
            <v>103.00999999999999</v>
          </cell>
          <cell r="DK275">
            <v>3.6999999999999993E-3</v>
          </cell>
          <cell r="DL275">
            <v>145.94</v>
          </cell>
          <cell r="DM275">
            <v>1.06E-2</v>
          </cell>
          <cell r="DN275">
            <v>433.32000000000005</v>
          </cell>
          <cell r="DO275">
            <v>2.5999999999999999E-3</v>
          </cell>
          <cell r="DP275">
            <v>97.39</v>
          </cell>
          <cell r="DQ275">
            <v>5.0000000000000001E-4</v>
          </cell>
          <cell r="DR275">
            <v>16.73</v>
          </cell>
          <cell r="DS275">
            <v>1.0200000000000001E-2</v>
          </cell>
          <cell r="DT275">
            <v>372.51</v>
          </cell>
          <cell r="DU275">
            <v>1.3299999999999999E-2</v>
          </cell>
          <cell r="DV275">
            <v>486.63</v>
          </cell>
          <cell r="DW275">
            <v>0.21510000000000001</v>
          </cell>
          <cell r="DX275">
            <v>8795.1100000000024</v>
          </cell>
          <cell r="DY275" t="str">
            <v/>
          </cell>
          <cell r="DZ275">
            <v>0</v>
          </cell>
          <cell r="EA275">
            <v>40888.470478847055</v>
          </cell>
        </row>
        <row r="276">
          <cell r="B276">
            <v>16627</v>
          </cell>
          <cell r="C276" t="str">
            <v>AZERCAY TEA BAG AR ZRF (50*24)</v>
          </cell>
          <cell r="D276" t="str">
            <v>TON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5.3E-3</v>
          </cell>
          <cell r="T276">
            <v>329.8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5.3E-3</v>
          </cell>
          <cell r="Z276">
            <v>329.8</v>
          </cell>
          <cell r="AA276">
            <v>0</v>
          </cell>
          <cell r="AB276">
            <v>0</v>
          </cell>
          <cell r="AC276">
            <v>3.8E-3</v>
          </cell>
          <cell r="AD276">
            <v>255.36</v>
          </cell>
          <cell r="AE276">
            <v>0</v>
          </cell>
          <cell r="AF276">
            <v>0</v>
          </cell>
          <cell r="AG276">
            <v>1.8E-3</v>
          </cell>
          <cell r="AH276">
            <v>119.42</v>
          </cell>
          <cell r="AI276">
            <v>2.65E-3</v>
          </cell>
          <cell r="AJ276">
            <v>176.54</v>
          </cell>
          <cell r="AK276">
            <v>3.9500000000000004E-3</v>
          </cell>
          <cell r="AL276">
            <v>263.36</v>
          </cell>
          <cell r="AO276">
            <v>1.2200000000000001E-2</v>
          </cell>
          <cell r="AP276">
            <v>814.68000000000006</v>
          </cell>
          <cell r="AS276">
            <v>0</v>
          </cell>
          <cell r="AT276">
            <v>0</v>
          </cell>
          <cell r="AU276">
            <v>0.1096</v>
          </cell>
          <cell r="AV276">
            <v>7186.9</v>
          </cell>
          <cell r="AW276">
            <v>0</v>
          </cell>
          <cell r="AX276">
            <v>0</v>
          </cell>
          <cell r="AY276">
            <v>1.8E-3</v>
          </cell>
          <cell r="AZ276">
            <v>114.05</v>
          </cell>
          <cell r="BA276">
            <v>0</v>
          </cell>
          <cell r="BB276">
            <v>0</v>
          </cell>
          <cell r="BC276">
            <v>1.0499999999999999E-3</v>
          </cell>
          <cell r="BD276">
            <v>70.56</v>
          </cell>
          <cell r="BE276">
            <v>2.8500000000000001E-3</v>
          </cell>
          <cell r="BF276">
            <v>184.61</v>
          </cell>
          <cell r="BG276">
            <v>7.2500000000000004E-3</v>
          </cell>
          <cell r="BH276">
            <v>479.84</v>
          </cell>
          <cell r="BI276">
            <v>0</v>
          </cell>
          <cell r="BJ276">
            <v>0</v>
          </cell>
          <cell r="BK276">
            <v>1E-3</v>
          </cell>
          <cell r="BL276">
            <v>66.400000000000006</v>
          </cell>
          <cell r="BM276">
            <v>5.7499999999999999E-3</v>
          </cell>
          <cell r="BN276">
            <v>371.84</v>
          </cell>
          <cell r="BO276">
            <v>4.4000000000000003E-3</v>
          </cell>
          <cell r="BP276">
            <v>293.60000000000002</v>
          </cell>
          <cell r="BQ276">
            <v>0</v>
          </cell>
          <cell r="BR276">
            <v>0</v>
          </cell>
          <cell r="BS276">
            <v>1.8599999999999998E-2</v>
          </cell>
          <cell r="BT276">
            <v>1225.1199999999999</v>
          </cell>
          <cell r="BU276">
            <v>2.8E-3</v>
          </cell>
          <cell r="BV276">
            <v>175.83</v>
          </cell>
          <cell r="BW276">
            <v>6.9999999999999999E-4</v>
          </cell>
          <cell r="BX276">
            <v>43.64</v>
          </cell>
          <cell r="BY276">
            <v>3.5999999999999999E-3</v>
          </cell>
          <cell r="BZ276">
            <v>233.89</v>
          </cell>
          <cell r="CA276">
            <v>1.805E-2</v>
          </cell>
          <cell r="CB276">
            <v>1212.96</v>
          </cell>
          <cell r="CC276">
            <v>1.8500000000000001E-3</v>
          </cell>
          <cell r="CD276">
            <v>117.7</v>
          </cell>
          <cell r="CE276">
            <v>1.1999999999999999E-3</v>
          </cell>
          <cell r="CF276">
            <v>76.8</v>
          </cell>
          <cell r="CG276">
            <v>0</v>
          </cell>
          <cell r="CH276">
            <v>0</v>
          </cell>
          <cell r="CI276">
            <v>2.8199999999999999E-2</v>
          </cell>
          <cell r="CJ276">
            <v>1860.82</v>
          </cell>
          <cell r="CK276">
            <v>4.6799999999999994E-2</v>
          </cell>
          <cell r="CL276">
            <v>3085.9399999999996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2.0899999999999998E-2</v>
          </cell>
          <cell r="CV276">
            <v>1362.52</v>
          </cell>
          <cell r="CW276">
            <v>0</v>
          </cell>
          <cell r="CX276">
            <v>0</v>
          </cell>
          <cell r="CY276">
            <v>6.6E-3</v>
          </cell>
          <cell r="CZ276">
            <v>439.68</v>
          </cell>
          <cell r="DA276">
            <v>1.8E-3</v>
          </cell>
          <cell r="DB276">
            <v>120.96</v>
          </cell>
          <cell r="DC276">
            <v>3.7000000000000002E-3</v>
          </cell>
          <cell r="DD276">
            <v>232.45</v>
          </cell>
          <cell r="DE276">
            <v>1.21E-2</v>
          </cell>
          <cell r="DF276">
            <v>793.08999999999992</v>
          </cell>
          <cell r="DG276">
            <v>3.65E-3</v>
          </cell>
          <cell r="DH276">
            <v>229.38</v>
          </cell>
          <cell r="DI276">
            <v>2.3999999999999998E-3</v>
          </cell>
          <cell r="DJ276">
            <v>158.88</v>
          </cell>
          <cell r="DK276">
            <v>3.3999999999999998E-3</v>
          </cell>
          <cell r="DL276">
            <v>228</v>
          </cell>
          <cell r="DM276">
            <v>9.4500000000000001E-3</v>
          </cell>
          <cell r="DN276">
            <v>616.26</v>
          </cell>
          <cell r="DO276">
            <v>6.1999999999999998E-3</v>
          </cell>
          <cell r="DP276">
            <v>396.38</v>
          </cell>
          <cell r="DQ276">
            <v>5.7999999999999996E-3</v>
          </cell>
          <cell r="DR276">
            <v>375.74</v>
          </cell>
          <cell r="DS276">
            <v>8.8999999999999999E-3</v>
          </cell>
          <cell r="DT276">
            <v>590.4</v>
          </cell>
          <cell r="DU276">
            <v>2.0899999999999998E-2</v>
          </cell>
          <cell r="DV276">
            <v>1362.52</v>
          </cell>
          <cell r="DW276">
            <v>0.1096</v>
          </cell>
          <cell r="DX276">
            <v>7186.9</v>
          </cell>
          <cell r="DY276" t="str">
            <v/>
          </cell>
          <cell r="DZ276">
            <v>0</v>
          </cell>
          <cell r="EA276">
            <v>65573.905109489046</v>
          </cell>
        </row>
        <row r="277">
          <cell r="B277">
            <v>16906</v>
          </cell>
          <cell r="C277" t="str">
            <v>AZERCAY TEA BAG YESIL ZARFLI_50 GR*24</v>
          </cell>
          <cell r="D277" t="str">
            <v>TON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O277">
            <v>0</v>
          </cell>
          <cell r="AP277">
            <v>0</v>
          </cell>
          <cell r="AS277">
            <v>0</v>
          </cell>
          <cell r="AT277">
            <v>0</v>
          </cell>
          <cell r="AU277">
            <v>1.5E-3</v>
          </cell>
          <cell r="AV277">
            <v>78.900000000000006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1.5E-3</v>
          </cell>
          <cell r="CZ277">
            <v>78.900000000000006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1.5E-3</v>
          </cell>
          <cell r="DF277">
            <v>78.900000000000006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1.5E-3</v>
          </cell>
          <cell r="DX277">
            <v>78.900000000000006</v>
          </cell>
          <cell r="DY277" t="str">
            <v/>
          </cell>
          <cell r="DZ277">
            <v>0</v>
          </cell>
          <cell r="EA277">
            <v>52600</v>
          </cell>
        </row>
        <row r="278">
          <cell r="B278">
            <v>115738</v>
          </cell>
          <cell r="C278" t="str">
            <v>AZERCAY TB SAFTALI_45QR*24_ZARFLI</v>
          </cell>
          <cell r="D278" t="str">
            <v>TON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O278">
            <v>0</v>
          </cell>
          <cell r="AP278">
            <v>0</v>
          </cell>
          <cell r="AS278">
            <v>0</v>
          </cell>
          <cell r="AT278">
            <v>0</v>
          </cell>
          <cell r="AU278">
            <v>2.7899999999999999E-3</v>
          </cell>
          <cell r="AV278">
            <v>204.65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2.7E-4</v>
          </cell>
          <cell r="CF278">
            <v>20.82</v>
          </cell>
          <cell r="CG278">
            <v>0</v>
          </cell>
          <cell r="CH278">
            <v>0</v>
          </cell>
          <cell r="CI278">
            <v>2.7E-4</v>
          </cell>
          <cell r="CJ278">
            <v>20.82</v>
          </cell>
          <cell r="CK278">
            <v>2.7E-4</v>
          </cell>
          <cell r="CL278">
            <v>20.82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5.4000000000000001E-4</v>
          </cell>
          <cell r="CV278">
            <v>38.81</v>
          </cell>
          <cell r="CW278">
            <v>0</v>
          </cell>
          <cell r="CX278">
            <v>0</v>
          </cell>
          <cell r="CY278">
            <v>1.08E-3</v>
          </cell>
          <cell r="CZ278">
            <v>79.2</v>
          </cell>
          <cell r="DA278">
            <v>4.4999999999999999E-4</v>
          </cell>
          <cell r="DB278">
            <v>34.700000000000003</v>
          </cell>
          <cell r="DC278">
            <v>4.0499999999999998E-4</v>
          </cell>
          <cell r="DD278">
            <v>27.92</v>
          </cell>
          <cell r="DE278">
            <v>1.9350000000000001E-3</v>
          </cell>
          <cell r="DF278">
            <v>141.82</v>
          </cell>
          <cell r="DG278">
            <v>0</v>
          </cell>
          <cell r="DH278">
            <v>0</v>
          </cell>
          <cell r="DI278">
            <v>4.5000000000000003E-5</v>
          </cell>
          <cell r="DJ278">
            <v>3.2</v>
          </cell>
          <cell r="DK278">
            <v>0</v>
          </cell>
          <cell r="DL278">
            <v>0</v>
          </cell>
          <cell r="DM278">
            <v>4.5000000000000003E-5</v>
          </cell>
          <cell r="DN278">
            <v>3.2</v>
          </cell>
          <cell r="DO278">
            <v>0</v>
          </cell>
          <cell r="DP278">
            <v>0</v>
          </cell>
          <cell r="DQ278">
            <v>2.7E-4</v>
          </cell>
          <cell r="DR278">
            <v>19.010000000000002</v>
          </cell>
          <cell r="DS278">
            <v>2.7E-4</v>
          </cell>
          <cell r="DT278">
            <v>19.8</v>
          </cell>
          <cell r="DU278">
            <v>5.4000000000000001E-4</v>
          </cell>
          <cell r="DV278">
            <v>38.81</v>
          </cell>
          <cell r="DW278">
            <v>2.7899999999999999E-3</v>
          </cell>
          <cell r="DX278">
            <v>204.64999999999998</v>
          </cell>
          <cell r="DY278" t="str">
            <v/>
          </cell>
          <cell r="DZ278">
            <v>0</v>
          </cell>
          <cell r="EA278">
            <v>73351.254480286734</v>
          </cell>
        </row>
        <row r="279">
          <cell r="B279">
            <v>115740</v>
          </cell>
          <cell r="C279" t="str">
            <v>AZERCAY TB CIYELEK_45QR*24_ZARFLI</v>
          </cell>
          <cell r="D279" t="str">
            <v>TON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O279">
            <v>0</v>
          </cell>
          <cell r="AP279">
            <v>0</v>
          </cell>
          <cell r="AS279">
            <v>0</v>
          </cell>
          <cell r="AT279">
            <v>0</v>
          </cell>
          <cell r="AU279">
            <v>4.0499999999999998E-3</v>
          </cell>
          <cell r="AV279">
            <v>296.13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3.6000000000000002E-4</v>
          </cell>
          <cell r="BD279">
            <v>27.42</v>
          </cell>
          <cell r="BE279">
            <v>3.6000000000000002E-4</v>
          </cell>
          <cell r="BF279">
            <v>27.42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8.9999999999999998E-4</v>
          </cell>
          <cell r="BN279">
            <v>63.7</v>
          </cell>
          <cell r="BO279">
            <v>1.35E-4</v>
          </cell>
          <cell r="BP279">
            <v>10.41</v>
          </cell>
          <cell r="BQ279">
            <v>0</v>
          </cell>
          <cell r="BR279">
            <v>0</v>
          </cell>
          <cell r="BS279">
            <v>1.0349999999999999E-3</v>
          </cell>
          <cell r="BT279">
            <v>74.11</v>
          </cell>
          <cell r="BU279">
            <v>0</v>
          </cell>
          <cell r="BV279">
            <v>0</v>
          </cell>
          <cell r="BW279">
            <v>7.6499999999999995E-4</v>
          </cell>
          <cell r="BX279">
            <v>54.92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7.6499999999999995E-4</v>
          </cell>
          <cell r="CJ279">
            <v>54.92</v>
          </cell>
          <cell r="CK279">
            <v>1.8E-3</v>
          </cell>
          <cell r="CL279">
            <v>129.03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8.0999999999999996E-4</v>
          </cell>
          <cell r="CV279">
            <v>58.61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8.0999999999999996E-4</v>
          </cell>
          <cell r="DB279">
            <v>62.46</v>
          </cell>
          <cell r="DC279">
            <v>2.7E-4</v>
          </cell>
          <cell r="DD279">
            <v>18.61</v>
          </cell>
          <cell r="DE279">
            <v>1.08E-3</v>
          </cell>
          <cell r="DF279">
            <v>81.069999999999993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2.7E-4</v>
          </cell>
          <cell r="DR279">
            <v>19.010000000000002</v>
          </cell>
          <cell r="DS279">
            <v>5.4000000000000001E-4</v>
          </cell>
          <cell r="DT279">
            <v>39.6</v>
          </cell>
          <cell r="DU279">
            <v>8.0999999999999996E-4</v>
          </cell>
          <cell r="DV279">
            <v>58.61</v>
          </cell>
          <cell r="DW279">
            <v>4.0499999999999998E-3</v>
          </cell>
          <cell r="DX279">
            <v>296.13000000000005</v>
          </cell>
          <cell r="DY279" t="str">
            <v/>
          </cell>
          <cell r="DZ279">
            <v>0</v>
          </cell>
          <cell r="EA279">
            <v>73118.51851851854</v>
          </cell>
        </row>
        <row r="280">
          <cell r="B280">
            <v>115741</v>
          </cell>
          <cell r="C280" t="str">
            <v>AZERCAY TB LIMON_45QR*24_ZERFLI</v>
          </cell>
          <cell r="D280" t="str">
            <v>TON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O280">
            <v>0</v>
          </cell>
          <cell r="AP280">
            <v>0</v>
          </cell>
          <cell r="AS280">
            <v>0</v>
          </cell>
          <cell r="AT280">
            <v>0</v>
          </cell>
          <cell r="AU280">
            <v>5.6249999999999998E-3</v>
          </cell>
          <cell r="AV280">
            <v>422.89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2.7E-4</v>
          </cell>
          <cell r="BN280">
            <v>20.82</v>
          </cell>
          <cell r="BO280">
            <v>2.7E-4</v>
          </cell>
          <cell r="BP280">
            <v>20.82</v>
          </cell>
          <cell r="BQ280">
            <v>0</v>
          </cell>
          <cell r="BR280">
            <v>0</v>
          </cell>
          <cell r="BS280">
            <v>6.3000000000000003E-4</v>
          </cell>
          <cell r="BT280">
            <v>48.58</v>
          </cell>
          <cell r="BU280">
            <v>0</v>
          </cell>
          <cell r="BV280">
            <v>0</v>
          </cell>
          <cell r="BW280">
            <v>2.7E-4</v>
          </cell>
          <cell r="BX280">
            <v>19.21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5.4000000000000001E-4</v>
          </cell>
          <cell r="CF280">
            <v>41.64</v>
          </cell>
          <cell r="CG280">
            <v>0</v>
          </cell>
          <cell r="CH280">
            <v>0</v>
          </cell>
          <cell r="CI280">
            <v>8.0999999999999996E-4</v>
          </cell>
          <cell r="CJ280">
            <v>60.85</v>
          </cell>
          <cell r="CK280">
            <v>1.4399999999999999E-3</v>
          </cell>
          <cell r="CL280">
            <v>109.43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9.8999999999999999E-4</v>
          </cell>
          <cell r="CV280">
            <v>74.53</v>
          </cell>
          <cell r="CW280">
            <v>0</v>
          </cell>
          <cell r="CX280">
            <v>0</v>
          </cell>
          <cell r="CY280">
            <v>2.7000000000000001E-3</v>
          </cell>
          <cell r="CZ280">
            <v>204.12</v>
          </cell>
          <cell r="DA280">
            <v>0</v>
          </cell>
          <cell r="DB280">
            <v>0</v>
          </cell>
          <cell r="DC280">
            <v>2.7E-4</v>
          </cell>
          <cell r="DD280">
            <v>18.61</v>
          </cell>
          <cell r="DE280">
            <v>2.97E-3</v>
          </cell>
          <cell r="DF280">
            <v>222.73000000000002</v>
          </cell>
          <cell r="DG280">
            <v>0</v>
          </cell>
          <cell r="DH280">
            <v>0</v>
          </cell>
          <cell r="DI280">
            <v>4.5000000000000003E-5</v>
          </cell>
          <cell r="DJ280">
            <v>3.2</v>
          </cell>
          <cell r="DK280">
            <v>1.8000000000000001E-4</v>
          </cell>
          <cell r="DL280">
            <v>13</v>
          </cell>
          <cell r="DM280">
            <v>2.2499999999999999E-4</v>
          </cell>
          <cell r="DN280">
            <v>16.2</v>
          </cell>
          <cell r="DO280">
            <v>0</v>
          </cell>
          <cell r="DP280">
            <v>0</v>
          </cell>
          <cell r="DQ280">
            <v>5.4000000000000001E-4</v>
          </cell>
          <cell r="DR280">
            <v>39.83</v>
          </cell>
          <cell r="DS280">
            <v>4.4999999999999999E-4</v>
          </cell>
          <cell r="DT280">
            <v>34.700000000000003</v>
          </cell>
          <cell r="DU280">
            <v>9.8999999999999999E-4</v>
          </cell>
          <cell r="DV280">
            <v>74.53</v>
          </cell>
          <cell r="DW280">
            <v>5.6249999999999998E-3</v>
          </cell>
          <cell r="DX280">
            <v>422.89000000000004</v>
          </cell>
          <cell r="DY280" t="str">
            <v/>
          </cell>
          <cell r="DZ280">
            <v>0</v>
          </cell>
          <cell r="EA280">
            <v>75180.444444444453</v>
          </cell>
        </row>
        <row r="281">
          <cell r="B281">
            <v>329863</v>
          </cell>
          <cell r="C281" t="str">
            <v>ჩაი-აზერჩაი-34გ*24-განსაკუთრებული დღეებისთვის</v>
          </cell>
          <cell r="D281" t="str">
            <v>TON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O281">
            <v>0</v>
          </cell>
          <cell r="AP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 t="str">
            <v/>
          </cell>
          <cell r="DZ281" t="str">
            <v>pasiv</v>
          </cell>
          <cell r="EA281" t="e">
            <v>#DIV/0!</v>
          </cell>
        </row>
        <row r="282">
          <cell r="B282">
            <v>329861</v>
          </cell>
          <cell r="C282" t="str">
            <v>ჩაი-აზერჩაი-34გ*24-საჭმლის მონელებისთვის</v>
          </cell>
          <cell r="D282" t="str">
            <v>TON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O282">
            <v>0</v>
          </cell>
          <cell r="AP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 t="str">
            <v/>
          </cell>
          <cell r="DZ282" t="str">
            <v>pasiv</v>
          </cell>
          <cell r="EA282" t="e">
            <v>#DIV/0!</v>
          </cell>
        </row>
        <row r="283">
          <cell r="B283">
            <v>329862</v>
          </cell>
          <cell r="C283" t="str">
            <v>ჩაი-აზერჩაი-34გ*24-დეტოქსი</v>
          </cell>
          <cell r="D283" t="str">
            <v>TON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O283">
            <v>0</v>
          </cell>
          <cell r="AP283">
            <v>0</v>
          </cell>
          <cell r="AS283">
            <v>0</v>
          </cell>
          <cell r="AT283">
            <v>0</v>
          </cell>
          <cell r="AU283">
            <v>-6.7999999999999999E-5</v>
          </cell>
          <cell r="AV283">
            <v>-7.6</v>
          </cell>
          <cell r="AW283">
            <v>0</v>
          </cell>
          <cell r="AX283">
            <v>0</v>
          </cell>
          <cell r="AY283">
            <v>-6.7999999999999999E-5</v>
          </cell>
          <cell r="AZ283">
            <v>-7.6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-6.7999999999999999E-5</v>
          </cell>
          <cell r="BF283">
            <v>-7.6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  <cell r="DF283">
            <v>0</v>
          </cell>
          <cell r="DG283">
            <v>0</v>
          </cell>
          <cell r="DH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-6.7999999999999999E-5</v>
          </cell>
          <cell r="DX283">
            <v>-7.6</v>
          </cell>
          <cell r="DY283" t="str">
            <v/>
          </cell>
          <cell r="DZ283">
            <v>0</v>
          </cell>
          <cell r="EA283">
            <v>111764.70588235294</v>
          </cell>
        </row>
        <row r="284">
          <cell r="B284">
            <v>329864</v>
          </cell>
          <cell r="C284" t="str">
            <v>ჩაი-აზერჩაი-34გ*24-მეძუძური დედებისთვის</v>
          </cell>
          <cell r="D284" t="str">
            <v>TON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O284">
            <v>0</v>
          </cell>
          <cell r="AP284">
            <v>0</v>
          </cell>
          <cell r="AS284">
            <v>0</v>
          </cell>
          <cell r="AT284">
            <v>0</v>
          </cell>
          <cell r="AU284">
            <v>-5.44E-4</v>
          </cell>
          <cell r="AV284">
            <v>-60.3</v>
          </cell>
          <cell r="AW284">
            <v>0</v>
          </cell>
          <cell r="AX284">
            <v>0</v>
          </cell>
          <cell r="AY284">
            <v>-3.4000000000000002E-4</v>
          </cell>
          <cell r="AZ284">
            <v>-37.799999999999997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-3.4000000000000002E-4</v>
          </cell>
          <cell r="BF284">
            <v>-37.799999999999997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-2.04E-4</v>
          </cell>
          <cell r="CZ284">
            <v>-22.5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-2.04E-4</v>
          </cell>
          <cell r="DF284">
            <v>-22.5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-5.44E-4</v>
          </cell>
          <cell r="DX284">
            <v>-60.3</v>
          </cell>
          <cell r="DY284" t="str">
            <v/>
          </cell>
          <cell r="DZ284">
            <v>0</v>
          </cell>
          <cell r="EA284">
            <v>110845.58823529411</v>
          </cell>
        </row>
        <row r="285">
          <cell r="B285">
            <v>329880</v>
          </cell>
          <cell r="C285" t="str">
            <v>ჩაი-აზერჩაი-34გ*24-ოთხი სეზონი</v>
          </cell>
          <cell r="D285" t="str">
            <v>TON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O285">
            <v>0</v>
          </cell>
          <cell r="AP285">
            <v>0</v>
          </cell>
          <cell r="AS285">
            <v>0</v>
          </cell>
          <cell r="AT285">
            <v>0</v>
          </cell>
          <cell r="AU285">
            <v>-1.02E-4</v>
          </cell>
          <cell r="AV285">
            <v>-11.4</v>
          </cell>
          <cell r="AW285">
            <v>0</v>
          </cell>
          <cell r="AX285">
            <v>0</v>
          </cell>
          <cell r="AY285">
            <v>-1.02E-4</v>
          </cell>
          <cell r="AZ285">
            <v>-11.4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-1.02E-4</v>
          </cell>
          <cell r="BF285">
            <v>-11.4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-1.02E-4</v>
          </cell>
          <cell r="DX285">
            <v>-11.4</v>
          </cell>
          <cell r="DY285" t="str">
            <v/>
          </cell>
          <cell r="DZ285">
            <v>0</v>
          </cell>
          <cell r="EA285">
            <v>111764.70588235295</v>
          </cell>
        </row>
        <row r="286">
          <cell r="B286">
            <v>329881</v>
          </cell>
          <cell r="C286" t="str">
            <v>ჩაი-აზერჩაი-34გ*24-რილექსი</v>
          </cell>
          <cell r="D286" t="str">
            <v>TON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O286">
            <v>0</v>
          </cell>
          <cell r="AP286">
            <v>0</v>
          </cell>
          <cell r="AS286">
            <v>0</v>
          </cell>
          <cell r="AT286">
            <v>0</v>
          </cell>
          <cell r="AU286">
            <v>6.1200000000000002E-4</v>
          </cell>
          <cell r="AV286">
            <v>65.55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6.1200000000000002E-4</v>
          </cell>
          <cell r="DD286">
            <v>65.55</v>
          </cell>
          <cell r="DE286">
            <v>6.1200000000000002E-4</v>
          </cell>
          <cell r="DF286">
            <v>65.55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6.1200000000000002E-4</v>
          </cell>
          <cell r="DX286">
            <v>65.55</v>
          </cell>
          <cell r="DY286" t="str">
            <v/>
          </cell>
          <cell r="DZ286">
            <v>0</v>
          </cell>
          <cell r="EA286">
            <v>107107.84313725489</v>
          </cell>
        </row>
        <row r="287">
          <cell r="B287">
            <v>262393</v>
          </cell>
          <cell r="C287" t="str">
            <v>ჩაი-აზერჩაი-ჟასმინის_კონ-(50*24)</v>
          </cell>
          <cell r="D287" t="str">
            <v>TON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O287">
            <v>0</v>
          </cell>
          <cell r="AP287">
            <v>0</v>
          </cell>
          <cell r="AS287">
            <v>0</v>
          </cell>
          <cell r="AT287">
            <v>0</v>
          </cell>
          <cell r="AU287">
            <v>1.1999999999999999E-3</v>
          </cell>
          <cell r="AV287">
            <v>70.59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2.5000000000000001E-4</v>
          </cell>
          <cell r="CF287">
            <v>14.5</v>
          </cell>
          <cell r="CG287">
            <v>0</v>
          </cell>
          <cell r="CH287">
            <v>0</v>
          </cell>
          <cell r="CI287">
            <v>2.5000000000000001E-4</v>
          </cell>
          <cell r="CJ287">
            <v>14.5</v>
          </cell>
          <cell r="CK287">
            <v>2.5000000000000001E-4</v>
          </cell>
          <cell r="CL287">
            <v>14.5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5.9999999999999995E-4</v>
          </cell>
          <cell r="CZ287">
            <v>34.799999999999997</v>
          </cell>
          <cell r="DA287">
            <v>2.9999999999999997E-4</v>
          </cell>
          <cell r="DB287">
            <v>18.3</v>
          </cell>
          <cell r="DC287">
            <v>0</v>
          </cell>
          <cell r="DD287">
            <v>0</v>
          </cell>
          <cell r="DE287">
            <v>8.9999999999999998E-4</v>
          </cell>
          <cell r="DF287">
            <v>53.099999999999994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1.15E-3</v>
          </cell>
          <cell r="DX287">
            <v>67.599999999999994</v>
          </cell>
          <cell r="DY287" t="str">
            <v/>
          </cell>
          <cell r="DZ287">
            <v>0</v>
          </cell>
          <cell r="EA287">
            <v>58782.608695652169</v>
          </cell>
        </row>
        <row r="288">
          <cell r="B288">
            <v>285066</v>
          </cell>
          <cell r="C288" t="str">
            <v>ჩაი-აზერჩაი-45გ*24-მარწყვი.საზამთრო</v>
          </cell>
          <cell r="D288" t="str">
            <v>TON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O288">
            <v>0</v>
          </cell>
          <cell r="AP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 t="str">
            <v/>
          </cell>
          <cell r="DZ288" t="str">
            <v>pasiv</v>
          </cell>
          <cell r="EA288" t="e">
            <v>#DIV/0!</v>
          </cell>
        </row>
        <row r="289">
          <cell r="B289">
            <v>218123</v>
          </cell>
          <cell r="C289" t="str">
            <v>ჩაი-აზერჩაი-მანგო ანანას_კონ.(40*24)</v>
          </cell>
          <cell r="D289" t="str">
            <v>TON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O289">
            <v>0</v>
          </cell>
          <cell r="AP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 t="str">
            <v/>
          </cell>
          <cell r="DZ289" t="str">
            <v>pasiv</v>
          </cell>
          <cell r="EA289" t="e">
            <v>#DIV/0!</v>
          </cell>
        </row>
        <row r="290">
          <cell r="B290">
            <v>289128</v>
          </cell>
          <cell r="C290" t="str">
            <v>ჩაი-აზერჩაი-ხილის-45გ_3ც+1ც ფინჯანი</v>
          </cell>
          <cell r="D290" t="str">
            <v>TON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O290">
            <v>0</v>
          </cell>
          <cell r="AP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 t="str">
            <v/>
          </cell>
          <cell r="DZ290" t="str">
            <v>pasiv</v>
          </cell>
          <cell r="EA290" t="e">
            <v>#DIV/0!</v>
          </cell>
        </row>
        <row r="291">
          <cell r="B291">
            <v>54699</v>
          </cell>
          <cell r="C291" t="str">
            <v>AZERCAY TEA BAG_50GR*24_ZARFSIZ</v>
          </cell>
          <cell r="D291" t="str">
            <v>TON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O291">
            <v>0</v>
          </cell>
          <cell r="P291">
            <v>0</v>
          </cell>
          <cell r="Q291">
            <v>3.5999999999999999E-3</v>
          </cell>
          <cell r="R291">
            <v>186.62</v>
          </cell>
          <cell r="S291">
            <v>1.1999999999999999E-3</v>
          </cell>
          <cell r="T291">
            <v>62.21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4.7999999999999996E-3</v>
          </cell>
          <cell r="Z291">
            <v>248.83</v>
          </cell>
          <cell r="AA291">
            <v>0</v>
          </cell>
          <cell r="AB291">
            <v>0</v>
          </cell>
          <cell r="AC291">
            <v>1.3500000000000001E-3</v>
          </cell>
          <cell r="AD291">
            <v>76.680000000000007</v>
          </cell>
          <cell r="AE291">
            <v>0</v>
          </cell>
          <cell r="AF291">
            <v>0</v>
          </cell>
          <cell r="AG291">
            <v>8.9999999999999998E-4</v>
          </cell>
          <cell r="AH291">
            <v>49.79</v>
          </cell>
          <cell r="AI291">
            <v>1.6999999999999999E-3</v>
          </cell>
          <cell r="AJ291">
            <v>95.23</v>
          </cell>
          <cell r="AK291">
            <v>1.5499999999999999E-3</v>
          </cell>
          <cell r="AL291">
            <v>86.71</v>
          </cell>
          <cell r="AO291">
            <v>5.5000000000000005E-3</v>
          </cell>
          <cell r="AP291">
            <v>308.40999999999997</v>
          </cell>
          <cell r="AS291">
            <v>0</v>
          </cell>
          <cell r="AT291">
            <v>0</v>
          </cell>
          <cell r="AU291">
            <v>3.5749999999999997E-2</v>
          </cell>
          <cell r="AV291">
            <v>1980.75</v>
          </cell>
          <cell r="AW291">
            <v>0</v>
          </cell>
          <cell r="AX291">
            <v>0</v>
          </cell>
          <cell r="AY291">
            <v>1.1999999999999999E-3</v>
          </cell>
          <cell r="AZ291">
            <v>64.8</v>
          </cell>
          <cell r="BA291">
            <v>0</v>
          </cell>
          <cell r="BB291">
            <v>0</v>
          </cell>
          <cell r="BC291">
            <v>1.8500000000000001E-3</v>
          </cell>
          <cell r="BD291">
            <v>105.08</v>
          </cell>
          <cell r="BE291">
            <v>3.0499999999999998E-3</v>
          </cell>
          <cell r="BF291">
            <v>169.88</v>
          </cell>
          <cell r="BG291">
            <v>0</v>
          </cell>
          <cell r="BH291">
            <v>0</v>
          </cell>
          <cell r="BI291">
            <v>1.4499999999999999E-3</v>
          </cell>
          <cell r="BJ291">
            <v>81.260000000000005</v>
          </cell>
          <cell r="BK291">
            <v>0</v>
          </cell>
          <cell r="BL291">
            <v>0</v>
          </cell>
          <cell r="BM291">
            <v>2E-3</v>
          </cell>
          <cell r="BN291">
            <v>113.6</v>
          </cell>
          <cell r="BO291">
            <v>4.5999999999999999E-3</v>
          </cell>
          <cell r="BP291">
            <v>260.86</v>
          </cell>
          <cell r="BQ291">
            <v>0</v>
          </cell>
          <cell r="BR291">
            <v>0</v>
          </cell>
          <cell r="BS291">
            <v>8.2500000000000004E-3</v>
          </cell>
          <cell r="BT291">
            <v>467.08</v>
          </cell>
          <cell r="BU291">
            <v>8.4999999999999995E-4</v>
          </cell>
          <cell r="BV291">
            <v>45.01</v>
          </cell>
          <cell r="BW291">
            <v>1.8500000000000001E-3</v>
          </cell>
          <cell r="BX291">
            <v>98.11</v>
          </cell>
          <cell r="BY291">
            <v>1.1999999999999999E-3</v>
          </cell>
          <cell r="BZ291">
            <v>65.510000000000005</v>
          </cell>
          <cell r="CA291">
            <v>1.15E-3</v>
          </cell>
          <cell r="CB291">
            <v>65.319999999999993</v>
          </cell>
          <cell r="CC291">
            <v>2.5000000000000001E-4</v>
          </cell>
          <cell r="CD291">
            <v>13.5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5.3E-3</v>
          </cell>
          <cell r="CJ291">
            <v>287.45</v>
          </cell>
          <cell r="CK291">
            <v>1.355E-2</v>
          </cell>
          <cell r="CL291">
            <v>754.53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3.3E-3</v>
          </cell>
          <cell r="CV291">
            <v>187.44</v>
          </cell>
          <cell r="CW291">
            <v>0</v>
          </cell>
          <cell r="CX291">
            <v>0</v>
          </cell>
          <cell r="CY291">
            <v>1.1999999999999999E-3</v>
          </cell>
          <cell r="CZ291">
            <v>64.8</v>
          </cell>
          <cell r="DA291">
            <v>1.1999999999999999E-3</v>
          </cell>
          <cell r="DB291">
            <v>68.16</v>
          </cell>
          <cell r="DC291">
            <v>0</v>
          </cell>
          <cell r="DD291">
            <v>0</v>
          </cell>
          <cell r="DE291">
            <v>2.3999999999999998E-3</v>
          </cell>
          <cell r="DF291">
            <v>132.95999999999998</v>
          </cell>
          <cell r="DG291">
            <v>8.0000000000000004E-4</v>
          </cell>
          <cell r="DH291">
            <v>45.44</v>
          </cell>
          <cell r="DI291">
            <v>1.3500000000000001E-3</v>
          </cell>
          <cell r="DJ291">
            <v>76.459999999999994</v>
          </cell>
          <cell r="DK291">
            <v>1E-3</v>
          </cell>
          <cell r="DL291">
            <v>56.8</v>
          </cell>
          <cell r="DM291">
            <v>3.15E-3</v>
          </cell>
          <cell r="DN291">
            <v>178.7</v>
          </cell>
          <cell r="DO291">
            <v>2.9999999999999997E-4</v>
          </cell>
          <cell r="DP291">
            <v>17.04</v>
          </cell>
          <cell r="DQ291">
            <v>0</v>
          </cell>
          <cell r="DR291">
            <v>0</v>
          </cell>
          <cell r="DS291">
            <v>3.0000000000000001E-3</v>
          </cell>
          <cell r="DT291">
            <v>170.4</v>
          </cell>
          <cell r="DU291">
            <v>3.3E-3</v>
          </cell>
          <cell r="DV291">
            <v>187.44</v>
          </cell>
          <cell r="DW291">
            <v>3.5750000000000004E-2</v>
          </cell>
          <cell r="DX291">
            <v>1980.7499999999995</v>
          </cell>
          <cell r="DY291" t="str">
            <v/>
          </cell>
          <cell r="DZ291">
            <v>0</v>
          </cell>
          <cell r="EA291">
            <v>55405.594405594384</v>
          </cell>
        </row>
        <row r="292">
          <cell r="B292">
            <v>54700</v>
          </cell>
          <cell r="C292" t="str">
            <v>AZERCAY YASIL TB KLASSIC_ 50QR*24_ZERFLI</v>
          </cell>
          <cell r="D292" t="str">
            <v>TON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2.5000000000000001E-4</v>
          </cell>
          <cell r="AD292">
            <v>17.350000000000001</v>
          </cell>
          <cell r="AE292">
            <v>0</v>
          </cell>
          <cell r="AF292">
            <v>0</v>
          </cell>
          <cell r="AG292">
            <v>2.9999999999999997E-4</v>
          </cell>
          <cell r="AH292">
            <v>20.82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O292">
            <v>5.4999999999999992E-4</v>
          </cell>
          <cell r="AP292">
            <v>38.17</v>
          </cell>
          <cell r="AS292">
            <v>0</v>
          </cell>
          <cell r="AT292">
            <v>0</v>
          </cell>
          <cell r="AU292">
            <v>4.6499999999999996E-3</v>
          </cell>
          <cell r="AV292">
            <v>311.31</v>
          </cell>
          <cell r="AW292">
            <v>0</v>
          </cell>
          <cell r="AX292">
            <v>0</v>
          </cell>
          <cell r="AY292">
            <v>1.4999999999999999E-4</v>
          </cell>
          <cell r="AZ292">
            <v>9.9</v>
          </cell>
          <cell r="BA292">
            <v>0</v>
          </cell>
          <cell r="BB292">
            <v>0</v>
          </cell>
          <cell r="BC292">
            <v>4.4999999999999999E-4</v>
          </cell>
          <cell r="BD292">
            <v>31.5</v>
          </cell>
          <cell r="BE292">
            <v>5.9999999999999995E-4</v>
          </cell>
          <cell r="BF292">
            <v>41.4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5.9999999999999995E-4</v>
          </cell>
          <cell r="BN292">
            <v>41.64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5.9999999999999995E-4</v>
          </cell>
          <cell r="BT292">
            <v>41.64</v>
          </cell>
          <cell r="BU292">
            <v>0</v>
          </cell>
          <cell r="BV292">
            <v>0</v>
          </cell>
          <cell r="BW292">
            <v>2.5000000000000001E-4</v>
          </cell>
          <cell r="BX292">
            <v>16.5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2.5000000000000001E-4</v>
          </cell>
          <cell r="CJ292">
            <v>16.5</v>
          </cell>
          <cell r="CK292">
            <v>8.4999999999999995E-4</v>
          </cell>
          <cell r="CL292">
            <v>58.14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1.1999999999999999E-3</v>
          </cell>
          <cell r="CV292">
            <v>80.22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  <cell r="DF292">
            <v>0</v>
          </cell>
          <cell r="DG292">
            <v>1.2999999999999999E-3</v>
          </cell>
          <cell r="DH292">
            <v>82.97</v>
          </cell>
          <cell r="DI292">
            <v>0</v>
          </cell>
          <cell r="DJ292">
            <v>0</v>
          </cell>
          <cell r="DK292">
            <v>1.4999999999999999E-4</v>
          </cell>
          <cell r="DL292">
            <v>10.41</v>
          </cell>
          <cell r="DM292">
            <v>1.4499999999999999E-3</v>
          </cell>
          <cell r="DN292">
            <v>93.38</v>
          </cell>
          <cell r="DO292">
            <v>2.9999999999999997E-4</v>
          </cell>
          <cell r="DP292">
            <v>20.82</v>
          </cell>
          <cell r="DQ292">
            <v>0</v>
          </cell>
          <cell r="DR292">
            <v>0</v>
          </cell>
          <cell r="DS292">
            <v>8.9999999999999998E-4</v>
          </cell>
          <cell r="DT292">
            <v>59.4</v>
          </cell>
          <cell r="DU292">
            <v>1.1999999999999999E-3</v>
          </cell>
          <cell r="DV292">
            <v>80.22</v>
          </cell>
          <cell r="DW292">
            <v>4.6499999999999996E-3</v>
          </cell>
          <cell r="DX292">
            <v>311.31</v>
          </cell>
          <cell r="DY292" t="str">
            <v/>
          </cell>
          <cell r="DZ292">
            <v>0</v>
          </cell>
          <cell r="EA292">
            <v>66948.387096774197</v>
          </cell>
        </row>
        <row r="293">
          <cell r="B293">
            <v>22600</v>
          </cell>
          <cell r="C293" t="str">
            <v>AZERCAY TEA BAG_200 GR*12 ZARFSIZ</v>
          </cell>
          <cell r="D293" t="str">
            <v>TON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5.9999999999999995E-4</v>
          </cell>
          <cell r="AL293">
            <v>34.200000000000003</v>
          </cell>
          <cell r="AO293">
            <v>5.9999999999999995E-4</v>
          </cell>
          <cell r="AP293">
            <v>34.200000000000003</v>
          </cell>
          <cell r="AS293">
            <v>0</v>
          </cell>
          <cell r="AT293">
            <v>0</v>
          </cell>
          <cell r="AU293">
            <v>8.0000000000000002E-3</v>
          </cell>
          <cell r="AV293">
            <v>462.84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2.0000000000000001E-4</v>
          </cell>
          <cell r="CH293">
            <v>11.4</v>
          </cell>
          <cell r="CI293">
            <v>2.0000000000000001E-4</v>
          </cell>
          <cell r="CJ293">
            <v>11.4</v>
          </cell>
          <cell r="CK293">
            <v>2.0000000000000001E-4</v>
          </cell>
          <cell r="CL293">
            <v>11.4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7.1999999999999998E-3</v>
          </cell>
          <cell r="CZ293">
            <v>417.24</v>
          </cell>
          <cell r="DA293">
            <v>0</v>
          </cell>
          <cell r="DB293">
            <v>0</v>
          </cell>
          <cell r="DC293">
            <v>0</v>
          </cell>
          <cell r="DD293">
            <v>0</v>
          </cell>
          <cell r="DE293">
            <v>7.1999999999999998E-3</v>
          </cell>
          <cell r="DF293">
            <v>417.24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8.0000000000000002E-3</v>
          </cell>
          <cell r="DX293">
            <v>462.84</v>
          </cell>
          <cell r="DY293" t="str">
            <v/>
          </cell>
          <cell r="DZ293">
            <v>0</v>
          </cell>
          <cell r="EA293">
            <v>57854.999999999993</v>
          </cell>
        </row>
        <row r="294">
          <cell r="B294">
            <v>41217</v>
          </cell>
          <cell r="C294" t="str">
            <v>AZERCAY TB 100QR*24_ZERFSIZ</v>
          </cell>
          <cell r="D294" t="str">
            <v>TON</v>
          </cell>
          <cell r="E294">
            <v>0</v>
          </cell>
          <cell r="F294">
            <v>0</v>
          </cell>
          <cell r="G294">
            <v>4.7999999999999996E-3</v>
          </cell>
          <cell r="H294">
            <v>278.39999999999998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O294">
            <v>4.7999999999999996E-3</v>
          </cell>
          <cell r="P294">
            <v>278.39999999999998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O294">
            <v>0</v>
          </cell>
          <cell r="AP294">
            <v>0</v>
          </cell>
          <cell r="AS294">
            <v>0</v>
          </cell>
          <cell r="AT294">
            <v>0</v>
          </cell>
          <cell r="AU294">
            <v>1.09E-2</v>
          </cell>
          <cell r="AV294">
            <v>649.25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3.0999999999999999E-3</v>
          </cell>
          <cell r="CF294">
            <v>188.15</v>
          </cell>
          <cell r="CG294">
            <v>0</v>
          </cell>
          <cell r="CH294">
            <v>0</v>
          </cell>
          <cell r="CI294">
            <v>3.0999999999999999E-3</v>
          </cell>
          <cell r="CJ294">
            <v>188.15</v>
          </cell>
          <cell r="CK294">
            <v>3.0999999999999999E-3</v>
          </cell>
          <cell r="CL294">
            <v>188.15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3.0000000000000001E-3</v>
          </cell>
          <cell r="CZ294">
            <v>182.7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3.0000000000000001E-3</v>
          </cell>
          <cell r="DF294">
            <v>182.7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1.09E-2</v>
          </cell>
          <cell r="DX294">
            <v>649.25</v>
          </cell>
          <cell r="DY294" t="str">
            <v/>
          </cell>
          <cell r="DZ294">
            <v>0</v>
          </cell>
          <cell r="EA294">
            <v>59564.220183486235</v>
          </cell>
        </row>
        <row r="295">
          <cell r="B295">
            <v>110979</v>
          </cell>
          <cell r="C295" t="str">
            <v>AZERCAY TB GILEMEYVE_45QR*24_ZRF</v>
          </cell>
          <cell r="D295" t="str">
            <v>TON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9.0000000000000006E-5</v>
          </cell>
          <cell r="AD295">
            <v>8.1300000000000008</v>
          </cell>
          <cell r="AE295">
            <v>0</v>
          </cell>
          <cell r="AF295">
            <v>0</v>
          </cell>
          <cell r="AG295">
            <v>5.4000000000000001E-4</v>
          </cell>
          <cell r="AH295">
            <v>41.64</v>
          </cell>
          <cell r="AI295">
            <v>4.95E-4</v>
          </cell>
          <cell r="AJ295">
            <v>38.17</v>
          </cell>
          <cell r="AK295">
            <v>2.7E-4</v>
          </cell>
          <cell r="AL295">
            <v>20.82</v>
          </cell>
          <cell r="AO295">
            <v>1.3950000000000002E-3</v>
          </cell>
          <cell r="AP295">
            <v>108.75999999999999</v>
          </cell>
          <cell r="AS295">
            <v>0</v>
          </cell>
          <cell r="AT295">
            <v>0</v>
          </cell>
          <cell r="AU295">
            <v>2.4615000000000001E-2</v>
          </cell>
          <cell r="AV295">
            <v>1880.12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6.3000000000000003E-4</v>
          </cell>
          <cell r="BD295">
            <v>48.24</v>
          </cell>
          <cell r="BE295">
            <v>6.3000000000000003E-4</v>
          </cell>
          <cell r="BF295">
            <v>48.24</v>
          </cell>
          <cell r="BG295">
            <v>1.6199999999999999E-3</v>
          </cell>
          <cell r="BH295">
            <v>124.92</v>
          </cell>
          <cell r="BI295">
            <v>1.08E-3</v>
          </cell>
          <cell r="BJ295">
            <v>83.28</v>
          </cell>
          <cell r="BK295">
            <v>0</v>
          </cell>
          <cell r="BL295">
            <v>0</v>
          </cell>
          <cell r="BM295">
            <v>3.2399999999999998E-3</v>
          </cell>
          <cell r="BN295">
            <v>242.59</v>
          </cell>
          <cell r="BO295">
            <v>1.2149999999999999E-3</v>
          </cell>
          <cell r="BP295">
            <v>93.69</v>
          </cell>
          <cell r="BQ295">
            <v>0</v>
          </cell>
          <cell r="BR295">
            <v>0</v>
          </cell>
          <cell r="BS295">
            <v>7.1549999999999999E-3</v>
          </cell>
          <cell r="BT295">
            <v>544.48</v>
          </cell>
          <cell r="BU295">
            <v>0</v>
          </cell>
          <cell r="BV295">
            <v>0</v>
          </cell>
          <cell r="BW295">
            <v>5.4000000000000001E-4</v>
          </cell>
          <cell r="BX295">
            <v>38.42</v>
          </cell>
          <cell r="BY295">
            <v>4.4999999999999999E-4</v>
          </cell>
          <cell r="BZ295">
            <v>33</v>
          </cell>
          <cell r="CA295">
            <v>0</v>
          </cell>
          <cell r="CB295">
            <v>0</v>
          </cell>
          <cell r="CC295">
            <v>7.2000000000000005E-4</v>
          </cell>
          <cell r="CD295">
            <v>55.52</v>
          </cell>
          <cell r="CE295">
            <v>5.4000000000000001E-4</v>
          </cell>
          <cell r="CF295">
            <v>41.64</v>
          </cell>
          <cell r="CG295">
            <v>0</v>
          </cell>
          <cell r="CH295">
            <v>0</v>
          </cell>
          <cell r="CI295">
            <v>2.2499999999999998E-3</v>
          </cell>
          <cell r="CJ295">
            <v>168.58</v>
          </cell>
          <cell r="CK295">
            <v>9.4050000000000002E-3</v>
          </cell>
          <cell r="CL295">
            <v>713.06000000000006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3.0599999999999998E-3</v>
          </cell>
          <cell r="CV295">
            <v>233.13</v>
          </cell>
          <cell r="CW295">
            <v>0</v>
          </cell>
          <cell r="CX295">
            <v>0</v>
          </cell>
          <cell r="CY295">
            <v>7.2899999999999996E-3</v>
          </cell>
          <cell r="CZ295">
            <v>562.14</v>
          </cell>
          <cell r="DA295">
            <v>8.0999999999999996E-4</v>
          </cell>
          <cell r="DB295">
            <v>62.46</v>
          </cell>
          <cell r="DC295">
            <v>2.7E-4</v>
          </cell>
          <cell r="DD295">
            <v>18.61</v>
          </cell>
          <cell r="DE295">
            <v>8.369999999999999E-3</v>
          </cell>
          <cell r="DF295">
            <v>643.21</v>
          </cell>
          <cell r="DG295">
            <v>4.95E-4</v>
          </cell>
          <cell r="DH295">
            <v>38.17</v>
          </cell>
          <cell r="DI295">
            <v>3.1500000000000001E-4</v>
          </cell>
          <cell r="DJ295">
            <v>24.02</v>
          </cell>
          <cell r="DK295">
            <v>9.4499999999999998E-4</v>
          </cell>
          <cell r="DL295">
            <v>71.53</v>
          </cell>
          <cell r="DM295">
            <v>1.755E-3</v>
          </cell>
          <cell r="DN295">
            <v>133.72</v>
          </cell>
          <cell r="DO295">
            <v>1.89E-3</v>
          </cell>
          <cell r="DP295">
            <v>145.74</v>
          </cell>
          <cell r="DQ295">
            <v>6.3000000000000003E-4</v>
          </cell>
          <cell r="DR295">
            <v>46.77</v>
          </cell>
          <cell r="DS295">
            <v>5.4000000000000001E-4</v>
          </cell>
          <cell r="DT295">
            <v>40.619999999999997</v>
          </cell>
          <cell r="DU295">
            <v>3.0599999999999998E-3</v>
          </cell>
          <cell r="DV295">
            <v>233.13</v>
          </cell>
          <cell r="DW295">
            <v>2.4614999999999998E-2</v>
          </cell>
          <cell r="DX295">
            <v>1880.1200000000001</v>
          </cell>
          <cell r="DY295" t="str">
            <v/>
          </cell>
          <cell r="DZ295">
            <v>0</v>
          </cell>
          <cell r="EA295">
            <v>76381.06845419461</v>
          </cell>
        </row>
        <row r="296">
          <cell r="A296">
            <v>0.55549999999999999</v>
          </cell>
          <cell r="B296">
            <v>346177</v>
          </cell>
          <cell r="C296" t="str">
            <v>ჩაი-აზერჩაი-არომ-50გ_1ც+1ც ალპელა-შოკოლადით_40გ</v>
          </cell>
          <cell r="D296" t="str">
            <v>TON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O296">
            <v>0</v>
          </cell>
          <cell r="AP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 t="str">
            <v/>
          </cell>
          <cell r="DZ296" t="str">
            <v>pasiv</v>
          </cell>
          <cell r="EA296" t="e">
            <v>#DIV/0!</v>
          </cell>
        </row>
        <row r="297">
          <cell r="A297">
            <v>0.55549999999999999</v>
          </cell>
          <cell r="B297">
            <v>346178</v>
          </cell>
          <cell r="C297" t="str">
            <v>ჩაი-აზერჩაი-არომ-50გ_1ც+1ც ალპელა-ბანანით_40გ</v>
          </cell>
          <cell r="D297" t="str">
            <v>TON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O297">
            <v>0</v>
          </cell>
          <cell r="AP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 t="str">
            <v/>
          </cell>
          <cell r="DZ297" t="str">
            <v>pasiv</v>
          </cell>
          <cell r="EA297" t="e">
            <v>#DIV/0!</v>
          </cell>
        </row>
        <row r="298">
          <cell r="B298">
            <v>110980</v>
          </cell>
          <cell r="C298" t="str">
            <v>AZERCAY TB MANGO_45QR*24_ZRF</v>
          </cell>
          <cell r="D298" t="str">
            <v>TON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O298">
            <v>0</v>
          </cell>
          <cell r="AP298">
            <v>0</v>
          </cell>
          <cell r="AS298">
            <v>0</v>
          </cell>
          <cell r="AT298">
            <v>0</v>
          </cell>
          <cell r="AU298">
            <v>2.0249999999999999E-3</v>
          </cell>
          <cell r="AV298">
            <v>144.76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5.4000000000000001E-4</v>
          </cell>
          <cell r="BX298">
            <v>38.42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2.2499999999999999E-4</v>
          </cell>
          <cell r="CF298">
            <v>15.51</v>
          </cell>
          <cell r="CG298">
            <v>0</v>
          </cell>
          <cell r="CH298">
            <v>0</v>
          </cell>
          <cell r="CI298">
            <v>7.6499999999999995E-4</v>
          </cell>
          <cell r="CJ298">
            <v>53.93</v>
          </cell>
          <cell r="CK298">
            <v>7.6499999999999995E-4</v>
          </cell>
          <cell r="CL298">
            <v>53.93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9.4499999999999998E-4</v>
          </cell>
          <cell r="CV298">
            <v>69.02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2.7E-4</v>
          </cell>
          <cell r="DD298">
            <v>18.61</v>
          </cell>
          <cell r="DE298">
            <v>2.7E-4</v>
          </cell>
          <cell r="DF298">
            <v>18.61</v>
          </cell>
          <cell r="DG298">
            <v>0</v>
          </cell>
          <cell r="DH298">
            <v>0</v>
          </cell>
          <cell r="DI298">
            <v>4.5000000000000003E-5</v>
          </cell>
          <cell r="DJ298">
            <v>3.2</v>
          </cell>
          <cell r="DK298">
            <v>0</v>
          </cell>
          <cell r="DL298">
            <v>0</v>
          </cell>
          <cell r="DM298">
            <v>4.5000000000000003E-5</v>
          </cell>
          <cell r="DN298">
            <v>3.2</v>
          </cell>
          <cell r="DO298">
            <v>0</v>
          </cell>
          <cell r="DP298">
            <v>0</v>
          </cell>
          <cell r="DQ298">
            <v>4.0499999999999998E-4</v>
          </cell>
          <cell r="DR298">
            <v>29.42</v>
          </cell>
          <cell r="DS298">
            <v>5.4000000000000001E-4</v>
          </cell>
          <cell r="DT298">
            <v>39.6</v>
          </cell>
          <cell r="DU298">
            <v>9.4499999999999998E-4</v>
          </cell>
          <cell r="DV298">
            <v>69.02</v>
          </cell>
          <cell r="DW298">
            <v>2.0249999999999999E-3</v>
          </cell>
          <cell r="DX298">
            <v>144.76</v>
          </cell>
          <cell r="DY298" t="str">
            <v/>
          </cell>
          <cell r="DZ298">
            <v>0</v>
          </cell>
          <cell r="EA298">
            <v>71486.419753086418</v>
          </cell>
        </row>
        <row r="299">
          <cell r="B299">
            <v>110981</v>
          </cell>
          <cell r="C299" t="str">
            <v>AZERCAY TB PORTAGAL_45QR*24_ZRF</v>
          </cell>
          <cell r="D299" t="str">
            <v>TON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-9.0000000000000006E-5</v>
          </cell>
          <cell r="AD299">
            <v>-6.77</v>
          </cell>
          <cell r="AE299">
            <v>0</v>
          </cell>
          <cell r="AF299">
            <v>0</v>
          </cell>
          <cell r="AG299">
            <v>9.0000000000000006E-5</v>
          </cell>
          <cell r="AH299">
            <v>6.94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O299">
            <v>0</v>
          </cell>
          <cell r="AP299">
            <v>0.17000000000000082</v>
          </cell>
          <cell r="AS299">
            <v>0</v>
          </cell>
          <cell r="AT299">
            <v>0</v>
          </cell>
          <cell r="AU299">
            <v>1.9350000000000001E-3</v>
          </cell>
          <cell r="AV299">
            <v>141.61000000000001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2.7E-4</v>
          </cell>
          <cell r="BX299">
            <v>19.21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2.7E-4</v>
          </cell>
          <cell r="CJ299">
            <v>19.21</v>
          </cell>
          <cell r="CK299">
            <v>2.7E-4</v>
          </cell>
          <cell r="CL299">
            <v>19.21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5.4000000000000001E-4</v>
          </cell>
          <cell r="CV299">
            <v>39.83</v>
          </cell>
          <cell r="CW299">
            <v>0</v>
          </cell>
          <cell r="CX299">
            <v>0</v>
          </cell>
          <cell r="CY299">
            <v>1.08E-3</v>
          </cell>
          <cell r="CZ299">
            <v>79.2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1.08E-3</v>
          </cell>
          <cell r="DF299">
            <v>79.2</v>
          </cell>
          <cell r="DG299">
            <v>0</v>
          </cell>
          <cell r="DH299">
            <v>0</v>
          </cell>
          <cell r="DI299">
            <v>4.5000000000000003E-5</v>
          </cell>
          <cell r="DJ299">
            <v>3.2</v>
          </cell>
          <cell r="DK299">
            <v>0</v>
          </cell>
          <cell r="DL299">
            <v>0</v>
          </cell>
          <cell r="DM299">
            <v>4.5000000000000003E-5</v>
          </cell>
          <cell r="DN299">
            <v>3.2</v>
          </cell>
          <cell r="DO299">
            <v>2.7E-4</v>
          </cell>
          <cell r="DP299">
            <v>20.82</v>
          </cell>
          <cell r="DQ299">
            <v>2.7E-4</v>
          </cell>
          <cell r="DR299">
            <v>19.010000000000002</v>
          </cell>
          <cell r="DS299">
            <v>0</v>
          </cell>
          <cell r="DT299">
            <v>0</v>
          </cell>
          <cell r="DU299">
            <v>5.4000000000000001E-4</v>
          </cell>
          <cell r="DV299">
            <v>39.83</v>
          </cell>
          <cell r="DW299">
            <v>1.9349999999999999E-3</v>
          </cell>
          <cell r="DX299">
            <v>141.60999999999999</v>
          </cell>
          <cell r="DY299" t="str">
            <v/>
          </cell>
          <cell r="DZ299">
            <v>0</v>
          </cell>
          <cell r="EA299">
            <v>73183.462532299745</v>
          </cell>
        </row>
        <row r="300">
          <cell r="B300">
            <v>326997</v>
          </cell>
          <cell r="C300" t="str">
            <v>ჩაი-აზერჩაი ასტარა-ბუკეტი_32გ*24</v>
          </cell>
          <cell r="D300" t="str">
            <v>TON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O300">
            <v>0</v>
          </cell>
          <cell r="AP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 t="str">
            <v/>
          </cell>
          <cell r="DZ300" t="str">
            <v>pasiv</v>
          </cell>
          <cell r="EA300" t="e">
            <v>#DIV/0!</v>
          </cell>
        </row>
        <row r="301">
          <cell r="B301">
            <v>115739</v>
          </cell>
          <cell r="C301" t="str">
            <v>AZERCAY TB ALMA_45QR*24_ZRF</v>
          </cell>
          <cell r="D301" t="str">
            <v>TON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O301">
            <v>0</v>
          </cell>
          <cell r="AP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 t="str">
            <v/>
          </cell>
          <cell r="DZ301" t="str">
            <v>pasiv</v>
          </cell>
          <cell r="EA301" t="e">
            <v>#DIV/0!</v>
          </cell>
        </row>
        <row r="302">
          <cell r="B302">
            <v>181708</v>
          </cell>
          <cell r="C302" t="str">
            <v>AZERCAY TB HERBAL LIMON-NANE_40QR*24</v>
          </cell>
          <cell r="D302" t="str">
            <v>TON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O302">
            <v>0</v>
          </cell>
          <cell r="AP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 t="str">
            <v/>
          </cell>
          <cell r="DZ302" t="str">
            <v>pasiv</v>
          </cell>
          <cell r="EA302" t="e">
            <v>#DIV/0!</v>
          </cell>
        </row>
        <row r="303">
          <cell r="B303">
            <v>181711</v>
          </cell>
          <cell r="C303" t="str">
            <v>AZERCAY TB HERBAL ITBURNU_40QR*24</v>
          </cell>
          <cell r="D303" t="str">
            <v>TON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O303">
            <v>0</v>
          </cell>
          <cell r="AP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 t="str">
            <v/>
          </cell>
          <cell r="DZ303" t="str">
            <v>pasiv</v>
          </cell>
          <cell r="EA303" t="e">
            <v>#DIV/0!</v>
          </cell>
        </row>
        <row r="304">
          <cell r="B304">
            <v>290711</v>
          </cell>
          <cell r="C304" t="str">
            <v>ჩაი-აზერჩაი-მწვანე_200გ*12</v>
          </cell>
          <cell r="D304" t="str">
            <v>TON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O304">
            <v>0</v>
          </cell>
          <cell r="AP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 t="str">
            <v/>
          </cell>
          <cell r="DZ304" t="str">
            <v>pasiv</v>
          </cell>
          <cell r="EA304" t="e">
            <v>#DIV/0!</v>
          </cell>
        </row>
        <row r="305">
          <cell r="B305">
            <v>299086</v>
          </cell>
          <cell r="C305" t="str">
            <v>ჩაი-აზერჩაი-მწვანე-50გ*24-ჯანჯაფილით</v>
          </cell>
          <cell r="D305" t="str">
            <v>TON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O305">
            <v>0</v>
          </cell>
          <cell r="AP305">
            <v>0</v>
          </cell>
          <cell r="AS305">
            <v>0</v>
          </cell>
          <cell r="AT305">
            <v>0</v>
          </cell>
          <cell r="AU305">
            <v>2.9999999999999997E-4</v>
          </cell>
          <cell r="AV305">
            <v>22.2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2.9999999999999997E-4</v>
          </cell>
          <cell r="CV305">
            <v>22.2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2.9999999999999997E-4</v>
          </cell>
          <cell r="DT305">
            <v>22.2</v>
          </cell>
          <cell r="DU305">
            <v>2.9999999999999997E-4</v>
          </cell>
          <cell r="DV305">
            <v>22.2</v>
          </cell>
          <cell r="DW305">
            <v>2.9999999999999997E-4</v>
          </cell>
          <cell r="DX305">
            <v>22.2</v>
          </cell>
          <cell r="DY305" t="str">
            <v/>
          </cell>
          <cell r="DZ305">
            <v>0</v>
          </cell>
          <cell r="EA305">
            <v>74000</v>
          </cell>
        </row>
        <row r="306">
          <cell r="B306">
            <v>90282</v>
          </cell>
          <cell r="C306" t="str">
            <v>AZERCAY TB BUKET_50QR*24</v>
          </cell>
          <cell r="D306" t="str">
            <v>TON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2.9999999999999997E-4</v>
          </cell>
          <cell r="AH306">
            <v>20.16</v>
          </cell>
          <cell r="AI306">
            <v>5.9999999999999995E-4</v>
          </cell>
          <cell r="AJ306">
            <v>40.32</v>
          </cell>
          <cell r="AK306">
            <v>2.9999999999999997E-4</v>
          </cell>
          <cell r="AL306">
            <v>18.62</v>
          </cell>
          <cell r="AO306">
            <v>1.1999999999999999E-3</v>
          </cell>
          <cell r="AP306">
            <v>79.100000000000009</v>
          </cell>
          <cell r="AS306">
            <v>0</v>
          </cell>
          <cell r="AT306">
            <v>0</v>
          </cell>
          <cell r="AU306">
            <v>3.3500000000000001E-3</v>
          </cell>
          <cell r="AV306">
            <v>222.78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5.5000000000000003E-4</v>
          </cell>
          <cell r="BD306">
            <v>36.96</v>
          </cell>
          <cell r="BE306">
            <v>5.5000000000000003E-4</v>
          </cell>
          <cell r="BF306">
            <v>36.96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8.4999999999999995E-4</v>
          </cell>
          <cell r="BP306">
            <v>57.12</v>
          </cell>
          <cell r="BQ306">
            <v>0</v>
          </cell>
          <cell r="BR306">
            <v>0</v>
          </cell>
          <cell r="BS306">
            <v>8.4999999999999995E-4</v>
          </cell>
          <cell r="BT306">
            <v>57.12</v>
          </cell>
          <cell r="BU306">
            <v>0</v>
          </cell>
          <cell r="BV306">
            <v>0</v>
          </cell>
          <cell r="BW306">
            <v>2.5000000000000001E-4</v>
          </cell>
          <cell r="BX306">
            <v>16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2.5000000000000001E-4</v>
          </cell>
          <cell r="CJ306">
            <v>16</v>
          </cell>
          <cell r="CK306">
            <v>1.0999999999999998E-3</v>
          </cell>
          <cell r="CL306">
            <v>73.12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2.9999999999999997E-4</v>
          </cell>
          <cell r="CV306">
            <v>20.16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2.0000000000000001E-4</v>
          </cell>
          <cell r="DJ306">
            <v>13.44</v>
          </cell>
          <cell r="DK306">
            <v>0</v>
          </cell>
          <cell r="DL306">
            <v>0</v>
          </cell>
          <cell r="DM306">
            <v>2.0000000000000001E-4</v>
          </cell>
          <cell r="DN306">
            <v>13.44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2.9999999999999997E-4</v>
          </cell>
          <cell r="DT306">
            <v>20.16</v>
          </cell>
          <cell r="DU306">
            <v>2.9999999999999997E-4</v>
          </cell>
          <cell r="DV306">
            <v>20.16</v>
          </cell>
          <cell r="DW306">
            <v>3.3499999999999997E-3</v>
          </cell>
          <cell r="DX306">
            <v>222.78000000000003</v>
          </cell>
          <cell r="DY306" t="str">
            <v/>
          </cell>
          <cell r="DZ306">
            <v>0</v>
          </cell>
          <cell r="EA306">
            <v>66501.492537313447</v>
          </cell>
        </row>
        <row r="307">
          <cell r="A307">
            <v>2000</v>
          </cell>
          <cell r="C307" t="str">
            <v>AZERCAY TEA BAG</v>
          </cell>
          <cell r="D307" t="str">
            <v>TON</v>
          </cell>
          <cell r="E307">
            <v>0</v>
          </cell>
          <cell r="F307">
            <v>0</v>
          </cell>
          <cell r="G307">
            <v>4.7999999999999996E-3</v>
          </cell>
          <cell r="H307">
            <v>278.39999999999998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O307">
            <v>4.7999999999999996E-3</v>
          </cell>
          <cell r="P307">
            <v>278.39999999999998</v>
          </cell>
          <cell r="Q307">
            <v>3.5999999999999999E-3</v>
          </cell>
          <cell r="R307">
            <v>186.62</v>
          </cell>
          <cell r="S307">
            <v>6.4999999999999997E-3</v>
          </cell>
          <cell r="T307">
            <v>392.01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1.01E-2</v>
          </cell>
          <cell r="Z307">
            <v>578.63</v>
          </cell>
          <cell r="AA307">
            <v>0</v>
          </cell>
          <cell r="AB307">
            <v>0</v>
          </cell>
          <cell r="AC307">
            <v>5.4000000000000003E-3</v>
          </cell>
          <cell r="AD307">
            <v>350.75000000000006</v>
          </cell>
          <cell r="AE307">
            <v>0</v>
          </cell>
          <cell r="AF307">
            <v>0</v>
          </cell>
          <cell r="AG307">
            <v>3.9300000000000003E-3</v>
          </cell>
          <cell r="AH307">
            <v>258.77000000000004</v>
          </cell>
          <cell r="AI307">
            <v>5.4449999999999993E-3</v>
          </cell>
          <cell r="AJ307">
            <v>350.26</v>
          </cell>
          <cell r="AK307">
            <v>6.6700000000000006E-3</v>
          </cell>
          <cell r="AL307">
            <v>423.71</v>
          </cell>
          <cell r="AO307">
            <v>2.1444999999999999E-2</v>
          </cell>
          <cell r="AP307">
            <v>1383.49</v>
          </cell>
          <cell r="AS307">
            <v>0</v>
          </cell>
          <cell r="AT307">
            <v>0</v>
          </cell>
          <cell r="AU307">
            <v>0.21618799999999996</v>
          </cell>
          <cell r="AV307">
            <v>14061.93</v>
          </cell>
          <cell r="AW307">
            <v>0</v>
          </cell>
          <cell r="AX307">
            <v>0</v>
          </cell>
          <cell r="AY307">
            <v>2.64E-3</v>
          </cell>
          <cell r="AZ307">
            <v>131.95000000000002</v>
          </cell>
          <cell r="BA307">
            <v>0</v>
          </cell>
          <cell r="BB307">
            <v>0</v>
          </cell>
          <cell r="BC307">
            <v>4.8900000000000002E-3</v>
          </cell>
          <cell r="BD307">
            <v>319.76</v>
          </cell>
          <cell r="BE307">
            <v>7.5300000000000002E-3</v>
          </cell>
          <cell r="BF307">
            <v>451.71</v>
          </cell>
          <cell r="BG307">
            <v>8.8699999999999994E-3</v>
          </cell>
          <cell r="BH307">
            <v>604.76</v>
          </cell>
          <cell r="BI307">
            <v>2.5300000000000001E-3</v>
          </cell>
          <cell r="BJ307">
            <v>164.54000000000002</v>
          </cell>
          <cell r="BK307">
            <v>1E-3</v>
          </cell>
          <cell r="BL307">
            <v>66.400000000000006</v>
          </cell>
          <cell r="BM307">
            <v>1.2760000000000001E-2</v>
          </cell>
          <cell r="BN307">
            <v>854.18999999999994</v>
          </cell>
          <cell r="BO307">
            <v>1.1470000000000001E-2</v>
          </cell>
          <cell r="BP307">
            <v>736.50000000000011</v>
          </cell>
          <cell r="BQ307">
            <v>0</v>
          </cell>
          <cell r="BR307">
            <v>0</v>
          </cell>
          <cell r="BS307">
            <v>3.7119999999999993E-2</v>
          </cell>
          <cell r="BT307">
            <v>2458.1299999999997</v>
          </cell>
          <cell r="BU307">
            <v>3.65E-3</v>
          </cell>
          <cell r="BV307">
            <v>220.84</v>
          </cell>
          <cell r="BW307">
            <v>5.4349999999999997E-3</v>
          </cell>
          <cell r="BX307">
            <v>344.43</v>
          </cell>
          <cell r="BY307">
            <v>5.2499999999999995E-3</v>
          </cell>
          <cell r="BZ307">
            <v>332.4</v>
          </cell>
          <cell r="CA307">
            <v>1.9200000000000002E-2</v>
          </cell>
          <cell r="CB307">
            <v>1278.28</v>
          </cell>
          <cell r="CC307">
            <v>2.8200000000000005E-3</v>
          </cell>
          <cell r="CD307">
            <v>186.72</v>
          </cell>
          <cell r="CE307">
            <v>6.1250000000000002E-3</v>
          </cell>
          <cell r="CF307">
            <v>399.05999999999995</v>
          </cell>
          <cell r="CG307">
            <v>2.0000000000000001E-4</v>
          </cell>
          <cell r="CH307">
            <v>11.4</v>
          </cell>
          <cell r="CI307">
            <v>4.2679999999999996E-2</v>
          </cell>
          <cell r="CJ307">
            <v>2773.1299999999997</v>
          </cell>
          <cell r="CK307">
            <v>7.9800000000000024E-2</v>
          </cell>
          <cell r="CL307">
            <v>5231.26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3.2885000000000005E-2</v>
          </cell>
          <cell r="CV307">
            <v>2186.4699999999993</v>
          </cell>
          <cell r="CW307">
            <v>0</v>
          </cell>
          <cell r="CX307">
            <v>0</v>
          </cell>
          <cell r="CY307">
            <v>3.2045999999999998E-2</v>
          </cell>
          <cell r="CZ307">
            <v>2120.2799999999997</v>
          </cell>
          <cell r="DA307">
            <v>5.3699999999999998E-3</v>
          </cell>
          <cell r="DB307">
            <v>367.04</v>
          </cell>
          <cell r="DC307">
            <v>5.7970000000000009E-3</v>
          </cell>
          <cell r="DD307">
            <v>400.36000000000007</v>
          </cell>
          <cell r="DE307">
            <v>4.3213000000000008E-2</v>
          </cell>
          <cell r="DF307">
            <v>2887.68</v>
          </cell>
          <cell r="DG307">
            <v>6.2449999999999997E-3</v>
          </cell>
          <cell r="DH307">
            <v>395.96</v>
          </cell>
          <cell r="DI307">
            <v>4.4449999999999993E-3</v>
          </cell>
          <cell r="DJ307">
            <v>285.59999999999991</v>
          </cell>
          <cell r="DK307">
            <v>5.6749999999999995E-3</v>
          </cell>
          <cell r="DL307">
            <v>379.74</v>
          </cell>
          <cell r="DM307">
            <v>1.6364999999999998E-2</v>
          </cell>
          <cell r="DN307">
            <v>1061.3000000000002</v>
          </cell>
          <cell r="DO307">
            <v>8.9599999999999992E-3</v>
          </cell>
          <cell r="DP307">
            <v>600.80000000000007</v>
          </cell>
          <cell r="DQ307">
            <v>8.1849999999999996E-3</v>
          </cell>
          <cell r="DR307">
            <v>548.79</v>
          </cell>
          <cell r="DS307">
            <v>1.5740000000000004E-2</v>
          </cell>
          <cell r="DT307">
            <v>1036.8800000000001</v>
          </cell>
          <cell r="DU307">
            <v>3.2885000000000005E-2</v>
          </cell>
          <cell r="DV307">
            <v>2186.4699999999993</v>
          </cell>
          <cell r="DW307">
            <v>0.21613799999999997</v>
          </cell>
          <cell r="DX307">
            <v>14058.940000000002</v>
          </cell>
          <cell r="DY307" t="str">
            <v/>
          </cell>
          <cell r="DZ307">
            <v>0</v>
          </cell>
          <cell r="EA307">
            <v>65046.127936781151</v>
          </cell>
        </row>
        <row r="308">
          <cell r="B308">
            <v>0</v>
          </cell>
          <cell r="C308" t="str">
            <v>AZERCAY TOPLAMI</v>
          </cell>
          <cell r="D308" t="str">
            <v>TON</v>
          </cell>
          <cell r="E308">
            <v>2E-3</v>
          </cell>
          <cell r="F308">
            <v>66.930000000000007</v>
          </cell>
          <cell r="G308">
            <v>4.7999999999999996E-3</v>
          </cell>
          <cell r="H308">
            <v>278.39999999999998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O308">
            <v>6.7999999999999996E-3</v>
          </cell>
          <cell r="P308">
            <v>345.33</v>
          </cell>
          <cell r="Q308">
            <v>4.8999999999999998E-3</v>
          </cell>
          <cell r="R308">
            <v>241.13</v>
          </cell>
          <cell r="S308">
            <v>1.035E-2</v>
          </cell>
          <cell r="T308">
            <v>515.55999999999995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1.525E-2</v>
          </cell>
          <cell r="Z308">
            <v>756.69</v>
          </cell>
          <cell r="AA308">
            <v>0</v>
          </cell>
          <cell r="AB308">
            <v>0</v>
          </cell>
          <cell r="AC308">
            <v>1.26E-2</v>
          </cell>
          <cell r="AD308">
            <v>617.3900000000001</v>
          </cell>
          <cell r="AE308">
            <v>5.0000000000000001E-4</v>
          </cell>
          <cell r="AF308">
            <v>17.77</v>
          </cell>
          <cell r="AG308">
            <v>7.8300000000000002E-3</v>
          </cell>
          <cell r="AH308">
            <v>416.95000000000005</v>
          </cell>
          <cell r="AI308">
            <v>1.1344999999999999E-2</v>
          </cell>
          <cell r="AJ308">
            <v>596.79999999999995</v>
          </cell>
          <cell r="AK308">
            <v>1.6070000000000001E-2</v>
          </cell>
          <cell r="AL308">
            <v>808.93999999999994</v>
          </cell>
          <cell r="AO308">
            <v>4.8344999999999999E-2</v>
          </cell>
          <cell r="AP308">
            <v>2457.85</v>
          </cell>
          <cell r="AS308">
            <v>0</v>
          </cell>
          <cell r="AT308">
            <v>0</v>
          </cell>
          <cell r="AU308">
            <v>0.431288</v>
          </cell>
          <cell r="AV308">
            <v>22857.040000000001</v>
          </cell>
          <cell r="AW308">
            <v>0</v>
          </cell>
          <cell r="AX308">
            <v>0</v>
          </cell>
          <cell r="AY308">
            <v>7.1399999999999996E-3</v>
          </cell>
          <cell r="AZ308">
            <v>300.57000000000005</v>
          </cell>
          <cell r="BA308">
            <v>0</v>
          </cell>
          <cell r="BB308">
            <v>0</v>
          </cell>
          <cell r="BC308">
            <v>9.8899999999999995E-3</v>
          </cell>
          <cell r="BD308">
            <v>536.08999999999992</v>
          </cell>
          <cell r="BE308">
            <v>1.703E-2</v>
          </cell>
          <cell r="BF308">
            <v>836.66</v>
          </cell>
          <cell r="BG308">
            <v>1.5269999999999999E-2</v>
          </cell>
          <cell r="BH308">
            <v>841.64</v>
          </cell>
          <cell r="BI308">
            <v>5.4299999999999999E-3</v>
          </cell>
          <cell r="BJ308">
            <v>268.15000000000003</v>
          </cell>
          <cell r="BK308">
            <v>8.0000000000000002E-3</v>
          </cell>
          <cell r="BL308">
            <v>335.79999999999995</v>
          </cell>
          <cell r="BM308">
            <v>2.6660000000000003E-2</v>
          </cell>
          <cell r="BN308">
            <v>1427</v>
          </cell>
          <cell r="BO308">
            <v>1.4770000000000002E-2</v>
          </cell>
          <cell r="BP308">
            <v>857.96000000000015</v>
          </cell>
          <cell r="BQ308">
            <v>0</v>
          </cell>
          <cell r="BR308">
            <v>0</v>
          </cell>
          <cell r="BS308">
            <v>7.0619999999999988E-2</v>
          </cell>
          <cell r="BT308">
            <v>3762.2899999999995</v>
          </cell>
          <cell r="BU308">
            <v>5.2500000000000003E-3</v>
          </cell>
          <cell r="BV308">
            <v>274.39</v>
          </cell>
          <cell r="BW308">
            <v>6.8349999999999999E-3</v>
          </cell>
          <cell r="BX308">
            <v>391.78000000000003</v>
          </cell>
          <cell r="BY308">
            <v>7.9499999999999987E-3</v>
          </cell>
          <cell r="BZ308">
            <v>421.86</v>
          </cell>
          <cell r="CA308">
            <v>2.2800000000000001E-2</v>
          </cell>
          <cell r="CB308">
            <v>1407.58</v>
          </cell>
          <cell r="CC308">
            <v>7.8200000000000006E-3</v>
          </cell>
          <cell r="CD308">
            <v>415.72</v>
          </cell>
          <cell r="CE308">
            <v>1.8425E-2</v>
          </cell>
          <cell r="CF308">
            <v>904.12</v>
          </cell>
          <cell r="CG308">
            <v>2.0000000000000001E-4</v>
          </cell>
          <cell r="CH308">
            <v>11.4</v>
          </cell>
          <cell r="CI308">
            <v>6.9279999999999994E-2</v>
          </cell>
          <cell r="CJ308">
            <v>3826.8499999999995</v>
          </cell>
          <cell r="CK308">
            <v>0.13990000000000002</v>
          </cell>
          <cell r="CL308">
            <v>7589.1399999999994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4.6185000000000004E-2</v>
          </cell>
          <cell r="CV308">
            <v>2673.0999999999995</v>
          </cell>
          <cell r="CW308">
            <v>0</v>
          </cell>
          <cell r="CX308">
            <v>0</v>
          </cell>
          <cell r="CY308">
            <v>0.100746</v>
          </cell>
          <cell r="CZ308">
            <v>5206.68</v>
          </cell>
          <cell r="DA308">
            <v>1.1469999999999999E-2</v>
          </cell>
          <cell r="DB308">
            <v>637.36</v>
          </cell>
          <cell r="DC308">
            <v>1.8547000000000001E-2</v>
          </cell>
          <cell r="DD308">
            <v>856.62000000000012</v>
          </cell>
          <cell r="DE308">
            <v>0.13076299999999999</v>
          </cell>
          <cell r="DF308">
            <v>6700.66</v>
          </cell>
          <cell r="DG308">
            <v>1.0444999999999999E-2</v>
          </cell>
          <cell r="DH308">
            <v>580.32999999999993</v>
          </cell>
          <cell r="DI308">
            <v>7.1449999999999994E-3</v>
          </cell>
          <cell r="DJ308">
            <v>388.6099999999999</v>
          </cell>
          <cell r="DK308">
            <v>9.3749999999999979E-3</v>
          </cell>
          <cell r="DL308">
            <v>525.68000000000006</v>
          </cell>
          <cell r="DM308">
            <v>2.6964999999999996E-2</v>
          </cell>
          <cell r="DN308">
            <v>1494.6200000000003</v>
          </cell>
          <cell r="DO308">
            <v>1.1559999999999999E-2</v>
          </cell>
          <cell r="DP308">
            <v>698.19</v>
          </cell>
          <cell r="DQ308">
            <v>8.685E-3</v>
          </cell>
          <cell r="DR308">
            <v>565.52</v>
          </cell>
          <cell r="DS308">
            <v>2.5940000000000005E-2</v>
          </cell>
          <cell r="DT308">
            <v>1409.39</v>
          </cell>
          <cell r="DU308">
            <v>4.6185000000000004E-2</v>
          </cell>
          <cell r="DV308">
            <v>2673.0999999999995</v>
          </cell>
          <cell r="DW308">
            <v>0.43123800000000001</v>
          </cell>
          <cell r="DX308">
            <v>22854.050000000003</v>
          </cell>
          <cell r="DY308" t="str">
            <v/>
          </cell>
          <cell r="DZ308">
            <v>0</v>
          </cell>
          <cell r="EA308">
            <v>52996.373232414589</v>
          </cell>
        </row>
        <row r="309">
          <cell r="D309" t="str">
            <v>TON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O309">
            <v>0</v>
          </cell>
          <cell r="AP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 t="str">
            <v/>
          </cell>
          <cell r="DZ309" t="str">
            <v>pasiv</v>
          </cell>
          <cell r="EA309" t="e">
            <v>#DIV/0!</v>
          </cell>
        </row>
        <row r="310">
          <cell r="D310" t="str">
            <v>TON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O310">
            <v>0</v>
          </cell>
          <cell r="AP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 t="str">
            <v/>
          </cell>
          <cell r="DZ310" t="str">
            <v>pasiv</v>
          </cell>
          <cell r="EA310" t="e">
            <v>#DIV/0!</v>
          </cell>
        </row>
        <row r="311">
          <cell r="D311" t="str">
            <v>TON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O311">
            <v>0</v>
          </cell>
          <cell r="AP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  <cell r="DF311">
            <v>0</v>
          </cell>
          <cell r="DG311">
            <v>0</v>
          </cell>
          <cell r="D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 t="str">
            <v/>
          </cell>
          <cell r="DZ311" t="str">
            <v>pasiv</v>
          </cell>
          <cell r="EA311" t="e">
            <v>#DIV/0!</v>
          </cell>
        </row>
        <row r="312">
          <cell r="D312" t="str">
            <v>TON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O312">
            <v>0</v>
          </cell>
          <cell r="AP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 t="str">
            <v/>
          </cell>
          <cell r="DZ312" t="str">
            <v>pasiv</v>
          </cell>
          <cell r="EA312" t="e">
            <v>#DIV/0!</v>
          </cell>
        </row>
        <row r="313">
          <cell r="A313">
            <v>8000</v>
          </cell>
          <cell r="C313" t="str">
            <v>FINAL TEA BAG TOPLAM</v>
          </cell>
          <cell r="D313" t="str">
            <v>TON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O313">
            <v>0</v>
          </cell>
          <cell r="AP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 t="str">
            <v/>
          </cell>
          <cell r="DZ313" t="str">
            <v>pasiv</v>
          </cell>
          <cell r="EA313" t="e">
            <v>#DIV/0!</v>
          </cell>
        </row>
        <row r="314">
          <cell r="B314">
            <v>117951</v>
          </cell>
          <cell r="C314" t="str">
            <v>ჩაი-ფინალ ნიუ სუპერი-6კგ/100*60</v>
          </cell>
          <cell r="D314" t="str">
            <v>TON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O314">
            <v>0</v>
          </cell>
          <cell r="AP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 t="str">
            <v/>
          </cell>
          <cell r="DZ314" t="str">
            <v>pasiv</v>
          </cell>
          <cell r="EA314" t="e">
            <v>#DIV/0!</v>
          </cell>
        </row>
        <row r="315">
          <cell r="B315">
            <v>117955</v>
          </cell>
          <cell r="C315" t="str">
            <v>ჩაი-ფინალ ნიუ სუპერი-6.75კგ/450*15</v>
          </cell>
          <cell r="D315" t="str">
            <v>TON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O315">
            <v>0</v>
          </cell>
          <cell r="AP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 t="str">
            <v/>
          </cell>
          <cell r="DZ315" t="str">
            <v>pasiv</v>
          </cell>
          <cell r="EA315" t="e">
            <v>#DIV/0!</v>
          </cell>
        </row>
        <row r="316">
          <cell r="B316">
            <v>117983</v>
          </cell>
          <cell r="C316" t="str">
            <v xml:space="preserve">FINAL PEKOE_450QR*15 </v>
          </cell>
          <cell r="D316" t="str">
            <v>TON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O316">
            <v>0</v>
          </cell>
          <cell r="AP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 t="str">
            <v/>
          </cell>
          <cell r="DZ316" t="str">
            <v>pasiv</v>
          </cell>
          <cell r="EA316" t="e">
            <v>#DIV/0!</v>
          </cell>
        </row>
        <row r="317">
          <cell r="B317">
            <v>119361</v>
          </cell>
          <cell r="C317" t="str">
            <v>FINAL PEKOE_225QR*30</v>
          </cell>
          <cell r="D317" t="str">
            <v>TON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O317">
            <v>0</v>
          </cell>
          <cell r="AP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 t="str">
            <v/>
          </cell>
          <cell r="DZ317" t="str">
            <v>pasiv</v>
          </cell>
          <cell r="EA317" t="e">
            <v>#DIV/0!</v>
          </cell>
        </row>
        <row r="318">
          <cell r="B318">
            <v>117984</v>
          </cell>
          <cell r="C318" t="str">
            <v>FINAL PEKOE_900QR*6</v>
          </cell>
          <cell r="D318" t="str">
            <v>TON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O318">
            <v>0</v>
          </cell>
          <cell r="AP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 t="str">
            <v/>
          </cell>
          <cell r="DZ318" t="str">
            <v>pasiv</v>
          </cell>
          <cell r="EA318" t="e">
            <v>#DIV/0!</v>
          </cell>
        </row>
        <row r="319">
          <cell r="B319">
            <v>16841</v>
          </cell>
          <cell r="C319" t="str">
            <v>MERCANI BERGAMUTLU_5 KQ</v>
          </cell>
          <cell r="D319" t="str">
            <v>TON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O319">
            <v>0</v>
          </cell>
          <cell r="AP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 t="str">
            <v/>
          </cell>
          <cell r="DZ319" t="str">
            <v>pasiv</v>
          </cell>
          <cell r="EA319" t="e">
            <v>#DIV/0!</v>
          </cell>
        </row>
        <row r="320">
          <cell r="B320">
            <v>16855</v>
          </cell>
          <cell r="C320" t="str">
            <v>MERCANI_5 KG</v>
          </cell>
          <cell r="D320" t="str">
            <v>TON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O320">
            <v>0</v>
          </cell>
          <cell r="AP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 t="str">
            <v/>
          </cell>
          <cell r="DZ320" t="str">
            <v>pasiv</v>
          </cell>
          <cell r="EA320" t="e">
            <v>#DIV/0!</v>
          </cell>
        </row>
        <row r="321">
          <cell r="B321">
            <v>380373</v>
          </cell>
          <cell r="C321" t="str">
            <v>ჩაი_ფინალ ქარიზმა_5.40კგ/90გ*60</v>
          </cell>
          <cell r="D321" t="str">
            <v>TON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O321">
            <v>0</v>
          </cell>
          <cell r="AP321">
            <v>0</v>
          </cell>
          <cell r="AS321">
            <v>0</v>
          </cell>
          <cell r="AT321">
            <v>0</v>
          </cell>
          <cell r="AU321">
            <v>1.08E-3</v>
          </cell>
          <cell r="AV321">
            <v>29.61</v>
          </cell>
          <cell r="AW321">
            <v>0</v>
          </cell>
          <cell r="AX321">
            <v>0</v>
          </cell>
          <cell r="AY321">
            <v>1.08E-3</v>
          </cell>
          <cell r="AZ321">
            <v>29.61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1.08E-3</v>
          </cell>
          <cell r="BF321">
            <v>29.61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1.08E-3</v>
          </cell>
          <cell r="DX321">
            <v>29.61</v>
          </cell>
          <cell r="DY321" t="str">
            <v/>
          </cell>
          <cell r="DZ321">
            <v>0</v>
          </cell>
          <cell r="EA321">
            <v>27416.666666666664</v>
          </cell>
        </row>
        <row r="322">
          <cell r="B322">
            <v>345812</v>
          </cell>
          <cell r="C322" t="str">
            <v>ჩაი-ფინალი-ულტრა ელ-გრეი-450გ*15</v>
          </cell>
          <cell r="D322" t="str">
            <v>TON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O322">
            <v>0</v>
          </cell>
          <cell r="AP322">
            <v>0</v>
          </cell>
          <cell r="AS322">
            <v>0</v>
          </cell>
          <cell r="AT322">
            <v>0</v>
          </cell>
          <cell r="AU322">
            <v>2.7000000000000001E-3</v>
          </cell>
          <cell r="AV322">
            <v>109.44</v>
          </cell>
          <cell r="AW322">
            <v>0</v>
          </cell>
          <cell r="AX322">
            <v>0</v>
          </cell>
          <cell r="AY322">
            <v>2.7000000000000001E-3</v>
          </cell>
          <cell r="AZ322">
            <v>109.44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2.7000000000000001E-3</v>
          </cell>
          <cell r="BF322">
            <v>109.44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2.7000000000000001E-3</v>
          </cell>
          <cell r="DX322">
            <v>109.44</v>
          </cell>
          <cell r="DY322" t="str">
            <v/>
          </cell>
          <cell r="DZ322">
            <v>0</v>
          </cell>
          <cell r="EA322">
            <v>40533.333333333328</v>
          </cell>
        </row>
        <row r="323">
          <cell r="B323">
            <v>376854</v>
          </cell>
          <cell r="C323" t="str">
            <v>ჩაი-ბერქა ელ-გრეი-225გ_1ც+1ც ულქერი_ოლალა_43გ</v>
          </cell>
          <cell r="D323" t="str">
            <v>TON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O323">
            <v>0</v>
          </cell>
          <cell r="AP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 t="str">
            <v/>
          </cell>
          <cell r="DZ323" t="str">
            <v>pasiv</v>
          </cell>
          <cell r="EA323" t="e">
            <v>#DIV/0!</v>
          </cell>
        </row>
        <row r="324">
          <cell r="B324">
            <v>376855</v>
          </cell>
          <cell r="C324" t="str">
            <v>ჩაი-ბერქა ელ-გრეი-900გ_1ც+1ც ულქერი_ჩოკოპრენს_300გ</v>
          </cell>
          <cell r="D324" t="str">
            <v>TON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O324">
            <v>0</v>
          </cell>
          <cell r="AP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 t="str">
            <v/>
          </cell>
          <cell r="DZ324" t="str">
            <v>pasiv</v>
          </cell>
          <cell r="EA324" t="e">
            <v>#DIV/0!</v>
          </cell>
        </row>
        <row r="325">
          <cell r="B325">
            <v>376856</v>
          </cell>
          <cell r="C325" t="str">
            <v>ჩაი-ბერქა ელ-გრეი-900გ_1ც+1ც ულქერი_ჰელი_235.9გ</v>
          </cell>
          <cell r="D325" t="str">
            <v>TON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O325">
            <v>0</v>
          </cell>
          <cell r="AP325">
            <v>0</v>
          </cell>
          <cell r="AS325">
            <v>0</v>
          </cell>
          <cell r="AT325">
            <v>0</v>
          </cell>
          <cell r="AU325">
            <v>6.8154000000000001E-3</v>
          </cell>
          <cell r="AV325">
            <v>206.61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6.8154000000000001E-3</v>
          </cell>
          <cell r="DL325">
            <v>206.61</v>
          </cell>
          <cell r="DM325">
            <v>6.8154000000000001E-3</v>
          </cell>
          <cell r="DN325">
            <v>206.61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6.8154000000000001E-3</v>
          </cell>
          <cell r="DX325">
            <v>206.61</v>
          </cell>
          <cell r="DY325" t="str">
            <v/>
          </cell>
          <cell r="DZ325">
            <v>0</v>
          </cell>
          <cell r="EA325">
            <v>30315.168588784225</v>
          </cell>
        </row>
        <row r="326">
          <cell r="B326">
            <v>376791</v>
          </cell>
          <cell r="C326" t="str">
            <v>ჩაი-ბერქა ელ-გრეი-450გ_1ც+1ც ნატ.შაქარი_აზერი_ 150</v>
          </cell>
          <cell r="D326" t="str">
            <v>TON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O326">
            <v>0</v>
          </cell>
          <cell r="AP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 t="str">
            <v/>
          </cell>
          <cell r="DZ326" t="str">
            <v>pasiv</v>
          </cell>
          <cell r="EA326" t="e">
            <v>#DIV/0!</v>
          </cell>
        </row>
        <row r="327">
          <cell r="B327">
            <v>323498</v>
          </cell>
          <cell r="C327" t="str">
            <v>ჩაი-ბერქა-DREAM-100გ*20</v>
          </cell>
          <cell r="D327" t="str">
            <v>TON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-1E-4</v>
          </cell>
          <cell r="AL327">
            <v>-4</v>
          </cell>
          <cell r="AO327">
            <v>-1E-4</v>
          </cell>
          <cell r="AP327">
            <v>-4</v>
          </cell>
          <cell r="AS327">
            <v>0</v>
          </cell>
          <cell r="AT327">
            <v>0</v>
          </cell>
          <cell r="AU327">
            <v>2.0999999999999999E-3</v>
          </cell>
          <cell r="AV327">
            <v>93.68</v>
          </cell>
          <cell r="AW327">
            <v>0</v>
          </cell>
          <cell r="AX327">
            <v>0</v>
          </cell>
          <cell r="AY327">
            <v>1E-3</v>
          </cell>
          <cell r="AZ327">
            <v>42.24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1E-3</v>
          </cell>
          <cell r="BF327">
            <v>42.24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5.9999999999999995E-4</v>
          </cell>
          <cell r="DB327">
            <v>27.72</v>
          </cell>
          <cell r="DC327">
            <v>5.9999999999999995E-4</v>
          </cell>
          <cell r="DD327">
            <v>27.72</v>
          </cell>
          <cell r="DE327">
            <v>1.1999999999999999E-3</v>
          </cell>
          <cell r="DF327">
            <v>55.44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2.0999999999999999E-3</v>
          </cell>
          <cell r="DX327">
            <v>93.68</v>
          </cell>
          <cell r="DY327" t="str">
            <v/>
          </cell>
          <cell r="DZ327">
            <v>0</v>
          </cell>
          <cell r="EA327">
            <v>44609.523809523816</v>
          </cell>
        </row>
        <row r="328">
          <cell r="B328">
            <v>136122</v>
          </cell>
          <cell r="C328" t="str">
            <v>BERQA_E.GREY_900QR*6</v>
          </cell>
          <cell r="D328" t="str">
            <v>TON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8.9999999999999998E-4</v>
          </cell>
          <cell r="AF328">
            <v>33.369999999999997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O328">
            <v>8.9999999999999998E-4</v>
          </cell>
          <cell r="AP328">
            <v>33.369999999999997</v>
          </cell>
          <cell r="AS328">
            <v>0</v>
          </cell>
          <cell r="AT328">
            <v>0</v>
          </cell>
          <cell r="AU328">
            <v>1.17E-2</v>
          </cell>
          <cell r="AV328">
            <v>446.59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1.0800000000000001E-2</v>
          </cell>
          <cell r="BD328">
            <v>413.22</v>
          </cell>
          <cell r="BE328">
            <v>1.0800000000000001E-2</v>
          </cell>
          <cell r="BF328">
            <v>413.22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1.17E-2</v>
          </cell>
          <cell r="DX328">
            <v>446.59000000000003</v>
          </cell>
          <cell r="DY328" t="str">
            <v/>
          </cell>
          <cell r="DZ328">
            <v>0</v>
          </cell>
          <cell r="EA328">
            <v>38170.085470085469</v>
          </cell>
        </row>
        <row r="329">
          <cell r="B329">
            <v>323497</v>
          </cell>
          <cell r="C329" t="str">
            <v>ჩაი-ბერქა-ENJOY-100გ*20</v>
          </cell>
          <cell r="D329" t="str">
            <v>TON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O329">
            <v>0</v>
          </cell>
          <cell r="AP329">
            <v>0</v>
          </cell>
          <cell r="AS329">
            <v>0</v>
          </cell>
          <cell r="AT329">
            <v>0</v>
          </cell>
          <cell r="AU329">
            <v>1E-3</v>
          </cell>
          <cell r="AV329">
            <v>42.24</v>
          </cell>
          <cell r="AW329">
            <v>0</v>
          </cell>
          <cell r="AX329">
            <v>0</v>
          </cell>
          <cell r="AY329">
            <v>1E-3</v>
          </cell>
          <cell r="AZ329">
            <v>42.24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1E-3</v>
          </cell>
          <cell r="BF329">
            <v>42.24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1E-3</v>
          </cell>
          <cell r="DX329">
            <v>42.24</v>
          </cell>
          <cell r="DY329" t="str">
            <v/>
          </cell>
          <cell r="DZ329">
            <v>0</v>
          </cell>
          <cell r="EA329">
            <v>42240</v>
          </cell>
        </row>
        <row r="330">
          <cell r="B330">
            <v>323499</v>
          </cell>
          <cell r="C330" t="str">
            <v>ჩაი-ბერქა-FEEL-100გ*20</v>
          </cell>
          <cell r="D330" t="str">
            <v>TON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O330">
            <v>0</v>
          </cell>
          <cell r="AP330">
            <v>0</v>
          </cell>
          <cell r="AS330">
            <v>0</v>
          </cell>
          <cell r="AT330">
            <v>0</v>
          </cell>
          <cell r="AU330">
            <v>1.5E-3</v>
          </cell>
          <cell r="AV330">
            <v>64.680000000000007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1E-3</v>
          </cell>
          <cell r="BD330">
            <v>42.68</v>
          </cell>
          <cell r="BE330">
            <v>1E-3</v>
          </cell>
          <cell r="BF330">
            <v>42.68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5.0000000000000001E-4</v>
          </cell>
          <cell r="CV330">
            <v>22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5.0000000000000001E-4</v>
          </cell>
          <cell r="DT330">
            <v>22</v>
          </cell>
          <cell r="DU330">
            <v>5.0000000000000001E-4</v>
          </cell>
          <cell r="DV330">
            <v>22</v>
          </cell>
          <cell r="DW330">
            <v>1.5E-3</v>
          </cell>
          <cell r="DX330">
            <v>64.680000000000007</v>
          </cell>
          <cell r="DY330" t="str">
            <v/>
          </cell>
          <cell r="DZ330">
            <v>0</v>
          </cell>
          <cell r="EA330">
            <v>43120.000000000007</v>
          </cell>
        </row>
        <row r="331">
          <cell r="B331">
            <v>359286</v>
          </cell>
          <cell r="C331" t="str">
            <v>ჩაი-ბერქა-ENJOY-100გ_10ც+1ც</v>
          </cell>
          <cell r="D331" t="str">
            <v>TON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O331">
            <v>0</v>
          </cell>
          <cell r="AP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 t="str">
            <v/>
          </cell>
          <cell r="DZ331" t="str">
            <v>pasiv</v>
          </cell>
          <cell r="EA331" t="e">
            <v>#DIV/0!</v>
          </cell>
        </row>
        <row r="332">
          <cell r="B332">
            <v>359287</v>
          </cell>
          <cell r="C332" t="str">
            <v>ჩაი-ბერქა-DREAM-100გ_10ც+1ც</v>
          </cell>
          <cell r="D332" t="str">
            <v>TON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O332">
            <v>0</v>
          </cell>
          <cell r="AP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 t="str">
            <v/>
          </cell>
          <cell r="DZ332" t="str">
            <v>pasiv</v>
          </cell>
          <cell r="EA332" t="e">
            <v>#DIV/0!</v>
          </cell>
        </row>
        <row r="333">
          <cell r="B333">
            <v>359288</v>
          </cell>
          <cell r="C333" t="str">
            <v>ჩაი-ბერქა-FEEL-100გ_10ც+1ც</v>
          </cell>
          <cell r="D333" t="str">
            <v>TON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O333">
            <v>0</v>
          </cell>
          <cell r="AP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 t="str">
            <v/>
          </cell>
          <cell r="DZ333" t="str">
            <v>pasiv</v>
          </cell>
          <cell r="EA333" t="e">
            <v>#DIV/0!</v>
          </cell>
        </row>
        <row r="334">
          <cell r="B334">
            <v>359289</v>
          </cell>
          <cell r="C334" t="str">
            <v>ჩაი-ბერქა ელ-გრეი-100გ_10ც+1ც</v>
          </cell>
          <cell r="D334" t="str">
            <v>TON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O334">
            <v>0</v>
          </cell>
          <cell r="AP334">
            <v>0</v>
          </cell>
          <cell r="AS334">
            <v>0</v>
          </cell>
          <cell r="AT334">
            <v>0</v>
          </cell>
          <cell r="AU334">
            <v>1.0999999999999999E-2</v>
          </cell>
          <cell r="AV334">
            <v>436.5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1.0999999999999999E-2</v>
          </cell>
          <cell r="DJ334">
            <v>436.5</v>
          </cell>
          <cell r="DK334">
            <v>0</v>
          </cell>
          <cell r="DL334">
            <v>0</v>
          </cell>
          <cell r="DM334">
            <v>1.0999999999999999E-2</v>
          </cell>
          <cell r="DN334">
            <v>436.5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1.0999999999999999E-2</v>
          </cell>
          <cell r="DX334">
            <v>436.5</v>
          </cell>
          <cell r="DY334" t="str">
            <v/>
          </cell>
          <cell r="DZ334">
            <v>0</v>
          </cell>
          <cell r="EA334">
            <v>39681.818181818184</v>
          </cell>
        </row>
        <row r="335">
          <cell r="B335">
            <v>359297</v>
          </cell>
          <cell r="C335" t="str">
            <v>ჩაი-ბერქა ელ-გრეი-225გ_10ც+1ც</v>
          </cell>
          <cell r="D335" t="str">
            <v>TON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O335">
            <v>0</v>
          </cell>
          <cell r="AP335">
            <v>0</v>
          </cell>
          <cell r="AS335">
            <v>0</v>
          </cell>
          <cell r="AT335">
            <v>0</v>
          </cell>
          <cell r="AU335">
            <v>1.2375000000000001E-2</v>
          </cell>
          <cell r="AV335">
            <v>453.84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9.9000000000000008E-3</v>
          </cell>
          <cell r="DJ335">
            <v>360.84</v>
          </cell>
          <cell r="DK335">
            <v>2.4750000000000002E-3</v>
          </cell>
          <cell r="DL335">
            <v>93</v>
          </cell>
          <cell r="DM335">
            <v>1.2375000000000001E-2</v>
          </cell>
          <cell r="DN335">
            <v>453.84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1.2375000000000001E-2</v>
          </cell>
          <cell r="DX335">
            <v>453.84</v>
          </cell>
          <cell r="DY335" t="str">
            <v/>
          </cell>
          <cell r="DZ335">
            <v>0</v>
          </cell>
          <cell r="EA335">
            <v>36673.939393939392</v>
          </cell>
        </row>
        <row r="336">
          <cell r="B336">
            <v>359303</v>
          </cell>
          <cell r="C336" t="str">
            <v>ჩაი-ბერქა ელ-გრეი-450გ_10ც+1ც</v>
          </cell>
          <cell r="D336" t="str">
            <v>TON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O336">
            <v>0</v>
          </cell>
          <cell r="AP336">
            <v>0</v>
          </cell>
          <cell r="AS336">
            <v>0</v>
          </cell>
          <cell r="AT336">
            <v>0</v>
          </cell>
          <cell r="AU336">
            <v>9.9000000000000008E-3</v>
          </cell>
          <cell r="AV336">
            <v>354.6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4.9500000000000004E-3</v>
          </cell>
          <cell r="DJ336">
            <v>174.6</v>
          </cell>
          <cell r="DK336">
            <v>4.9500000000000004E-3</v>
          </cell>
          <cell r="DL336">
            <v>180</v>
          </cell>
          <cell r="DM336">
            <v>9.9000000000000008E-3</v>
          </cell>
          <cell r="DN336">
            <v>354.6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9.9000000000000008E-3</v>
          </cell>
          <cell r="DX336">
            <v>354.6</v>
          </cell>
          <cell r="DY336" t="str">
            <v/>
          </cell>
          <cell r="DZ336">
            <v>0</v>
          </cell>
          <cell r="EA336">
            <v>35818.181818181816</v>
          </cell>
        </row>
        <row r="337">
          <cell r="B337">
            <v>359304</v>
          </cell>
          <cell r="C337" t="str">
            <v>ჩაი-ბერქა ელ-გრეი-900გ_10ც+1ც</v>
          </cell>
          <cell r="D337" t="str">
            <v>TON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O337">
            <v>0</v>
          </cell>
          <cell r="AP337">
            <v>0</v>
          </cell>
          <cell r="AS337">
            <v>0</v>
          </cell>
          <cell r="AT337">
            <v>0</v>
          </cell>
          <cell r="AU337">
            <v>9.9000000000000008E-3</v>
          </cell>
          <cell r="AV337">
            <v>344.35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9.9000000000000008E-3</v>
          </cell>
          <cell r="DJ337">
            <v>344.35</v>
          </cell>
          <cell r="DK337">
            <v>0</v>
          </cell>
          <cell r="DL337">
            <v>0</v>
          </cell>
          <cell r="DM337">
            <v>9.9000000000000008E-3</v>
          </cell>
          <cell r="DN337">
            <v>344.35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9.9000000000000008E-3</v>
          </cell>
          <cell r="DX337">
            <v>344.35</v>
          </cell>
          <cell r="DY337" t="str">
            <v/>
          </cell>
          <cell r="DZ337">
            <v>0</v>
          </cell>
          <cell r="EA337">
            <v>34782.828282828283</v>
          </cell>
        </row>
        <row r="338">
          <cell r="B338">
            <v>376851</v>
          </cell>
          <cell r="C338" t="str">
            <v>ჩაი-ბერქა ელ-გრეი-225გ_1ც+1ც ულქერი_ჩოკოპრენს_81გ</v>
          </cell>
          <cell r="D338" t="str">
            <v>TON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O338">
            <v>0</v>
          </cell>
          <cell r="AP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 t="str">
            <v/>
          </cell>
          <cell r="DZ338" t="str">
            <v>pasiv</v>
          </cell>
          <cell r="EA338" t="e">
            <v>#DIV/0!</v>
          </cell>
        </row>
        <row r="339">
          <cell r="B339">
            <v>376852</v>
          </cell>
          <cell r="C339" t="str">
            <v>ჩაი-ბერქა ელ-გრეი-450გ_1ც+1ც ულქერი_ფექი_150გ</v>
          </cell>
          <cell r="D339" t="str">
            <v>TON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O339">
            <v>0</v>
          </cell>
          <cell r="AP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 t="str">
            <v/>
          </cell>
          <cell r="DZ339" t="str">
            <v>pasiv</v>
          </cell>
          <cell r="EA339" t="e">
            <v>#DIV/0!</v>
          </cell>
        </row>
        <row r="340">
          <cell r="B340">
            <v>376853</v>
          </cell>
          <cell r="C340" t="str">
            <v>ჩაი-ბერქა ელ-გრეი-450გ_1ც+1ც ულქერი_ო ლალა_70გ</v>
          </cell>
          <cell r="D340" t="str">
            <v>TON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O340">
            <v>0</v>
          </cell>
          <cell r="AP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 t="str">
            <v/>
          </cell>
          <cell r="DZ340" t="str">
            <v>pasiv</v>
          </cell>
          <cell r="EA340" t="e">
            <v>#DIV/0!</v>
          </cell>
        </row>
        <row r="341">
          <cell r="B341">
            <v>383223</v>
          </cell>
          <cell r="C341" t="str">
            <v>ჩაი-ბერქა ელ-გრეი-900გ 1ც+1ც ბერქა ელ-გრეი-100გ</v>
          </cell>
          <cell r="D341" t="str">
            <v>TON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O341">
            <v>0</v>
          </cell>
          <cell r="AP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 t="str">
            <v/>
          </cell>
          <cell r="DZ341" t="str">
            <v>pasiv</v>
          </cell>
          <cell r="EA341" t="e">
            <v>#DIV/0!</v>
          </cell>
        </row>
        <row r="342">
          <cell r="B342">
            <v>108731</v>
          </cell>
          <cell r="C342" t="str">
            <v>ჩაი-ბერქა ელ-გრეი-225გრ*30</v>
          </cell>
          <cell r="D342" t="str">
            <v>TON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O342">
            <v>0</v>
          </cell>
          <cell r="AP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C342">
            <v>0</v>
          </cell>
          <cell r="DD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 t="str">
            <v/>
          </cell>
          <cell r="DZ342" t="str">
            <v>pasiv</v>
          </cell>
          <cell r="EA342" t="e">
            <v>#DIV/0!</v>
          </cell>
        </row>
        <row r="343">
          <cell r="B343">
            <v>371799</v>
          </cell>
          <cell r="C343" t="str">
            <v>ჩაი_ბერქა_ROYAL CEREMONY_200გ_10ც+1ც</v>
          </cell>
          <cell r="D343" t="str">
            <v>TON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O343">
            <v>0</v>
          </cell>
          <cell r="AP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C343">
            <v>0</v>
          </cell>
          <cell r="DD343">
            <v>0</v>
          </cell>
          <cell r="DE343">
            <v>0</v>
          </cell>
          <cell r="DF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 t="str">
            <v/>
          </cell>
          <cell r="DZ343" t="str">
            <v>pasiv</v>
          </cell>
          <cell r="EA343" t="e">
            <v>#DIV/0!</v>
          </cell>
        </row>
        <row r="344">
          <cell r="B344">
            <v>371801</v>
          </cell>
          <cell r="C344" t="str">
            <v>ჩაი_ბერქა_ROYAL CEREMONY_100გ_10ც+1ც</v>
          </cell>
          <cell r="D344" t="str">
            <v>TON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O344">
            <v>0</v>
          </cell>
          <cell r="AP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 t="str">
            <v/>
          </cell>
          <cell r="DZ344" t="str">
            <v>pasiv</v>
          </cell>
          <cell r="EA344" t="e">
            <v>#DIV/0!</v>
          </cell>
        </row>
        <row r="345">
          <cell r="B345">
            <v>359045</v>
          </cell>
          <cell r="C345" t="str">
            <v>ჩაი_ბერქა_ROYAL CEREMONY_200გ*15</v>
          </cell>
          <cell r="D345" t="str">
            <v>TON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2.0000000000000001E-4</v>
          </cell>
          <cell r="AF345">
            <v>8.27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O345">
            <v>2.0000000000000001E-4</v>
          </cell>
          <cell r="AP345">
            <v>8.27</v>
          </cell>
          <cell r="AS345">
            <v>0</v>
          </cell>
          <cell r="AT345">
            <v>0</v>
          </cell>
          <cell r="AU345">
            <v>8.2000000000000007E-3</v>
          </cell>
          <cell r="AV345">
            <v>348.83</v>
          </cell>
          <cell r="AW345">
            <v>0</v>
          </cell>
          <cell r="AX345">
            <v>0</v>
          </cell>
          <cell r="AY345">
            <v>2E-3</v>
          </cell>
          <cell r="AZ345">
            <v>84.48</v>
          </cell>
          <cell r="BA345">
            <v>0</v>
          </cell>
          <cell r="BB345">
            <v>0</v>
          </cell>
          <cell r="BC345">
            <v>6.0000000000000001E-3</v>
          </cell>
          <cell r="BD345">
            <v>256.08</v>
          </cell>
          <cell r="BE345">
            <v>8.0000000000000002E-3</v>
          </cell>
          <cell r="BF345">
            <v>340.56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8.2000000000000007E-3</v>
          </cell>
          <cell r="DX345">
            <v>348.83</v>
          </cell>
          <cell r="DY345" t="str">
            <v/>
          </cell>
          <cell r="DZ345">
            <v>0</v>
          </cell>
          <cell r="EA345">
            <v>42540.243902439019</v>
          </cell>
        </row>
        <row r="346">
          <cell r="B346">
            <v>359066</v>
          </cell>
          <cell r="C346" t="str">
            <v>ჩაი_ბერქა_ROYAL CEREMONY_100გ*20</v>
          </cell>
          <cell r="D346" t="str">
            <v>TON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O346">
            <v>0</v>
          </cell>
          <cell r="AP346">
            <v>0</v>
          </cell>
          <cell r="AS346">
            <v>0</v>
          </cell>
          <cell r="AT346">
            <v>0</v>
          </cell>
          <cell r="AU346">
            <v>2E-3</v>
          </cell>
          <cell r="AV346">
            <v>87.36</v>
          </cell>
          <cell r="AW346">
            <v>0</v>
          </cell>
          <cell r="AX346">
            <v>0</v>
          </cell>
          <cell r="AY346">
            <v>2E-3</v>
          </cell>
          <cell r="AZ346">
            <v>87.36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2E-3</v>
          </cell>
          <cell r="BF346">
            <v>87.36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2E-3</v>
          </cell>
          <cell r="DX346">
            <v>87.36</v>
          </cell>
          <cell r="DY346" t="str">
            <v/>
          </cell>
          <cell r="DZ346">
            <v>0</v>
          </cell>
          <cell r="EA346">
            <v>43680</v>
          </cell>
        </row>
        <row r="347">
          <cell r="B347">
            <v>230118</v>
          </cell>
          <cell r="C347" t="str">
            <v>ჩაი-ბერქა ელ-გრეი-225გრ*30</v>
          </cell>
          <cell r="D347" t="str">
            <v>TON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O347">
            <v>0</v>
          </cell>
          <cell r="P347">
            <v>0</v>
          </cell>
          <cell r="Q347">
            <v>6.7500000000000004E-4</v>
          </cell>
          <cell r="R347">
            <v>27.06</v>
          </cell>
          <cell r="S347">
            <v>2.2499999999999998E-3</v>
          </cell>
          <cell r="T347">
            <v>90.21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2.9249999999999996E-3</v>
          </cell>
          <cell r="Z347">
            <v>117.27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O347">
            <v>0</v>
          </cell>
          <cell r="AP347">
            <v>0</v>
          </cell>
          <cell r="AS347">
            <v>0</v>
          </cell>
          <cell r="AT347">
            <v>0</v>
          </cell>
          <cell r="AU347">
            <v>3.3524999999999999E-2</v>
          </cell>
          <cell r="AV347">
            <v>1379.51</v>
          </cell>
          <cell r="AW347">
            <v>0</v>
          </cell>
          <cell r="AX347">
            <v>0</v>
          </cell>
          <cell r="AY347">
            <v>5.6249999999999998E-3</v>
          </cell>
          <cell r="AZ347">
            <v>225.06</v>
          </cell>
          <cell r="BA347">
            <v>0</v>
          </cell>
          <cell r="BB347">
            <v>0</v>
          </cell>
          <cell r="BC347">
            <v>1.35E-2</v>
          </cell>
          <cell r="BD347">
            <v>541.26</v>
          </cell>
          <cell r="BE347">
            <v>1.9125E-2</v>
          </cell>
          <cell r="BF347">
            <v>766.31999999999994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2.2499999999999998E-3</v>
          </cell>
          <cell r="CD347">
            <v>97.7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2.2499999999999998E-3</v>
          </cell>
          <cell r="CJ347">
            <v>97.7</v>
          </cell>
          <cell r="CK347">
            <v>2.2499999999999998E-3</v>
          </cell>
          <cell r="CL347">
            <v>97.7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1.3500000000000001E-3</v>
          </cell>
          <cell r="CV347">
            <v>58.62</v>
          </cell>
          <cell r="CW347">
            <v>0</v>
          </cell>
          <cell r="CX347">
            <v>0</v>
          </cell>
          <cell r="CY347">
            <v>1.3500000000000001E-3</v>
          </cell>
          <cell r="CZ347">
            <v>58.62</v>
          </cell>
          <cell r="DA347">
            <v>5.4000000000000003E-3</v>
          </cell>
          <cell r="DB347">
            <v>234.48</v>
          </cell>
          <cell r="DC347">
            <v>0</v>
          </cell>
          <cell r="DD347">
            <v>0</v>
          </cell>
          <cell r="DE347">
            <v>6.7500000000000008E-3</v>
          </cell>
          <cell r="DF347">
            <v>293.09999999999997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1.1249999999999999E-3</v>
          </cell>
          <cell r="DL347">
            <v>46.5</v>
          </cell>
          <cell r="DM347">
            <v>1.1249999999999999E-3</v>
          </cell>
          <cell r="DN347">
            <v>46.5</v>
          </cell>
          <cell r="DO347">
            <v>1.3500000000000001E-3</v>
          </cell>
          <cell r="DP347">
            <v>58.62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1.3500000000000001E-3</v>
          </cell>
          <cell r="DV347">
            <v>58.62</v>
          </cell>
          <cell r="DW347">
            <v>3.3524999999999999E-2</v>
          </cell>
          <cell r="DX347">
            <v>1379.5099999999998</v>
          </cell>
          <cell r="DY347" t="str">
            <v/>
          </cell>
          <cell r="DZ347">
            <v>0</v>
          </cell>
          <cell r="EA347">
            <v>41148.695003728557</v>
          </cell>
        </row>
        <row r="348">
          <cell r="B348">
            <v>230141</v>
          </cell>
          <cell r="C348" t="str">
            <v>ჩაი-ბერქა ელ-გრეი-450გრ*15</v>
          </cell>
          <cell r="D348" t="str">
            <v>TON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O348">
            <v>0</v>
          </cell>
          <cell r="P348">
            <v>0</v>
          </cell>
          <cell r="Q348">
            <v>2.2499999999999998E-3</v>
          </cell>
          <cell r="R348">
            <v>86.4</v>
          </cell>
          <cell r="S348">
            <v>1.125E-2</v>
          </cell>
          <cell r="T348">
            <v>433.8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1.35E-2</v>
          </cell>
          <cell r="Z348">
            <v>520.20000000000005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O348">
            <v>0</v>
          </cell>
          <cell r="AP348">
            <v>0</v>
          </cell>
          <cell r="AS348">
            <v>0</v>
          </cell>
          <cell r="AT348">
            <v>0</v>
          </cell>
          <cell r="AU348">
            <v>3.3300000000000003E-2</v>
          </cell>
          <cell r="AV348">
            <v>1291.28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1.3950000000000001E-2</v>
          </cell>
          <cell r="BD348">
            <v>541.79999999999995</v>
          </cell>
          <cell r="BE348">
            <v>1.3950000000000001E-2</v>
          </cell>
          <cell r="BF348">
            <v>541.79999999999995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1.3500000000000001E-3</v>
          </cell>
          <cell r="DB348">
            <v>56.7</v>
          </cell>
          <cell r="DC348">
            <v>4.4999999999999997E-3</v>
          </cell>
          <cell r="DD348">
            <v>172.58</v>
          </cell>
          <cell r="DE348">
            <v>5.8499999999999993E-3</v>
          </cell>
          <cell r="DF348">
            <v>229.28000000000003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3.3299999999999996E-2</v>
          </cell>
          <cell r="DX348">
            <v>1291.28</v>
          </cell>
          <cell r="DY348" t="str">
            <v/>
          </cell>
          <cell r="DZ348">
            <v>0</v>
          </cell>
          <cell r="EA348">
            <v>38777.177177177182</v>
          </cell>
        </row>
        <row r="349">
          <cell r="B349">
            <v>230117</v>
          </cell>
          <cell r="C349" t="str">
            <v>ჩაი-ბერქა ელ-გრეი-100გრ*60</v>
          </cell>
          <cell r="D349" t="str">
            <v>TON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O349">
            <v>0</v>
          </cell>
          <cell r="P349">
            <v>0</v>
          </cell>
          <cell r="Q349">
            <v>1E-3</v>
          </cell>
          <cell r="R349">
            <v>43.2</v>
          </cell>
          <cell r="S349">
            <v>2E-3</v>
          </cell>
          <cell r="T349">
            <v>87.3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3.0000000000000001E-3</v>
          </cell>
          <cell r="Z349">
            <v>130.5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2.0000000000000001E-4</v>
          </cell>
          <cell r="AF349">
            <v>8.4600000000000009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2.3999999999999998E-3</v>
          </cell>
          <cell r="AL349">
            <v>113.52</v>
          </cell>
          <cell r="AO349">
            <v>2.5999999999999999E-3</v>
          </cell>
          <cell r="AP349">
            <v>121.97999999999999</v>
          </cell>
          <cell r="AS349">
            <v>0</v>
          </cell>
          <cell r="AT349">
            <v>0</v>
          </cell>
          <cell r="AU349">
            <v>2.5399999999999999E-2</v>
          </cell>
          <cell r="AV349">
            <v>1146.51</v>
          </cell>
          <cell r="AW349">
            <v>0</v>
          </cell>
          <cell r="AX349">
            <v>0</v>
          </cell>
          <cell r="AY349">
            <v>2.5999999999999999E-3</v>
          </cell>
          <cell r="AZ349">
            <v>113.4</v>
          </cell>
          <cell r="BA349">
            <v>0</v>
          </cell>
          <cell r="BB349">
            <v>0</v>
          </cell>
          <cell r="BC349">
            <v>6.6E-3</v>
          </cell>
          <cell r="BD349">
            <v>290.27999999999997</v>
          </cell>
          <cell r="BE349">
            <v>9.1999999999999998E-3</v>
          </cell>
          <cell r="BF349">
            <v>403.67999999999995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5.0000000000000001E-4</v>
          </cell>
          <cell r="BX349">
            <v>21.83</v>
          </cell>
          <cell r="BY349">
            <v>1E-3</v>
          </cell>
          <cell r="BZ349">
            <v>47.3</v>
          </cell>
          <cell r="CA349">
            <v>1E-3</v>
          </cell>
          <cell r="CB349">
            <v>47.3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2.5000000000000001E-3</v>
          </cell>
          <cell r="CJ349">
            <v>116.43</v>
          </cell>
          <cell r="CK349">
            <v>2.5000000000000001E-3</v>
          </cell>
          <cell r="CL349">
            <v>116.43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5.9999999999999995E-4</v>
          </cell>
          <cell r="CV349">
            <v>27</v>
          </cell>
          <cell r="CW349">
            <v>0</v>
          </cell>
          <cell r="CX349">
            <v>0</v>
          </cell>
          <cell r="CY349">
            <v>3.0000000000000001E-3</v>
          </cell>
          <cell r="CZ349">
            <v>141.9</v>
          </cell>
          <cell r="DA349">
            <v>1.1999999999999999E-3</v>
          </cell>
          <cell r="DB349">
            <v>56.76</v>
          </cell>
          <cell r="DC349">
            <v>5.9999999999999995E-4</v>
          </cell>
          <cell r="DD349">
            <v>25.38</v>
          </cell>
          <cell r="DE349">
            <v>4.7999999999999996E-3</v>
          </cell>
          <cell r="DF349">
            <v>224.04</v>
          </cell>
          <cell r="DG349">
            <v>2.2000000000000001E-3</v>
          </cell>
          <cell r="DH349">
            <v>100.38</v>
          </cell>
          <cell r="DI349">
            <v>0</v>
          </cell>
          <cell r="DJ349">
            <v>0</v>
          </cell>
          <cell r="DK349">
            <v>5.0000000000000001E-4</v>
          </cell>
          <cell r="DL349">
            <v>22.5</v>
          </cell>
          <cell r="DM349">
            <v>2.7000000000000001E-3</v>
          </cell>
          <cell r="DN349">
            <v>122.88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5.9999999999999995E-4</v>
          </cell>
          <cell r="DT349">
            <v>27</v>
          </cell>
          <cell r="DU349">
            <v>5.9999999999999995E-4</v>
          </cell>
          <cell r="DV349">
            <v>27</v>
          </cell>
          <cell r="DW349">
            <v>2.5399999999999995E-2</v>
          </cell>
          <cell r="DX349">
            <v>1146.51</v>
          </cell>
          <cell r="DY349" t="str">
            <v/>
          </cell>
          <cell r="DZ349">
            <v>0</v>
          </cell>
          <cell r="EA349">
            <v>45138.188976377962</v>
          </cell>
        </row>
        <row r="350">
          <cell r="B350">
            <v>117980</v>
          </cell>
          <cell r="C350" t="str">
            <v>FINAL PEKOE_100QR*60</v>
          </cell>
          <cell r="D350" t="str">
            <v>TON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O350">
            <v>0</v>
          </cell>
          <cell r="P350">
            <v>0</v>
          </cell>
          <cell r="Q350">
            <v>1E-3</v>
          </cell>
          <cell r="R350">
            <v>42.24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1E-3</v>
          </cell>
          <cell r="Z350">
            <v>42.24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O350">
            <v>0</v>
          </cell>
          <cell r="AP350">
            <v>0</v>
          </cell>
          <cell r="AS350">
            <v>0</v>
          </cell>
          <cell r="AT350">
            <v>0</v>
          </cell>
          <cell r="AU350">
            <v>2.2000000000000001E-3</v>
          </cell>
          <cell r="AV350">
            <v>93.19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1E-3</v>
          </cell>
          <cell r="BD350">
            <v>42.68</v>
          </cell>
          <cell r="BE350">
            <v>1E-3</v>
          </cell>
          <cell r="BF350">
            <v>42.68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2.0000000000000001E-4</v>
          </cell>
          <cell r="CF350">
            <v>8.27</v>
          </cell>
          <cell r="CG350">
            <v>0</v>
          </cell>
          <cell r="CH350">
            <v>0</v>
          </cell>
          <cell r="CI350">
            <v>2.0000000000000001E-4</v>
          </cell>
          <cell r="CJ350">
            <v>8.27</v>
          </cell>
          <cell r="CK350">
            <v>2.0000000000000001E-4</v>
          </cell>
          <cell r="CL350">
            <v>8.27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2.2000000000000001E-3</v>
          </cell>
          <cell r="DX350">
            <v>93.19</v>
          </cell>
          <cell r="DY350" t="str">
            <v/>
          </cell>
          <cell r="DZ350">
            <v>0</v>
          </cell>
          <cell r="EA350">
            <v>42359.090909090904</v>
          </cell>
        </row>
        <row r="351">
          <cell r="B351">
            <v>0</v>
          </cell>
          <cell r="C351" t="str">
            <v>PEKOE</v>
          </cell>
          <cell r="D351" t="str">
            <v>TON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O351">
            <v>0</v>
          </cell>
          <cell r="P351">
            <v>0</v>
          </cell>
          <cell r="Q351">
            <v>4.9249999999999997E-3</v>
          </cell>
          <cell r="R351">
            <v>198.90000000000003</v>
          </cell>
          <cell r="S351">
            <v>1.55E-2</v>
          </cell>
          <cell r="T351">
            <v>611.30999999999995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2.0424999999999999E-2</v>
          </cell>
          <cell r="Z351">
            <v>810.21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1.3000000000000002E-3</v>
          </cell>
          <cell r="AF351">
            <v>50.1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2.3E-3</v>
          </cell>
          <cell r="AL351">
            <v>109.52</v>
          </cell>
          <cell r="AO351">
            <v>3.5999999999999999E-3</v>
          </cell>
          <cell r="AP351">
            <v>159.62</v>
          </cell>
          <cell r="AS351">
            <v>0</v>
          </cell>
          <cell r="AT351">
            <v>0</v>
          </cell>
          <cell r="AU351">
            <v>0.17469540000000003</v>
          </cell>
          <cell r="AV351">
            <v>6928.82</v>
          </cell>
          <cell r="AW351">
            <v>0</v>
          </cell>
          <cell r="AX351">
            <v>0</v>
          </cell>
          <cell r="AY351">
            <v>1.8005E-2</v>
          </cell>
          <cell r="AZ351">
            <v>733.83</v>
          </cell>
          <cell r="BA351">
            <v>0</v>
          </cell>
          <cell r="BB351">
            <v>0</v>
          </cell>
          <cell r="BC351">
            <v>5.2850000000000001E-2</v>
          </cell>
          <cell r="BD351">
            <v>2127.9999999999995</v>
          </cell>
          <cell r="BE351">
            <v>7.0855000000000001E-2</v>
          </cell>
          <cell r="BF351">
            <v>2861.8299999999995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5.0000000000000001E-4</v>
          </cell>
          <cell r="BX351">
            <v>21.83</v>
          </cell>
          <cell r="BY351">
            <v>1E-3</v>
          </cell>
          <cell r="BZ351">
            <v>47.3</v>
          </cell>
          <cell r="CA351">
            <v>1E-3</v>
          </cell>
          <cell r="CB351">
            <v>47.3</v>
          </cell>
          <cell r="CC351">
            <v>2.2499999999999998E-3</v>
          </cell>
          <cell r="CD351">
            <v>97.7</v>
          </cell>
          <cell r="CE351">
            <v>2.0000000000000001E-4</v>
          </cell>
          <cell r="CF351">
            <v>8.27</v>
          </cell>
          <cell r="CG351">
            <v>0</v>
          </cell>
          <cell r="CH351">
            <v>0</v>
          </cell>
          <cell r="CI351">
            <v>4.9499999999999995E-3</v>
          </cell>
          <cell r="CJ351">
            <v>222.4</v>
          </cell>
          <cell r="CK351">
            <v>4.9499999999999995E-3</v>
          </cell>
          <cell r="CL351">
            <v>222.4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2.4499999999999999E-3</v>
          </cell>
          <cell r="CV351">
            <v>107.62</v>
          </cell>
          <cell r="CW351">
            <v>0</v>
          </cell>
          <cell r="CX351">
            <v>0</v>
          </cell>
          <cell r="CY351">
            <v>4.3499999999999997E-3</v>
          </cell>
          <cell r="CZ351">
            <v>200.52</v>
          </cell>
          <cell r="DA351">
            <v>8.5500000000000003E-3</v>
          </cell>
          <cell r="DB351">
            <v>375.65999999999997</v>
          </cell>
          <cell r="DC351">
            <v>5.6999999999999993E-3</v>
          </cell>
          <cell r="DD351">
            <v>225.68</v>
          </cell>
          <cell r="DE351">
            <v>1.8599999999999998E-2</v>
          </cell>
          <cell r="DF351">
            <v>801.8599999999999</v>
          </cell>
          <cell r="DG351">
            <v>2.2000000000000001E-3</v>
          </cell>
          <cell r="DH351">
            <v>100.38</v>
          </cell>
          <cell r="DI351">
            <v>3.5750000000000004E-2</v>
          </cell>
          <cell r="DJ351">
            <v>1316.29</v>
          </cell>
          <cell r="DK351">
            <v>1.5865399999999998E-2</v>
          </cell>
          <cell r="DL351">
            <v>548.61</v>
          </cell>
          <cell r="DM351">
            <v>5.3815399999999999E-2</v>
          </cell>
          <cell r="DN351">
            <v>1965.2800000000002</v>
          </cell>
          <cell r="DO351">
            <v>1.3500000000000001E-3</v>
          </cell>
          <cell r="DP351">
            <v>58.62</v>
          </cell>
          <cell r="DQ351">
            <v>0</v>
          </cell>
          <cell r="DR351">
            <v>0</v>
          </cell>
          <cell r="DS351">
            <v>1.0999999999999998E-3</v>
          </cell>
          <cell r="DT351">
            <v>49</v>
          </cell>
          <cell r="DU351">
            <v>2.4499999999999999E-3</v>
          </cell>
          <cell r="DV351">
            <v>107.62</v>
          </cell>
          <cell r="DW351">
            <v>0.1746954</v>
          </cell>
          <cell r="DX351">
            <v>6928.82</v>
          </cell>
          <cell r="DY351" t="str">
            <v/>
          </cell>
          <cell r="DZ351">
            <v>0</v>
          </cell>
          <cell r="EA351">
            <v>39662.292195444184</v>
          </cell>
        </row>
        <row r="352">
          <cell r="B352">
            <v>345871</v>
          </cell>
          <cell r="C352" t="str">
            <v>ჩაი-ფინალ ულტრა ელ-გრეი-225გ*30</v>
          </cell>
          <cell r="D352" t="str">
            <v>TON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2.2499999999999998E-3</v>
          </cell>
          <cell r="T352">
            <v>93.12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2.2499999999999998E-3</v>
          </cell>
          <cell r="Z352">
            <v>93.12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O352">
            <v>0</v>
          </cell>
          <cell r="AP352">
            <v>0</v>
          </cell>
          <cell r="AS352">
            <v>0</v>
          </cell>
          <cell r="AT352">
            <v>0</v>
          </cell>
          <cell r="AU352">
            <v>2.2499999999999998E-3</v>
          </cell>
          <cell r="AV352">
            <v>93.12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2.2499999999999998E-3</v>
          </cell>
          <cell r="DX352">
            <v>93.12</v>
          </cell>
          <cell r="DY352" t="str">
            <v/>
          </cell>
          <cell r="DZ352">
            <v>0</v>
          </cell>
          <cell r="EA352">
            <v>41386.666666666672</v>
          </cell>
        </row>
        <row r="353">
          <cell r="B353">
            <v>318300</v>
          </cell>
          <cell r="C353" t="str">
            <v>ჩაი-ფინალი-პეკოე-100გ_15ც+1ც</v>
          </cell>
          <cell r="D353" t="str">
            <v>TON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O353">
            <v>0</v>
          </cell>
          <cell r="AP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  <cell r="DF353">
            <v>0</v>
          </cell>
          <cell r="DG353">
            <v>0</v>
          </cell>
          <cell r="DH353">
            <v>0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 t="str">
            <v/>
          </cell>
          <cell r="DZ353" t="str">
            <v>pasiv</v>
          </cell>
          <cell r="EA353" t="e">
            <v>#DIV/0!</v>
          </cell>
        </row>
        <row r="354">
          <cell r="B354">
            <v>318297</v>
          </cell>
          <cell r="C354" t="str">
            <v>ჩაი-ფინალ ნიუ სუპერი-100გ_15ც+1ც</v>
          </cell>
          <cell r="D354" t="str">
            <v>TON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O354">
            <v>0</v>
          </cell>
          <cell r="AP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 t="str">
            <v/>
          </cell>
          <cell r="DZ354" t="str">
            <v>pasiv</v>
          </cell>
          <cell r="EA354" t="e">
            <v>#DIV/0!</v>
          </cell>
        </row>
        <row r="355">
          <cell r="B355">
            <v>359281</v>
          </cell>
          <cell r="C355" t="str">
            <v>ჩაი-ფინალი-პეკოე-100გ_10ც+1ც</v>
          </cell>
          <cell r="D355" t="str">
            <v>TON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O355">
            <v>0</v>
          </cell>
          <cell r="AP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  <cell r="DD355">
            <v>0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 t="str">
            <v/>
          </cell>
          <cell r="DZ355" t="str">
            <v>pasiv</v>
          </cell>
          <cell r="EA355" t="e">
            <v>#DIV/0!</v>
          </cell>
        </row>
        <row r="356">
          <cell r="B356">
            <v>359295</v>
          </cell>
          <cell r="C356" t="str">
            <v>ჩაი-ფინალი-პეკოე-225გ_10ც+1ც</v>
          </cell>
          <cell r="D356" t="str">
            <v>TON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O356">
            <v>0</v>
          </cell>
          <cell r="AP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 t="str">
            <v/>
          </cell>
          <cell r="DZ356" t="str">
            <v>pasiv</v>
          </cell>
          <cell r="EA356" t="e">
            <v>#DIV/0!</v>
          </cell>
        </row>
        <row r="357">
          <cell r="B357">
            <v>359301</v>
          </cell>
          <cell r="C357" t="str">
            <v>ჩაი-ფინალი-პეკოე-450გ_10ც+1ც</v>
          </cell>
          <cell r="D357" t="str">
            <v>TON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O357">
            <v>0</v>
          </cell>
          <cell r="AP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 t="str">
            <v/>
          </cell>
          <cell r="DZ357" t="str">
            <v>pasiv</v>
          </cell>
          <cell r="EA357" t="e">
            <v>#DIV/0!</v>
          </cell>
        </row>
        <row r="358">
          <cell r="B358">
            <v>359282</v>
          </cell>
          <cell r="C358" t="str">
            <v>ჩაი-ფინალი-ბესტ/ბლ-100გ_10ც+1ც</v>
          </cell>
          <cell r="D358" t="str">
            <v>TON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O358">
            <v>0</v>
          </cell>
          <cell r="AP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 t="str">
            <v/>
          </cell>
          <cell r="DZ358" t="str">
            <v>pasiv</v>
          </cell>
          <cell r="EA358" t="e">
            <v>#DIV/0!</v>
          </cell>
        </row>
        <row r="359">
          <cell r="B359">
            <v>359296</v>
          </cell>
          <cell r="C359" t="str">
            <v>ჩაი-ფინალი-ბესტ/ბლ-225გ_10ც+1ც</v>
          </cell>
          <cell r="D359" t="str">
            <v>TON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O359">
            <v>0</v>
          </cell>
          <cell r="AP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  <cell r="DD359">
            <v>0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 t="str">
            <v/>
          </cell>
          <cell r="DZ359" t="str">
            <v>pasiv</v>
          </cell>
          <cell r="EA359" t="e">
            <v>#DIV/0!</v>
          </cell>
        </row>
        <row r="360">
          <cell r="B360">
            <v>359302</v>
          </cell>
          <cell r="C360" t="str">
            <v>ჩაი-ფინალი-ბესტ/ბლ-450გ_10ც+1ც</v>
          </cell>
          <cell r="D360" t="str">
            <v>TON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O360">
            <v>0</v>
          </cell>
          <cell r="AP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 t="str">
            <v/>
          </cell>
          <cell r="DZ360" t="str">
            <v>pasiv</v>
          </cell>
          <cell r="EA360" t="e">
            <v>#DIV/0!</v>
          </cell>
        </row>
        <row r="361">
          <cell r="B361">
            <v>359280</v>
          </cell>
          <cell r="C361" t="str">
            <v>ჩაი-ფინალ ნიუ სუპერი-100გ_10ც+1ც</v>
          </cell>
          <cell r="D361" t="str">
            <v>TON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O361">
            <v>0</v>
          </cell>
          <cell r="AP361">
            <v>0</v>
          </cell>
          <cell r="AS361">
            <v>0</v>
          </cell>
          <cell r="AT361">
            <v>0</v>
          </cell>
          <cell r="AU361">
            <v>1.1000000000000001E-3</v>
          </cell>
          <cell r="AV361">
            <v>44.5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1.1000000000000001E-3</v>
          </cell>
          <cell r="DL361">
            <v>44.5</v>
          </cell>
          <cell r="DM361">
            <v>1.1000000000000001E-3</v>
          </cell>
          <cell r="DN361">
            <v>44.5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1.1000000000000001E-3</v>
          </cell>
          <cell r="DX361">
            <v>44.5</v>
          </cell>
          <cell r="DY361" t="str">
            <v/>
          </cell>
          <cell r="DZ361">
            <v>0</v>
          </cell>
          <cell r="EA361">
            <v>40454.545454545449</v>
          </cell>
        </row>
        <row r="362">
          <cell r="B362">
            <v>359294</v>
          </cell>
          <cell r="C362" t="str">
            <v>ჩაი-ფინალ ნიუ სუპერი-225გ_10ც+1ც</v>
          </cell>
          <cell r="D362" t="str">
            <v>TON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O362">
            <v>0</v>
          </cell>
          <cell r="AP362">
            <v>0</v>
          </cell>
          <cell r="AS362">
            <v>0</v>
          </cell>
          <cell r="AT362">
            <v>0</v>
          </cell>
          <cell r="AU362">
            <v>2.4750000000000002E-3</v>
          </cell>
          <cell r="AV362">
            <v>95.5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2.4750000000000002E-3</v>
          </cell>
          <cell r="DL362">
            <v>95.5</v>
          </cell>
          <cell r="DM362">
            <v>2.4750000000000002E-3</v>
          </cell>
          <cell r="DN362">
            <v>95.5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2.4750000000000002E-3</v>
          </cell>
          <cell r="DX362">
            <v>95.5</v>
          </cell>
          <cell r="DY362" t="str">
            <v/>
          </cell>
          <cell r="DZ362">
            <v>0</v>
          </cell>
          <cell r="EA362">
            <v>38585.858585858579</v>
          </cell>
        </row>
        <row r="363">
          <cell r="B363">
            <v>359300</v>
          </cell>
          <cell r="C363" t="str">
            <v>ჩაი-ფინალ ნიუ სუპერი-450გ_10ც+1ც</v>
          </cell>
          <cell r="D363" t="str">
            <v>TON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O363">
            <v>0</v>
          </cell>
          <cell r="AP363">
            <v>0</v>
          </cell>
          <cell r="AS363">
            <v>0</v>
          </cell>
          <cell r="AT363">
            <v>0</v>
          </cell>
          <cell r="AU363">
            <v>4.9500000000000004E-3</v>
          </cell>
          <cell r="AV363">
            <v>190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4.9500000000000004E-3</v>
          </cell>
          <cell r="DL363">
            <v>190</v>
          </cell>
          <cell r="DM363">
            <v>4.9500000000000004E-3</v>
          </cell>
          <cell r="DN363">
            <v>190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4.9500000000000004E-3</v>
          </cell>
          <cell r="DX363">
            <v>190</v>
          </cell>
          <cell r="DY363" t="str">
            <v/>
          </cell>
          <cell r="DZ363">
            <v>0</v>
          </cell>
          <cell r="EA363">
            <v>38383.838383838382</v>
          </cell>
        </row>
        <row r="364">
          <cell r="B364">
            <v>360682</v>
          </cell>
          <cell r="C364" t="str">
            <v>ჩაი-ფინალი-ულტრა ელ-გრეი-100გ_10ც+1ც</v>
          </cell>
          <cell r="D364" t="str">
            <v>TON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O364">
            <v>0</v>
          </cell>
          <cell r="AP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 t="str">
            <v/>
          </cell>
          <cell r="DZ364" t="str">
            <v>pasiv</v>
          </cell>
          <cell r="EA364" t="e">
            <v>#DIV/0!</v>
          </cell>
        </row>
        <row r="365">
          <cell r="B365">
            <v>360683</v>
          </cell>
          <cell r="C365" t="str">
            <v>ჩაი-ფინალი-ულტრა ელ-გრეი-225გ_10ც+1ც</v>
          </cell>
          <cell r="D365" t="str">
            <v>TON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O365">
            <v>0</v>
          </cell>
          <cell r="AP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 t="str">
            <v/>
          </cell>
          <cell r="DZ365" t="str">
            <v>pasiv</v>
          </cell>
          <cell r="EA365" t="e">
            <v>#DIV/0!</v>
          </cell>
        </row>
        <row r="366">
          <cell r="B366">
            <v>360684</v>
          </cell>
          <cell r="C366" t="str">
            <v>ჩაი-ფინალი-ულტრა ელ-გრეი-450გ_10ც+1ც</v>
          </cell>
          <cell r="D366" t="str">
            <v>TON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O366">
            <v>0</v>
          </cell>
          <cell r="AP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 t="str">
            <v/>
          </cell>
          <cell r="DZ366" t="str">
            <v>pasiv</v>
          </cell>
          <cell r="EA366" t="e">
            <v>#DIV/0!</v>
          </cell>
        </row>
        <row r="367">
          <cell r="B367">
            <v>294231</v>
          </cell>
          <cell r="C367" t="str">
            <v>ჩაი-ბერქა-საუზმე-100გ*60</v>
          </cell>
          <cell r="D367" t="str">
            <v>TON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O367">
            <v>0</v>
          </cell>
          <cell r="AP367">
            <v>0</v>
          </cell>
          <cell r="AS367">
            <v>0</v>
          </cell>
          <cell r="AT367">
            <v>0</v>
          </cell>
          <cell r="AU367">
            <v>1.1000000000000001E-3</v>
          </cell>
          <cell r="AV367">
            <v>49.52</v>
          </cell>
          <cell r="AW367">
            <v>0</v>
          </cell>
          <cell r="AX367">
            <v>0</v>
          </cell>
          <cell r="AY367">
            <v>1E-3</v>
          </cell>
          <cell r="AZ367">
            <v>44.64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1E-3</v>
          </cell>
          <cell r="BF367">
            <v>44.64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1E-3</v>
          </cell>
          <cell r="DX367">
            <v>44.64</v>
          </cell>
          <cell r="DY367" t="str">
            <v/>
          </cell>
          <cell r="DZ367">
            <v>0</v>
          </cell>
          <cell r="EA367">
            <v>44640</v>
          </cell>
        </row>
        <row r="368">
          <cell r="B368">
            <v>295254</v>
          </cell>
          <cell r="C368" t="str">
            <v>ჩაი-ბერქა-მწვანე_100გ*30_ჟასმინი</v>
          </cell>
          <cell r="D368" t="str">
            <v>TON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O368">
            <v>0</v>
          </cell>
          <cell r="AP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 t="str">
            <v/>
          </cell>
          <cell r="DZ368" t="str">
            <v>pasiv</v>
          </cell>
          <cell r="EA368" t="e">
            <v>#DIV/0!</v>
          </cell>
        </row>
        <row r="369">
          <cell r="B369">
            <v>117928</v>
          </cell>
          <cell r="C369" t="str">
            <v>ჩაი-ფინალ ელ-გრეი-450გრ*15</v>
          </cell>
          <cell r="D369" t="str">
            <v>TON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O369">
            <v>0</v>
          </cell>
          <cell r="AP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 t="str">
            <v/>
          </cell>
          <cell r="DZ369" t="str">
            <v>pasiv</v>
          </cell>
          <cell r="EA369" t="e">
            <v>#DIV/0!</v>
          </cell>
        </row>
        <row r="370">
          <cell r="B370">
            <v>345811</v>
          </cell>
          <cell r="C370" t="str">
            <v>ჩაი-ფინალ ულტრა ელ-გრეი-100გ*60</v>
          </cell>
          <cell r="D370" t="str">
            <v>TON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1E-3</v>
          </cell>
          <cell r="T370">
            <v>43.17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1E-3</v>
          </cell>
          <cell r="Z370">
            <v>43.17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O370">
            <v>0</v>
          </cell>
          <cell r="AP370">
            <v>0</v>
          </cell>
          <cell r="AS370">
            <v>0</v>
          </cell>
          <cell r="AT370">
            <v>0</v>
          </cell>
          <cell r="AU370">
            <v>1E-3</v>
          </cell>
          <cell r="AV370">
            <v>43.17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1E-3</v>
          </cell>
          <cell r="DX370">
            <v>43.17</v>
          </cell>
          <cell r="DY370" t="str">
            <v/>
          </cell>
          <cell r="DZ370">
            <v>0</v>
          </cell>
          <cell r="EA370">
            <v>43170</v>
          </cell>
        </row>
        <row r="371">
          <cell r="B371">
            <v>35685</v>
          </cell>
          <cell r="C371" t="str">
            <v>ჩაი-ფინალ სეილონი-1კგ*6</v>
          </cell>
          <cell r="D371" t="str">
            <v>TON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O371">
            <v>0</v>
          </cell>
          <cell r="AP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 t="str">
            <v/>
          </cell>
          <cell r="DZ371" t="str">
            <v>pasiv</v>
          </cell>
          <cell r="EA371" t="e">
            <v>#DIV/0!</v>
          </cell>
        </row>
        <row r="372">
          <cell r="B372">
            <v>35684</v>
          </cell>
          <cell r="C372" t="str">
            <v>ჩაი-ფინალ სეილონი-500გრ*12</v>
          </cell>
          <cell r="D372" t="str">
            <v>TON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O372">
            <v>0</v>
          </cell>
          <cell r="AP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 t="str">
            <v/>
          </cell>
          <cell r="DZ372" t="str">
            <v>pasiv</v>
          </cell>
          <cell r="EA372" t="e">
            <v>#DIV/0!</v>
          </cell>
        </row>
        <row r="373">
          <cell r="B373">
            <v>117938</v>
          </cell>
          <cell r="C373" t="str">
            <v>ჩაი-ფინალ ფბოპ ელ-გრეი-225გრ*30</v>
          </cell>
          <cell r="D373" t="str">
            <v>TON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O373">
            <v>0</v>
          </cell>
          <cell r="AP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 t="str">
            <v/>
          </cell>
          <cell r="DZ373" t="str">
            <v>pasiv</v>
          </cell>
          <cell r="EA373" t="e">
            <v>#DIV/0!</v>
          </cell>
        </row>
        <row r="374">
          <cell r="B374">
            <v>117954</v>
          </cell>
          <cell r="C374" t="str">
            <v>ჩაი-ფინალ ნიუ სუპერი-6.75კგ/225*30</v>
          </cell>
          <cell r="D374" t="str">
            <v>TON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O374">
            <v>0</v>
          </cell>
          <cell r="AP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 t="str">
            <v/>
          </cell>
          <cell r="DZ374" t="str">
            <v>pasiv</v>
          </cell>
          <cell r="EA374" t="e">
            <v>#DIV/0!</v>
          </cell>
        </row>
        <row r="375">
          <cell r="B375">
            <v>383224</v>
          </cell>
          <cell r="C375" t="str">
            <v>ჩაი_ფინალ ქარიზმა_90გ_10ც+1ც</v>
          </cell>
          <cell r="D375" t="str">
            <v>TON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O375">
            <v>0</v>
          </cell>
          <cell r="AP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 t="str">
            <v/>
          </cell>
          <cell r="DZ375" t="str">
            <v>pasiv</v>
          </cell>
          <cell r="EA375" t="e">
            <v>#DIV/0!</v>
          </cell>
        </row>
        <row r="376">
          <cell r="B376">
            <v>162959</v>
          </cell>
          <cell r="C376" t="str">
            <v>FINAL_B.BLEND_225QR*30</v>
          </cell>
          <cell r="D376" t="str">
            <v>TON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O376">
            <v>0</v>
          </cell>
          <cell r="AP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 t="str">
            <v/>
          </cell>
          <cell r="DZ376" t="str">
            <v>pasiv</v>
          </cell>
          <cell r="EA376" t="e">
            <v>#DIV/0!</v>
          </cell>
        </row>
        <row r="377">
          <cell r="B377">
            <v>162822</v>
          </cell>
          <cell r="C377" t="str">
            <v xml:space="preserve">FINAL B.BLEND_100QR*60 </v>
          </cell>
          <cell r="D377" t="str">
            <v>TON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O377">
            <v>0</v>
          </cell>
          <cell r="P377">
            <v>0</v>
          </cell>
          <cell r="Q377">
            <v>1E-3</v>
          </cell>
          <cell r="R377">
            <v>42.72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1E-3</v>
          </cell>
          <cell r="Z377">
            <v>42.72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O377">
            <v>0</v>
          </cell>
          <cell r="AP377">
            <v>0</v>
          </cell>
          <cell r="AS377">
            <v>0</v>
          </cell>
          <cell r="AT377">
            <v>0</v>
          </cell>
          <cell r="AU377">
            <v>6.4000000000000003E-3</v>
          </cell>
          <cell r="AV377">
            <v>280.35000000000002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2E-3</v>
          </cell>
          <cell r="BD377">
            <v>86.33</v>
          </cell>
          <cell r="BE377">
            <v>2E-3</v>
          </cell>
          <cell r="BF377">
            <v>86.33</v>
          </cell>
          <cell r="BG377">
            <v>4.0000000000000002E-4</v>
          </cell>
          <cell r="BH377">
            <v>17.8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4.0000000000000002E-4</v>
          </cell>
          <cell r="BT377">
            <v>17.8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4.0000000000000002E-4</v>
          </cell>
          <cell r="CL377">
            <v>17.8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3.0000000000000001E-3</v>
          </cell>
          <cell r="CZ377">
            <v>133.5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3.0000000000000001E-3</v>
          </cell>
          <cell r="DF377">
            <v>133.5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6.4000000000000003E-3</v>
          </cell>
          <cell r="DX377">
            <v>280.35000000000002</v>
          </cell>
          <cell r="DY377" t="str">
            <v/>
          </cell>
          <cell r="DZ377">
            <v>0</v>
          </cell>
          <cell r="EA377">
            <v>43804.6875</v>
          </cell>
        </row>
        <row r="378">
          <cell r="B378">
            <v>162960</v>
          </cell>
          <cell r="C378" t="str">
            <v xml:space="preserve">FINAL_B.BLEND_450QR*15 </v>
          </cell>
          <cell r="D378" t="str">
            <v>TON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O378">
            <v>0</v>
          </cell>
          <cell r="AP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 t="str">
            <v/>
          </cell>
          <cell r="DZ378" t="str">
            <v>pasiv</v>
          </cell>
          <cell r="EA378" t="e">
            <v>#DIV/0!</v>
          </cell>
        </row>
        <row r="379">
          <cell r="B379">
            <v>379165</v>
          </cell>
          <cell r="C379" t="str">
            <v>ჩაი_ფინალ ქარიზმა_5.40კგ/90გ*60</v>
          </cell>
          <cell r="D379" t="str">
            <v>TON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O379">
            <v>0</v>
          </cell>
          <cell r="AP379">
            <v>0</v>
          </cell>
          <cell r="AS379">
            <v>0</v>
          </cell>
          <cell r="AT379">
            <v>0</v>
          </cell>
          <cell r="AU379">
            <v>6.4799999999999996E-3</v>
          </cell>
          <cell r="AV379">
            <v>186.15</v>
          </cell>
          <cell r="AW379">
            <v>0</v>
          </cell>
          <cell r="AX379">
            <v>0</v>
          </cell>
          <cell r="AY379">
            <v>1.08E-3</v>
          </cell>
          <cell r="AZ379">
            <v>30.76</v>
          </cell>
          <cell r="BA379">
            <v>0</v>
          </cell>
          <cell r="BB379">
            <v>0</v>
          </cell>
          <cell r="BC379">
            <v>5.4000000000000003E-3</v>
          </cell>
          <cell r="BD379">
            <v>155.38999999999999</v>
          </cell>
          <cell r="BE379">
            <v>6.4800000000000005E-3</v>
          </cell>
          <cell r="BF379">
            <v>186.14999999999998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6.4800000000000005E-3</v>
          </cell>
          <cell r="DX379">
            <v>186.14999999999998</v>
          </cell>
          <cell r="DY379" t="str">
            <v/>
          </cell>
          <cell r="DZ379">
            <v>0</v>
          </cell>
          <cell r="EA379">
            <v>28726.851851851847</v>
          </cell>
        </row>
        <row r="380">
          <cell r="B380">
            <v>0</v>
          </cell>
          <cell r="C380" t="str">
            <v>BEST BLEND</v>
          </cell>
          <cell r="D380" t="str">
            <v>TON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O380">
            <v>0</v>
          </cell>
          <cell r="P380">
            <v>0</v>
          </cell>
          <cell r="Q380">
            <v>1E-3</v>
          </cell>
          <cell r="R380">
            <v>42.72</v>
          </cell>
          <cell r="S380">
            <v>3.2499999999999999E-3</v>
          </cell>
          <cell r="T380">
            <v>136.29000000000002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4.2500000000000003E-3</v>
          </cell>
          <cell r="Z380">
            <v>179.01000000000002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O380">
            <v>0</v>
          </cell>
          <cell r="AP380">
            <v>0</v>
          </cell>
          <cell r="AS380">
            <v>0</v>
          </cell>
          <cell r="AT380">
            <v>0</v>
          </cell>
          <cell r="AU380">
            <v>2.5755E-2</v>
          </cell>
          <cell r="AV380">
            <v>982.31</v>
          </cell>
          <cell r="AW380">
            <v>0</v>
          </cell>
          <cell r="AX380">
            <v>0</v>
          </cell>
          <cell r="AY380">
            <v>2.0800000000000003E-3</v>
          </cell>
          <cell r="AZ380">
            <v>75.400000000000006</v>
          </cell>
          <cell r="BA380">
            <v>0</v>
          </cell>
          <cell r="BB380">
            <v>0</v>
          </cell>
          <cell r="BC380">
            <v>7.4000000000000003E-3</v>
          </cell>
          <cell r="BD380">
            <v>241.71999999999997</v>
          </cell>
          <cell r="BE380">
            <v>9.4800000000000006E-3</v>
          </cell>
          <cell r="BF380">
            <v>317.12</v>
          </cell>
          <cell r="BG380">
            <v>4.0000000000000002E-4</v>
          </cell>
          <cell r="BH380">
            <v>17.8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4.0000000000000002E-4</v>
          </cell>
          <cell r="BT380">
            <v>17.8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4.0000000000000002E-4</v>
          </cell>
          <cell r="CL380">
            <v>17.8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3.0000000000000001E-3</v>
          </cell>
          <cell r="CZ380">
            <v>133.5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3.0000000000000001E-3</v>
          </cell>
          <cell r="DF380">
            <v>133.5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8.5250000000000013E-3</v>
          </cell>
          <cell r="DL380">
            <v>330</v>
          </cell>
          <cell r="DM380">
            <v>8.5250000000000013E-3</v>
          </cell>
          <cell r="DN380">
            <v>330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2.5655000000000001E-2</v>
          </cell>
          <cell r="DX380">
            <v>977.43</v>
          </cell>
          <cell r="DY380" t="str">
            <v/>
          </cell>
          <cell r="DZ380">
            <v>0</v>
          </cell>
          <cell r="EA380">
            <v>38099.006041707267</v>
          </cell>
        </row>
        <row r="381">
          <cell r="B381">
            <v>16836</v>
          </cell>
          <cell r="C381" t="str">
            <v>ჩაი-გოლდენ ფაშა-500გრ*20</v>
          </cell>
          <cell r="D381" t="str">
            <v>TON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O381">
            <v>0</v>
          </cell>
          <cell r="AP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 t="str">
            <v/>
          </cell>
          <cell r="DZ381" t="str">
            <v>pasiv</v>
          </cell>
          <cell r="EA381" t="e">
            <v>#DIV/0!</v>
          </cell>
        </row>
        <row r="382">
          <cell r="B382">
            <v>0</v>
          </cell>
          <cell r="C382" t="str">
            <v>DIGER FINAL DOKME CAY</v>
          </cell>
          <cell r="D382" t="str">
            <v>TON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O382">
            <v>0</v>
          </cell>
          <cell r="AP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 t="str">
            <v/>
          </cell>
          <cell r="DZ382" t="str">
            <v>pasiv</v>
          </cell>
          <cell r="EA382" t="e">
            <v>#DIV/0!</v>
          </cell>
        </row>
        <row r="383">
          <cell r="A383">
            <v>5000</v>
          </cell>
          <cell r="C383" t="str">
            <v>Final + Berqa +Mercan DOKME CAY TOPLAM</v>
          </cell>
          <cell r="D383" t="str">
            <v>TON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O383">
            <v>0</v>
          </cell>
          <cell r="P383">
            <v>0</v>
          </cell>
          <cell r="Q383">
            <v>5.9249999999999997E-3</v>
          </cell>
          <cell r="R383">
            <v>241.62000000000003</v>
          </cell>
          <cell r="S383">
            <v>1.8749999999999999E-2</v>
          </cell>
          <cell r="T383">
            <v>747.59999999999991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2.4674999999999999E-2</v>
          </cell>
          <cell r="Z383">
            <v>989.22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1.3000000000000002E-3</v>
          </cell>
          <cell r="AF383">
            <v>50.1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2.3E-3</v>
          </cell>
          <cell r="AL383">
            <v>109.52</v>
          </cell>
          <cell r="AO383">
            <v>3.5999999999999999E-3</v>
          </cell>
          <cell r="AP383">
            <v>159.62</v>
          </cell>
          <cell r="AS383">
            <v>0</v>
          </cell>
          <cell r="AT383">
            <v>0</v>
          </cell>
          <cell r="AU383">
            <v>0.20045040000000003</v>
          </cell>
          <cell r="AV383">
            <v>7911.1299999999992</v>
          </cell>
          <cell r="AW383">
            <v>0</v>
          </cell>
          <cell r="AX383">
            <v>0</v>
          </cell>
          <cell r="AY383">
            <v>2.0084999999999999E-2</v>
          </cell>
          <cell r="AZ383">
            <v>809.23</v>
          </cell>
          <cell r="BA383">
            <v>0</v>
          </cell>
          <cell r="BB383">
            <v>0</v>
          </cell>
          <cell r="BC383">
            <v>6.0249999999999998E-2</v>
          </cell>
          <cell r="BD383">
            <v>2369.7199999999993</v>
          </cell>
          <cell r="BE383">
            <v>8.0335000000000004E-2</v>
          </cell>
          <cell r="BF383">
            <v>3178.9499999999994</v>
          </cell>
          <cell r="BG383">
            <v>4.0000000000000002E-4</v>
          </cell>
          <cell r="BH383">
            <v>17.8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4.0000000000000002E-4</v>
          </cell>
          <cell r="BT383">
            <v>17.8</v>
          </cell>
          <cell r="BU383">
            <v>0</v>
          </cell>
          <cell r="BV383">
            <v>0</v>
          </cell>
          <cell r="BW383">
            <v>5.0000000000000001E-4</v>
          </cell>
          <cell r="BX383">
            <v>21.83</v>
          </cell>
          <cell r="BY383">
            <v>1E-3</v>
          </cell>
          <cell r="BZ383">
            <v>47.3</v>
          </cell>
          <cell r="CA383">
            <v>1E-3</v>
          </cell>
          <cell r="CB383">
            <v>47.3</v>
          </cell>
          <cell r="CC383">
            <v>2.2499999999999998E-3</v>
          </cell>
          <cell r="CD383">
            <v>97.7</v>
          </cell>
          <cell r="CE383">
            <v>2.0000000000000001E-4</v>
          </cell>
          <cell r="CF383">
            <v>8.27</v>
          </cell>
          <cell r="CG383">
            <v>0</v>
          </cell>
          <cell r="CH383">
            <v>0</v>
          </cell>
          <cell r="CI383">
            <v>4.9499999999999995E-3</v>
          </cell>
          <cell r="CJ383">
            <v>222.4</v>
          </cell>
          <cell r="CK383">
            <v>5.3499999999999997E-3</v>
          </cell>
          <cell r="CL383">
            <v>240.20000000000002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2.4499999999999999E-3</v>
          </cell>
          <cell r="CV383">
            <v>107.62</v>
          </cell>
          <cell r="CW383">
            <v>0</v>
          </cell>
          <cell r="CX383">
            <v>0</v>
          </cell>
          <cell r="CY383">
            <v>7.3499999999999998E-3</v>
          </cell>
          <cell r="CZ383">
            <v>334.02</v>
          </cell>
          <cell r="DA383">
            <v>8.5500000000000003E-3</v>
          </cell>
          <cell r="DB383">
            <v>375.65999999999997</v>
          </cell>
          <cell r="DC383">
            <v>5.6999999999999993E-3</v>
          </cell>
          <cell r="DD383">
            <v>225.68</v>
          </cell>
          <cell r="DE383">
            <v>2.1599999999999998E-2</v>
          </cell>
          <cell r="DF383">
            <v>935.3599999999999</v>
          </cell>
          <cell r="DG383">
            <v>2.2000000000000001E-3</v>
          </cell>
          <cell r="DH383">
            <v>100.38</v>
          </cell>
          <cell r="DI383">
            <v>3.5750000000000004E-2</v>
          </cell>
          <cell r="DJ383">
            <v>1316.29</v>
          </cell>
          <cell r="DK383">
            <v>2.43904E-2</v>
          </cell>
          <cell r="DL383">
            <v>878.61</v>
          </cell>
          <cell r="DM383">
            <v>6.2340400000000004E-2</v>
          </cell>
          <cell r="DN383">
            <v>2295.2800000000002</v>
          </cell>
          <cell r="DO383">
            <v>1.3500000000000001E-3</v>
          </cell>
          <cell r="DP383">
            <v>58.62</v>
          </cell>
          <cell r="DQ383">
            <v>0</v>
          </cell>
          <cell r="DR383">
            <v>0</v>
          </cell>
          <cell r="DS383">
            <v>1.0999999999999998E-3</v>
          </cell>
          <cell r="DT383">
            <v>49</v>
          </cell>
          <cell r="DU383">
            <v>2.4499999999999999E-3</v>
          </cell>
          <cell r="DV383">
            <v>107.62</v>
          </cell>
          <cell r="DW383">
            <v>0.20035040000000001</v>
          </cell>
          <cell r="DX383">
            <v>7906.25</v>
          </cell>
          <cell r="DY383" t="str">
            <v/>
          </cell>
          <cell r="DZ383">
            <v>0</v>
          </cell>
          <cell r="EA383">
            <v>39462.112379111793</v>
          </cell>
        </row>
        <row r="384">
          <cell r="B384">
            <v>16626</v>
          </cell>
          <cell r="C384" t="str">
            <v>MARYAM TEA BAG ZARF (50*24)</v>
          </cell>
          <cell r="D384" t="str">
            <v>TON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O384">
            <v>0</v>
          </cell>
          <cell r="P384">
            <v>0</v>
          </cell>
          <cell r="Q384">
            <v>2.3999999999999998E-3</v>
          </cell>
          <cell r="R384">
            <v>145.15</v>
          </cell>
          <cell r="S384">
            <v>4.7999999999999996E-3</v>
          </cell>
          <cell r="T384">
            <v>294.08999999999997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7.1999999999999998E-3</v>
          </cell>
          <cell r="Z384">
            <v>439.24</v>
          </cell>
          <cell r="AA384">
            <v>0</v>
          </cell>
          <cell r="AB384">
            <v>0</v>
          </cell>
          <cell r="AC384">
            <v>2.0500000000000002E-3</v>
          </cell>
          <cell r="AD384">
            <v>135.71</v>
          </cell>
          <cell r="AE384">
            <v>0</v>
          </cell>
          <cell r="AF384">
            <v>0</v>
          </cell>
          <cell r="AG384">
            <v>2.9999999999999997E-4</v>
          </cell>
          <cell r="AH384">
            <v>19.86</v>
          </cell>
          <cell r="AI384">
            <v>2.2499999999999998E-3</v>
          </cell>
          <cell r="AJ384">
            <v>147.41999999999999</v>
          </cell>
          <cell r="AK384">
            <v>3.4499999999999999E-3</v>
          </cell>
          <cell r="AL384">
            <v>216.17</v>
          </cell>
          <cell r="AO384">
            <v>8.0499999999999999E-3</v>
          </cell>
          <cell r="AP384">
            <v>519.16</v>
          </cell>
          <cell r="AS384">
            <v>0</v>
          </cell>
          <cell r="AT384">
            <v>0</v>
          </cell>
          <cell r="AU384">
            <v>9.0050000000000005E-2</v>
          </cell>
          <cell r="AV384">
            <v>5743.16</v>
          </cell>
          <cell r="AW384">
            <v>0</v>
          </cell>
          <cell r="AX384">
            <v>0</v>
          </cell>
          <cell r="AY384">
            <v>1.8E-3</v>
          </cell>
          <cell r="AZ384">
            <v>111.89</v>
          </cell>
          <cell r="BA384">
            <v>0</v>
          </cell>
          <cell r="BB384">
            <v>0</v>
          </cell>
          <cell r="BC384">
            <v>1.3500000000000001E-3</v>
          </cell>
          <cell r="BD384">
            <v>89.37</v>
          </cell>
          <cell r="BE384">
            <v>3.15E-3</v>
          </cell>
          <cell r="BF384">
            <v>201.26</v>
          </cell>
          <cell r="BG384">
            <v>1.03E-2</v>
          </cell>
          <cell r="BH384">
            <v>661.93</v>
          </cell>
          <cell r="BI384">
            <v>1.4499999999999999E-3</v>
          </cell>
          <cell r="BJ384">
            <v>88.24</v>
          </cell>
          <cell r="BK384">
            <v>6.7499999999999999E-3</v>
          </cell>
          <cell r="BL384">
            <v>442.05</v>
          </cell>
          <cell r="BM384">
            <v>3.2499999999999999E-3</v>
          </cell>
          <cell r="BN384">
            <v>209.23</v>
          </cell>
          <cell r="BO384">
            <v>6.6E-3</v>
          </cell>
          <cell r="BP384">
            <v>432.32</v>
          </cell>
          <cell r="BQ384">
            <v>0</v>
          </cell>
          <cell r="BR384">
            <v>0</v>
          </cell>
          <cell r="BS384">
            <v>2.835E-2</v>
          </cell>
          <cell r="BT384">
            <v>1833.77</v>
          </cell>
          <cell r="BU384">
            <v>9.5E-4</v>
          </cell>
          <cell r="BV384">
            <v>59.38</v>
          </cell>
          <cell r="BW384">
            <v>2.0500000000000002E-3</v>
          </cell>
          <cell r="BX384">
            <v>125.94</v>
          </cell>
          <cell r="BY384">
            <v>8.9999999999999998E-4</v>
          </cell>
          <cell r="BZ384">
            <v>56.44</v>
          </cell>
          <cell r="CA384">
            <v>3.0999999999999999E-3</v>
          </cell>
          <cell r="CB384">
            <v>205.22</v>
          </cell>
          <cell r="CC384">
            <v>1.4499999999999999E-3</v>
          </cell>
          <cell r="CD384">
            <v>89.08</v>
          </cell>
          <cell r="CE384">
            <v>2.7000000000000001E-3</v>
          </cell>
          <cell r="CF384">
            <v>161.99</v>
          </cell>
          <cell r="CG384">
            <v>0</v>
          </cell>
          <cell r="CH384">
            <v>0</v>
          </cell>
          <cell r="CI384">
            <v>1.115E-2</v>
          </cell>
          <cell r="CJ384">
            <v>698.05</v>
          </cell>
          <cell r="CK384">
            <v>3.95E-2</v>
          </cell>
          <cell r="CL384">
            <v>2531.8199999999997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1.4449999999999999E-2</v>
          </cell>
          <cell r="CV384">
            <v>914.41</v>
          </cell>
          <cell r="CW384">
            <v>0</v>
          </cell>
          <cell r="CX384">
            <v>0</v>
          </cell>
          <cell r="CY384">
            <v>6.6E-3</v>
          </cell>
          <cell r="CZ384">
            <v>423.96</v>
          </cell>
          <cell r="DA384">
            <v>0</v>
          </cell>
          <cell r="DB384">
            <v>0</v>
          </cell>
          <cell r="DC384">
            <v>1.1999999999999999E-3</v>
          </cell>
          <cell r="DD384">
            <v>71.069999999999993</v>
          </cell>
          <cell r="DE384">
            <v>7.7999999999999996E-3</v>
          </cell>
          <cell r="DF384">
            <v>495.03</v>
          </cell>
          <cell r="DG384">
            <v>4.7999999999999996E-3</v>
          </cell>
          <cell r="DH384">
            <v>311.64999999999998</v>
          </cell>
          <cell r="DI384">
            <v>2.3E-3</v>
          </cell>
          <cell r="DJ384">
            <v>148.26</v>
          </cell>
          <cell r="DK384">
            <v>2.8E-3</v>
          </cell>
          <cell r="DL384">
            <v>182.33</v>
          </cell>
          <cell r="DM384">
            <v>9.9000000000000008E-3</v>
          </cell>
          <cell r="DN384">
            <v>642.24</v>
          </cell>
          <cell r="DO384">
            <v>6.7499999999999999E-3</v>
          </cell>
          <cell r="DP384">
            <v>428.09</v>
          </cell>
          <cell r="DQ384">
            <v>2.3999999999999998E-3</v>
          </cell>
          <cell r="DR384">
            <v>154.4</v>
          </cell>
          <cell r="DS384">
            <v>5.3E-3</v>
          </cell>
          <cell r="DT384">
            <v>331.92</v>
          </cell>
          <cell r="DU384">
            <v>1.4449999999999999E-2</v>
          </cell>
          <cell r="DV384">
            <v>914.41</v>
          </cell>
          <cell r="DW384">
            <v>9.0049999999999991E-2</v>
          </cell>
          <cell r="DX384">
            <v>5743.16</v>
          </cell>
          <cell r="DY384" t="str">
            <v/>
          </cell>
          <cell r="DZ384">
            <v>0</v>
          </cell>
          <cell r="EA384">
            <v>63777.456968350918</v>
          </cell>
        </row>
        <row r="385">
          <cell r="B385">
            <v>21210</v>
          </cell>
          <cell r="C385" t="str">
            <v>MARYAM BROKEN TB ZRF (50*24)</v>
          </cell>
          <cell r="D385" t="str">
            <v>TON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O385">
            <v>0</v>
          </cell>
          <cell r="P385">
            <v>0</v>
          </cell>
          <cell r="Q385">
            <v>2.9999999999999997E-4</v>
          </cell>
          <cell r="R385">
            <v>18.04</v>
          </cell>
          <cell r="S385">
            <v>4.1000000000000003E-3</v>
          </cell>
          <cell r="T385">
            <v>245.08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4.4000000000000003E-3</v>
          </cell>
          <cell r="Z385">
            <v>263.12</v>
          </cell>
          <cell r="AA385">
            <v>0</v>
          </cell>
          <cell r="AB385">
            <v>0</v>
          </cell>
          <cell r="AC385">
            <v>4.3499999999999997E-3</v>
          </cell>
          <cell r="AD385">
            <v>283.62</v>
          </cell>
          <cell r="AE385">
            <v>0</v>
          </cell>
          <cell r="AF385">
            <v>0</v>
          </cell>
          <cell r="AG385">
            <v>1.1999999999999999E-3</v>
          </cell>
          <cell r="AH385">
            <v>76.72</v>
          </cell>
          <cell r="AI385">
            <v>3.7000000000000002E-3</v>
          </cell>
          <cell r="AJ385">
            <v>239.72</v>
          </cell>
          <cell r="AK385">
            <v>2.5500000000000002E-3</v>
          </cell>
          <cell r="AL385">
            <v>163.41999999999999</v>
          </cell>
          <cell r="AO385">
            <v>1.18E-2</v>
          </cell>
          <cell r="AP385">
            <v>763.48</v>
          </cell>
          <cell r="AS385">
            <v>0</v>
          </cell>
          <cell r="AT385">
            <v>0</v>
          </cell>
          <cell r="AU385">
            <v>0.21584999999999999</v>
          </cell>
          <cell r="AV385">
            <v>13773.62</v>
          </cell>
          <cell r="AW385">
            <v>0</v>
          </cell>
          <cell r="AX385">
            <v>0</v>
          </cell>
          <cell r="AY385">
            <v>1.1999999999999999E-3</v>
          </cell>
          <cell r="AZ385">
            <v>74.400000000000006</v>
          </cell>
          <cell r="BA385">
            <v>0</v>
          </cell>
          <cell r="BB385">
            <v>0</v>
          </cell>
          <cell r="BC385">
            <v>3.9500000000000004E-3</v>
          </cell>
          <cell r="BD385">
            <v>248.43</v>
          </cell>
          <cell r="BE385">
            <v>5.1500000000000001E-3</v>
          </cell>
          <cell r="BF385">
            <v>322.83000000000004</v>
          </cell>
          <cell r="BG385">
            <v>1.35E-2</v>
          </cell>
          <cell r="BH385">
            <v>872.53</v>
          </cell>
          <cell r="BI385">
            <v>1.2500000000000001E-2</v>
          </cell>
          <cell r="BJ385">
            <v>812.47</v>
          </cell>
          <cell r="BK385">
            <v>3.175E-2</v>
          </cell>
          <cell r="BL385">
            <v>2061.36</v>
          </cell>
          <cell r="BM385">
            <v>1.32E-2</v>
          </cell>
          <cell r="BN385">
            <v>836.39</v>
          </cell>
          <cell r="BO385">
            <v>6.7000000000000002E-3</v>
          </cell>
          <cell r="BP385">
            <v>432.74</v>
          </cell>
          <cell r="BQ385">
            <v>0</v>
          </cell>
          <cell r="BR385">
            <v>0</v>
          </cell>
          <cell r="BS385">
            <v>7.7950000000000005E-2</v>
          </cell>
          <cell r="BT385">
            <v>5035.05</v>
          </cell>
          <cell r="BU385">
            <v>2.15E-3</v>
          </cell>
          <cell r="BV385">
            <v>130.97999999999999</v>
          </cell>
          <cell r="BW385">
            <v>3.5000000000000001E-3</v>
          </cell>
          <cell r="BX385">
            <v>212.72</v>
          </cell>
          <cell r="BY385">
            <v>5.4999999999999997E-3</v>
          </cell>
          <cell r="BZ385">
            <v>337.93</v>
          </cell>
          <cell r="CA385">
            <v>2.53E-2</v>
          </cell>
          <cell r="CB385">
            <v>1649.56</v>
          </cell>
          <cell r="CC385">
            <v>1.9499999999999999E-3</v>
          </cell>
          <cell r="CD385">
            <v>119.07</v>
          </cell>
          <cell r="CE385">
            <v>1.5499999999999999E-3</v>
          </cell>
          <cell r="CF385">
            <v>92.41</v>
          </cell>
          <cell r="CG385">
            <v>0</v>
          </cell>
          <cell r="CH385">
            <v>0</v>
          </cell>
          <cell r="CI385">
            <v>3.9949999999999999E-2</v>
          </cell>
          <cell r="CJ385">
            <v>2542.67</v>
          </cell>
          <cell r="CK385">
            <v>0.1179</v>
          </cell>
          <cell r="CL385">
            <v>7577.72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3.1399999999999997E-2</v>
          </cell>
          <cell r="CV385">
            <v>1983.58</v>
          </cell>
          <cell r="CW385">
            <v>0</v>
          </cell>
          <cell r="CX385">
            <v>0</v>
          </cell>
          <cell r="CY385">
            <v>8.6999999999999994E-3</v>
          </cell>
          <cell r="CZ385">
            <v>542.94000000000005</v>
          </cell>
          <cell r="DA385">
            <v>6.0000000000000001E-3</v>
          </cell>
          <cell r="DB385">
            <v>391.2</v>
          </cell>
          <cell r="DC385">
            <v>2.4499999999999999E-3</v>
          </cell>
          <cell r="DD385">
            <v>142.79</v>
          </cell>
          <cell r="DE385">
            <v>1.7149999999999999E-2</v>
          </cell>
          <cell r="DF385">
            <v>1076.93</v>
          </cell>
          <cell r="DG385">
            <v>8.3999999999999995E-3</v>
          </cell>
          <cell r="DH385">
            <v>523.9</v>
          </cell>
          <cell r="DI385">
            <v>6.4999999999999997E-3</v>
          </cell>
          <cell r="DJ385">
            <v>413.57</v>
          </cell>
          <cell r="DK385">
            <v>1.315E-2</v>
          </cell>
          <cell r="DL385">
            <v>848.49</v>
          </cell>
          <cell r="DM385">
            <v>2.8049999999999999E-2</v>
          </cell>
          <cell r="DN385">
            <v>1785.96</v>
          </cell>
          <cell r="DO385">
            <v>1.095E-2</v>
          </cell>
          <cell r="DP385">
            <v>686.7</v>
          </cell>
          <cell r="DQ385">
            <v>5.5500000000000002E-3</v>
          </cell>
          <cell r="DR385">
            <v>350.65</v>
          </cell>
          <cell r="DS385">
            <v>1.49E-2</v>
          </cell>
          <cell r="DT385">
            <v>946.23</v>
          </cell>
          <cell r="DU385">
            <v>3.1399999999999997E-2</v>
          </cell>
          <cell r="DV385">
            <v>1983.58</v>
          </cell>
          <cell r="DW385">
            <v>0.21584999999999999</v>
          </cell>
          <cell r="DX385">
            <v>13773.62</v>
          </cell>
          <cell r="DY385" t="str">
            <v/>
          </cell>
          <cell r="DZ385">
            <v>0</v>
          </cell>
          <cell r="EA385">
            <v>63811.072504053751</v>
          </cell>
        </row>
        <row r="386">
          <cell r="B386">
            <v>102685</v>
          </cell>
          <cell r="C386" t="str">
            <v>MARYAM TB BROKEN_200QR*12_ZERFSIZ</v>
          </cell>
          <cell r="D386" t="str">
            <v>TON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O386">
            <v>0</v>
          </cell>
          <cell r="AP386">
            <v>0</v>
          </cell>
          <cell r="AS386">
            <v>0</v>
          </cell>
          <cell r="AT386">
            <v>0</v>
          </cell>
          <cell r="AU386">
            <v>1.26E-2</v>
          </cell>
          <cell r="AV386">
            <v>673.6</v>
          </cell>
          <cell r="AW386">
            <v>0</v>
          </cell>
          <cell r="AX386">
            <v>0</v>
          </cell>
          <cell r="AY386">
            <v>1.1999999999999999E-3</v>
          </cell>
          <cell r="AZ386">
            <v>59.9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1.1999999999999999E-3</v>
          </cell>
          <cell r="BF386">
            <v>59.9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5.9999999999999995E-4</v>
          </cell>
          <cell r="CD386">
            <v>30.26</v>
          </cell>
          <cell r="CE386">
            <v>3.5999999999999999E-3</v>
          </cell>
          <cell r="CF386">
            <v>196.56</v>
          </cell>
          <cell r="CG386">
            <v>2.0000000000000001E-4</v>
          </cell>
          <cell r="CH386">
            <v>10.4</v>
          </cell>
          <cell r="CI386">
            <v>4.4000000000000003E-3</v>
          </cell>
          <cell r="CJ386">
            <v>237.22</v>
          </cell>
          <cell r="CK386">
            <v>4.4000000000000003E-3</v>
          </cell>
          <cell r="CL386">
            <v>237.22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4.7999999999999996E-3</v>
          </cell>
          <cell r="CZ386">
            <v>262.08</v>
          </cell>
          <cell r="DA386">
            <v>1.1999999999999999E-3</v>
          </cell>
          <cell r="DB386">
            <v>65.52</v>
          </cell>
          <cell r="DC386">
            <v>1E-3</v>
          </cell>
          <cell r="DD386">
            <v>48.88</v>
          </cell>
          <cell r="DE386">
            <v>6.9999999999999993E-3</v>
          </cell>
          <cell r="DF386">
            <v>376.47999999999996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1.26E-2</v>
          </cell>
          <cell r="DX386">
            <v>673.59999999999991</v>
          </cell>
          <cell r="DY386" t="str">
            <v/>
          </cell>
          <cell r="DZ386">
            <v>0</v>
          </cell>
          <cell r="EA386">
            <v>53460.317460317456</v>
          </cell>
        </row>
        <row r="387">
          <cell r="B387">
            <v>16702</v>
          </cell>
          <cell r="C387" t="str">
            <v>FINAL TEA BAG CLASSIC ZARFSIZ (50*24)</v>
          </cell>
          <cell r="D387" t="str">
            <v>TON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5.0000000000000001E-4</v>
          </cell>
          <cell r="T387">
            <v>25.22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5.0000000000000001E-4</v>
          </cell>
          <cell r="Z387">
            <v>25.22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O387">
            <v>0</v>
          </cell>
          <cell r="AP387">
            <v>0</v>
          </cell>
          <cell r="AS387">
            <v>0</v>
          </cell>
          <cell r="AT387">
            <v>0</v>
          </cell>
          <cell r="AU387">
            <v>3.8E-3</v>
          </cell>
          <cell r="AV387">
            <v>198.77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5.0000000000000001E-4</v>
          </cell>
          <cell r="BH387">
            <v>26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5.5000000000000003E-4</v>
          </cell>
          <cell r="BP387">
            <v>29.38</v>
          </cell>
          <cell r="BQ387">
            <v>0</v>
          </cell>
          <cell r="BR387">
            <v>0</v>
          </cell>
          <cell r="BS387">
            <v>1.0499999999999999E-3</v>
          </cell>
          <cell r="BT387">
            <v>55.38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2.9999999999999997E-4</v>
          </cell>
          <cell r="BZ387">
            <v>16.38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2.9999999999999997E-4</v>
          </cell>
          <cell r="CJ387">
            <v>16.38</v>
          </cell>
          <cell r="CK387">
            <v>1.3499999999999999E-3</v>
          </cell>
          <cell r="CL387">
            <v>71.760000000000005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7.5000000000000002E-4</v>
          </cell>
          <cell r="CV387">
            <v>39.39</v>
          </cell>
          <cell r="CW387">
            <v>0</v>
          </cell>
          <cell r="CX387">
            <v>0</v>
          </cell>
          <cell r="CY387">
            <v>1.1999999999999999E-3</v>
          </cell>
          <cell r="CZ387">
            <v>62.4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1.1999999999999999E-3</v>
          </cell>
          <cell r="DF387">
            <v>62.4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1.4999999999999999E-4</v>
          </cell>
          <cell r="DP387">
            <v>8.19</v>
          </cell>
          <cell r="DQ387">
            <v>0</v>
          </cell>
          <cell r="DR387">
            <v>0</v>
          </cell>
          <cell r="DS387">
            <v>5.9999999999999995E-4</v>
          </cell>
          <cell r="DT387">
            <v>31.2</v>
          </cell>
          <cell r="DU387">
            <v>7.5000000000000002E-4</v>
          </cell>
          <cell r="DV387">
            <v>39.39</v>
          </cell>
          <cell r="DW387">
            <v>3.8E-3</v>
          </cell>
          <cell r="DX387">
            <v>198.77</v>
          </cell>
          <cell r="DY387" t="str">
            <v/>
          </cell>
          <cell r="DZ387">
            <v>0</v>
          </cell>
          <cell r="EA387">
            <v>52307.894736842107</v>
          </cell>
        </row>
        <row r="388">
          <cell r="B388">
            <v>32126</v>
          </cell>
          <cell r="C388" t="str">
            <v>MARYAM SUPER TB ZRF (50*24)</v>
          </cell>
          <cell r="D388" t="str">
            <v>TON</v>
          </cell>
          <cell r="E388">
            <v>0</v>
          </cell>
          <cell r="F388">
            <v>0</v>
          </cell>
          <cell r="G388">
            <v>1.1999999999999999E-3</v>
          </cell>
          <cell r="H388">
            <v>71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O388">
            <v>1.1999999999999999E-3</v>
          </cell>
          <cell r="P388">
            <v>71</v>
          </cell>
          <cell r="Q388">
            <v>2.3999999999999998E-3</v>
          </cell>
          <cell r="R388">
            <v>140.54</v>
          </cell>
          <cell r="S388">
            <v>5.5999999999999999E-3</v>
          </cell>
          <cell r="T388">
            <v>329.88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8.0000000000000002E-3</v>
          </cell>
          <cell r="Z388">
            <v>470.41999999999996</v>
          </cell>
          <cell r="AA388">
            <v>0</v>
          </cell>
          <cell r="AB388">
            <v>0</v>
          </cell>
          <cell r="AC388">
            <v>3.65E-3</v>
          </cell>
          <cell r="AD388">
            <v>233.6</v>
          </cell>
          <cell r="AE388">
            <v>0</v>
          </cell>
          <cell r="AF388">
            <v>0</v>
          </cell>
          <cell r="AG388">
            <v>1.6000000000000001E-3</v>
          </cell>
          <cell r="AH388">
            <v>100.95</v>
          </cell>
          <cell r="AI388">
            <v>1.1999999999999999E-3</v>
          </cell>
          <cell r="AJ388">
            <v>75.349999999999994</v>
          </cell>
          <cell r="AK388">
            <v>3.3500000000000001E-3</v>
          </cell>
          <cell r="AL388">
            <v>211.85</v>
          </cell>
          <cell r="AO388">
            <v>9.7999999999999997E-3</v>
          </cell>
          <cell r="AP388">
            <v>621.75</v>
          </cell>
          <cell r="AS388">
            <v>0</v>
          </cell>
          <cell r="AT388">
            <v>0</v>
          </cell>
          <cell r="AU388">
            <v>9.6500000000000002E-2</v>
          </cell>
          <cell r="AV388">
            <v>5980.69</v>
          </cell>
          <cell r="AW388">
            <v>0</v>
          </cell>
          <cell r="AX388">
            <v>0</v>
          </cell>
          <cell r="AY388">
            <v>4.1000000000000003E-3</v>
          </cell>
          <cell r="AZ388">
            <v>257.3</v>
          </cell>
          <cell r="BA388">
            <v>0</v>
          </cell>
          <cell r="BB388">
            <v>0</v>
          </cell>
          <cell r="BC388">
            <v>3.2000000000000002E-3</v>
          </cell>
          <cell r="BD388">
            <v>194.65</v>
          </cell>
          <cell r="BE388">
            <v>7.3000000000000009E-3</v>
          </cell>
          <cell r="BF388">
            <v>451.95000000000005</v>
          </cell>
          <cell r="BG388">
            <v>4.2500000000000003E-3</v>
          </cell>
          <cell r="BH388">
            <v>270.5</v>
          </cell>
          <cell r="BI388">
            <v>2.5000000000000001E-4</v>
          </cell>
          <cell r="BJ388">
            <v>14.79</v>
          </cell>
          <cell r="BK388">
            <v>1.095E-2</v>
          </cell>
          <cell r="BL388">
            <v>700.5</v>
          </cell>
          <cell r="BM388">
            <v>3.8999999999999998E-3</v>
          </cell>
          <cell r="BN388">
            <v>240.21</v>
          </cell>
          <cell r="BO388">
            <v>3.7499999999999999E-3</v>
          </cell>
          <cell r="BP388">
            <v>240</v>
          </cell>
          <cell r="BQ388">
            <v>0</v>
          </cell>
          <cell r="BR388">
            <v>0</v>
          </cell>
          <cell r="BS388">
            <v>2.3099999999999999E-2</v>
          </cell>
          <cell r="BT388">
            <v>1466</v>
          </cell>
          <cell r="BU388">
            <v>1.6000000000000001E-3</v>
          </cell>
          <cell r="BV388">
            <v>96.41</v>
          </cell>
          <cell r="BW388">
            <v>2.0999999999999999E-3</v>
          </cell>
          <cell r="BX388">
            <v>125.54</v>
          </cell>
          <cell r="BY388">
            <v>1.8E-3</v>
          </cell>
          <cell r="BZ388">
            <v>111.87</v>
          </cell>
          <cell r="CA388">
            <v>2.3999999999999998E-3</v>
          </cell>
          <cell r="CB388">
            <v>153.6</v>
          </cell>
          <cell r="CC388">
            <v>1.1999999999999999E-3</v>
          </cell>
          <cell r="CD388">
            <v>71</v>
          </cell>
          <cell r="CE388">
            <v>8.9999999999999998E-4</v>
          </cell>
          <cell r="CF388">
            <v>57.6</v>
          </cell>
          <cell r="CG388">
            <v>0</v>
          </cell>
          <cell r="CH388">
            <v>0</v>
          </cell>
          <cell r="CI388">
            <v>0.01</v>
          </cell>
          <cell r="CJ388">
            <v>616.02</v>
          </cell>
          <cell r="CK388">
            <v>3.3099999999999997E-2</v>
          </cell>
          <cell r="CL388">
            <v>2082.02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1.61E-2</v>
          </cell>
          <cell r="CV388">
            <v>987.34</v>
          </cell>
          <cell r="CW388">
            <v>0</v>
          </cell>
          <cell r="CX388">
            <v>0</v>
          </cell>
          <cell r="CY388">
            <v>6.6E-3</v>
          </cell>
          <cell r="CZ388">
            <v>415.2</v>
          </cell>
          <cell r="DA388">
            <v>0</v>
          </cell>
          <cell r="DB388">
            <v>0</v>
          </cell>
          <cell r="DC388">
            <v>2.8999999999999998E-3</v>
          </cell>
          <cell r="DD388">
            <v>172.28</v>
          </cell>
          <cell r="DE388">
            <v>9.4999999999999998E-3</v>
          </cell>
          <cell r="DF388">
            <v>587.48</v>
          </cell>
          <cell r="DG388">
            <v>4.7000000000000002E-3</v>
          </cell>
          <cell r="DH388">
            <v>287.74</v>
          </cell>
          <cell r="DI388">
            <v>3.3999999999999998E-3</v>
          </cell>
          <cell r="DJ388">
            <v>208.05</v>
          </cell>
          <cell r="DK388">
            <v>3.3999999999999998E-3</v>
          </cell>
          <cell r="DL388">
            <v>212.94</v>
          </cell>
          <cell r="DM388">
            <v>1.15E-2</v>
          </cell>
          <cell r="DN388">
            <v>708.73</v>
          </cell>
          <cell r="DO388">
            <v>3.7499999999999999E-3</v>
          </cell>
          <cell r="DP388">
            <v>221.12</v>
          </cell>
          <cell r="DQ388">
            <v>3.7000000000000002E-3</v>
          </cell>
          <cell r="DR388">
            <v>223.42</v>
          </cell>
          <cell r="DS388">
            <v>8.6499999999999997E-3</v>
          </cell>
          <cell r="DT388">
            <v>542.79999999999995</v>
          </cell>
          <cell r="DU388">
            <v>1.61E-2</v>
          </cell>
          <cell r="DV388">
            <v>987.34</v>
          </cell>
          <cell r="DW388">
            <v>9.6500000000000002E-2</v>
          </cell>
          <cell r="DX388">
            <v>5980.69</v>
          </cell>
          <cell r="DY388" t="str">
            <v/>
          </cell>
          <cell r="DZ388">
            <v>0</v>
          </cell>
          <cell r="EA388">
            <v>61976.062176165797</v>
          </cell>
        </row>
        <row r="389">
          <cell r="B389">
            <v>16887</v>
          </cell>
          <cell r="C389" t="str">
            <v>ჩაი_ფინალი_მარწყვი_50გ*24</v>
          </cell>
          <cell r="D389" t="str">
            <v>TON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O389">
            <v>0</v>
          </cell>
          <cell r="AP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 t="str">
            <v/>
          </cell>
          <cell r="DZ389" t="str">
            <v>pasiv</v>
          </cell>
          <cell r="EA389" t="e">
            <v>#DIV/0!</v>
          </cell>
        </row>
        <row r="390">
          <cell r="B390">
            <v>16913</v>
          </cell>
          <cell r="C390" t="str">
            <v>ჩაი_ფინალი_ატამი_50გ*24</v>
          </cell>
          <cell r="D390" t="str">
            <v>TON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O390">
            <v>0</v>
          </cell>
          <cell r="AP390">
            <v>0</v>
          </cell>
          <cell r="AS390">
            <v>0</v>
          </cell>
          <cell r="AT390">
            <v>0</v>
          </cell>
          <cell r="AU390">
            <v>5.9999999999999995E-4</v>
          </cell>
          <cell r="AV390">
            <v>33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5.9999999999999995E-4</v>
          </cell>
          <cell r="CV390">
            <v>33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5.9999999999999995E-4</v>
          </cell>
          <cell r="DT390">
            <v>33</v>
          </cell>
          <cell r="DU390">
            <v>5.9999999999999995E-4</v>
          </cell>
          <cell r="DV390">
            <v>33</v>
          </cell>
          <cell r="DW390">
            <v>5.9999999999999995E-4</v>
          </cell>
          <cell r="DX390">
            <v>33</v>
          </cell>
          <cell r="DY390" t="str">
            <v/>
          </cell>
          <cell r="DZ390">
            <v>0</v>
          </cell>
          <cell r="EA390">
            <v>55000.000000000007</v>
          </cell>
        </row>
        <row r="391">
          <cell r="B391">
            <v>16917</v>
          </cell>
          <cell r="C391" t="str">
            <v>ჩაი_ფინალი_ლიმონი_50გ*24</v>
          </cell>
          <cell r="D391" t="str">
            <v>TON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O391">
            <v>0</v>
          </cell>
          <cell r="AP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 t="str">
            <v/>
          </cell>
          <cell r="DZ391" t="str">
            <v>pasiv</v>
          </cell>
          <cell r="EA391" t="e">
            <v>#DIV/0!</v>
          </cell>
        </row>
        <row r="392">
          <cell r="B392">
            <v>16918</v>
          </cell>
          <cell r="C392" t="str">
            <v>ჩაი_ფინალი_ჟოლო_50გ*24</v>
          </cell>
          <cell r="D392" t="str">
            <v>TON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O392">
            <v>0</v>
          </cell>
          <cell r="AP392">
            <v>0</v>
          </cell>
          <cell r="AS392">
            <v>0</v>
          </cell>
          <cell r="AT392">
            <v>0</v>
          </cell>
          <cell r="AU392">
            <v>5.0000000000000001E-4</v>
          </cell>
          <cell r="AV392">
            <v>30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5.0000000000000001E-4</v>
          </cell>
          <cell r="BZ392">
            <v>30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5.0000000000000001E-4</v>
          </cell>
          <cell r="CJ392">
            <v>30</v>
          </cell>
          <cell r="CK392">
            <v>5.0000000000000001E-4</v>
          </cell>
          <cell r="CL392">
            <v>30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5.0000000000000001E-4</v>
          </cell>
          <cell r="DX392">
            <v>30</v>
          </cell>
          <cell r="DY392" t="str">
            <v/>
          </cell>
          <cell r="DZ392">
            <v>0</v>
          </cell>
          <cell r="EA392">
            <v>60000</v>
          </cell>
        </row>
        <row r="393">
          <cell r="B393">
            <v>16901</v>
          </cell>
          <cell r="C393" t="str">
            <v>ჩაი_ფინალი_მოცხარი_50გ*24</v>
          </cell>
          <cell r="D393" t="str">
            <v>TON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O393">
            <v>0</v>
          </cell>
          <cell r="AP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  <cell r="DX393">
            <v>0</v>
          </cell>
          <cell r="DY393" t="str">
            <v/>
          </cell>
          <cell r="DZ393" t="str">
            <v>pasiv</v>
          </cell>
          <cell r="EA393" t="e">
            <v>#DIV/0!</v>
          </cell>
        </row>
        <row r="394">
          <cell r="B394">
            <v>324564</v>
          </cell>
          <cell r="C394" t="str">
            <v>ჩაი-ბერქა-DREAM-38.4გ*15</v>
          </cell>
          <cell r="D394" t="str">
            <v>TON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O394">
            <v>0</v>
          </cell>
          <cell r="AP394">
            <v>0</v>
          </cell>
          <cell r="AS394">
            <v>0</v>
          </cell>
          <cell r="AT394">
            <v>0</v>
          </cell>
          <cell r="AU394">
            <v>8.0639999999999998E-4</v>
          </cell>
          <cell r="AV394">
            <v>68.459999999999994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5.7600000000000001E-4</v>
          </cell>
          <cell r="CZ394">
            <v>48.9</v>
          </cell>
          <cell r="DA394">
            <v>2.3039999999999999E-4</v>
          </cell>
          <cell r="DB394">
            <v>19.559999999999999</v>
          </cell>
          <cell r="DC394">
            <v>0</v>
          </cell>
          <cell r="DD394">
            <v>0</v>
          </cell>
          <cell r="DE394">
            <v>8.0639999999999998E-4</v>
          </cell>
          <cell r="DF394">
            <v>68.459999999999994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8.0639999999999998E-4</v>
          </cell>
          <cell r="DX394">
            <v>68.459999999999994</v>
          </cell>
          <cell r="DY394" t="str">
            <v/>
          </cell>
          <cell r="DZ394">
            <v>0</v>
          </cell>
          <cell r="EA394">
            <v>84895.833333333328</v>
          </cell>
        </row>
        <row r="395">
          <cell r="B395">
            <v>294317</v>
          </cell>
          <cell r="C395" t="str">
            <v>ჩაი-ბერქა-მწვანე_48გ*24_ჟასმინი</v>
          </cell>
          <cell r="D395" t="str">
            <v>TON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O395">
            <v>0</v>
          </cell>
          <cell r="AP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 t="str">
            <v/>
          </cell>
          <cell r="DZ395" t="str">
            <v>pasiv</v>
          </cell>
          <cell r="EA395" t="e">
            <v>#DIV/0!</v>
          </cell>
        </row>
        <row r="396">
          <cell r="B396">
            <v>294318</v>
          </cell>
          <cell r="C396" t="str">
            <v>ჩაი-ბერქა-საუზმე-48გ*24</v>
          </cell>
          <cell r="D396" t="str">
            <v>TON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O396">
            <v>0</v>
          </cell>
          <cell r="AP396">
            <v>0</v>
          </cell>
          <cell r="AS396">
            <v>0</v>
          </cell>
          <cell r="AT396">
            <v>0</v>
          </cell>
          <cell r="AU396">
            <v>4.8000000000000001E-5</v>
          </cell>
          <cell r="AV396">
            <v>3.78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 t="str">
            <v/>
          </cell>
          <cell r="DZ396" t="str">
            <v>pasiv</v>
          </cell>
          <cell r="EA396" t="e">
            <v>#DIV/0!</v>
          </cell>
        </row>
        <row r="397">
          <cell r="B397">
            <v>324644</v>
          </cell>
          <cell r="C397" t="str">
            <v>ჩაი-ბერქა-ENJOY-38.4გ*15</v>
          </cell>
          <cell r="D397" t="str">
            <v>TON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O397">
            <v>0</v>
          </cell>
          <cell r="AP397">
            <v>0</v>
          </cell>
          <cell r="AS397">
            <v>0</v>
          </cell>
          <cell r="AT397">
            <v>0</v>
          </cell>
          <cell r="AU397">
            <v>1.2672E-3</v>
          </cell>
          <cell r="AV397">
            <v>107.58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2.3039999999999999E-4</v>
          </cell>
          <cell r="BD397">
            <v>19.559999999999999</v>
          </cell>
          <cell r="BE397">
            <v>2.3039999999999999E-4</v>
          </cell>
          <cell r="BF397">
            <v>19.559999999999999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3.8400000000000001E-4</v>
          </cell>
          <cell r="CD397">
            <v>32.6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3.8400000000000001E-4</v>
          </cell>
          <cell r="CJ397">
            <v>32.6</v>
          </cell>
          <cell r="CK397">
            <v>3.8400000000000001E-4</v>
          </cell>
          <cell r="CL397">
            <v>32.6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5.7600000000000001E-4</v>
          </cell>
          <cell r="CZ397">
            <v>48.9</v>
          </cell>
          <cell r="DA397">
            <v>0</v>
          </cell>
          <cell r="DB397">
            <v>0</v>
          </cell>
          <cell r="DC397">
            <v>7.6799999999999997E-5</v>
          </cell>
          <cell r="DD397">
            <v>6.52</v>
          </cell>
          <cell r="DE397">
            <v>6.5280000000000004E-4</v>
          </cell>
          <cell r="DF397">
            <v>55.42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1.2672E-3</v>
          </cell>
          <cell r="DX397">
            <v>107.58000000000001</v>
          </cell>
          <cell r="DY397" t="str">
            <v/>
          </cell>
          <cell r="DZ397">
            <v>0</v>
          </cell>
          <cell r="EA397">
            <v>84895.833333333343</v>
          </cell>
        </row>
        <row r="398">
          <cell r="B398">
            <v>324645</v>
          </cell>
          <cell r="C398" t="str">
            <v>ჩაი-ბერქა-FEEL-38.4გ*15</v>
          </cell>
          <cell r="D398" t="str">
            <v>TON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O398">
            <v>0</v>
          </cell>
          <cell r="AP398">
            <v>0</v>
          </cell>
          <cell r="AS398">
            <v>0</v>
          </cell>
          <cell r="AT398">
            <v>0</v>
          </cell>
          <cell r="AU398">
            <v>1.6896000000000001E-3</v>
          </cell>
          <cell r="AV398">
            <v>139.07</v>
          </cell>
          <cell r="AW398">
            <v>0</v>
          </cell>
          <cell r="AX398">
            <v>0</v>
          </cell>
          <cell r="AY398">
            <v>4.6079999999999998E-4</v>
          </cell>
          <cell r="AZ398">
            <v>35.71</v>
          </cell>
          <cell r="BA398">
            <v>0</v>
          </cell>
          <cell r="BB398">
            <v>0</v>
          </cell>
          <cell r="BC398">
            <v>2.3039999999999999E-4</v>
          </cell>
          <cell r="BD398">
            <v>19.559999999999999</v>
          </cell>
          <cell r="BE398">
            <v>6.912E-4</v>
          </cell>
          <cell r="BF398">
            <v>55.269999999999996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1.92E-4</v>
          </cell>
          <cell r="CB398">
            <v>16.3</v>
          </cell>
          <cell r="CC398">
            <v>5.7600000000000001E-4</v>
          </cell>
          <cell r="CD398">
            <v>48.9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7.6800000000000002E-4</v>
          </cell>
          <cell r="CJ398">
            <v>65.2</v>
          </cell>
          <cell r="CK398">
            <v>7.6800000000000002E-4</v>
          </cell>
          <cell r="CL398">
            <v>65.2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2.3039999999999999E-4</v>
          </cell>
          <cell r="CV398">
            <v>18.600000000000001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2.3039999999999999E-4</v>
          </cell>
          <cell r="DT398">
            <v>18.600000000000001</v>
          </cell>
          <cell r="DU398">
            <v>2.3039999999999999E-4</v>
          </cell>
          <cell r="DV398">
            <v>18.600000000000001</v>
          </cell>
          <cell r="DW398">
            <v>1.6895999999999999E-3</v>
          </cell>
          <cell r="DX398">
            <v>139.07</v>
          </cell>
          <cell r="DY398" t="str">
            <v/>
          </cell>
          <cell r="DZ398">
            <v>0</v>
          </cell>
          <cell r="EA398">
            <v>82309.422348484848</v>
          </cell>
        </row>
        <row r="399">
          <cell r="B399">
            <v>239626</v>
          </cell>
          <cell r="C399" t="str">
            <v>ჩაი-ბერქა ელ-გრეი-48გრ*24_რუ</v>
          </cell>
          <cell r="D399" t="str">
            <v>TON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O399">
            <v>0</v>
          </cell>
          <cell r="P399">
            <v>0</v>
          </cell>
          <cell r="Q399">
            <v>2.8800000000000001E-4</v>
          </cell>
          <cell r="R399">
            <v>22.12</v>
          </cell>
          <cell r="S399">
            <v>4.8000000000000001E-4</v>
          </cell>
          <cell r="T399">
            <v>36.86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7.6800000000000002E-4</v>
          </cell>
          <cell r="Z399">
            <v>58.980000000000004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2.8800000000000001E-4</v>
          </cell>
          <cell r="AL399">
            <v>23.94</v>
          </cell>
          <cell r="AO399">
            <v>2.8800000000000001E-4</v>
          </cell>
          <cell r="AP399">
            <v>23.94</v>
          </cell>
          <cell r="AS399">
            <v>0</v>
          </cell>
          <cell r="AT399">
            <v>0</v>
          </cell>
          <cell r="AU399">
            <v>1.7087999999999999E-2</v>
          </cell>
          <cell r="AV399">
            <v>1357.92</v>
          </cell>
          <cell r="AW399">
            <v>0</v>
          </cell>
          <cell r="AX399">
            <v>0</v>
          </cell>
          <cell r="AY399">
            <v>1.4400000000000001E-3</v>
          </cell>
          <cell r="AZ399">
            <v>110.35</v>
          </cell>
          <cell r="BA399">
            <v>0</v>
          </cell>
          <cell r="BB399">
            <v>0</v>
          </cell>
          <cell r="BC399">
            <v>1.152E-3</v>
          </cell>
          <cell r="BD399">
            <v>88.46</v>
          </cell>
          <cell r="BE399">
            <v>2.5920000000000001E-3</v>
          </cell>
          <cell r="BF399">
            <v>198.81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2.8800000000000001E-4</v>
          </cell>
          <cell r="BV399">
            <v>22.12</v>
          </cell>
          <cell r="BW399">
            <v>2.8800000000000001E-4</v>
          </cell>
          <cell r="BX399">
            <v>22.12</v>
          </cell>
          <cell r="BY399">
            <v>0</v>
          </cell>
          <cell r="BZ399">
            <v>0</v>
          </cell>
          <cell r="CA399">
            <v>2.3040000000000001E-3</v>
          </cell>
          <cell r="CB399">
            <v>191.52</v>
          </cell>
          <cell r="CC399">
            <v>1.1039999999999999E-3</v>
          </cell>
          <cell r="CD399">
            <v>90.25</v>
          </cell>
          <cell r="CE399">
            <v>1.248E-3</v>
          </cell>
          <cell r="CF399">
            <v>98.34</v>
          </cell>
          <cell r="CG399">
            <v>0</v>
          </cell>
          <cell r="CH399">
            <v>0</v>
          </cell>
          <cell r="CI399">
            <v>5.2319999999999997E-3</v>
          </cell>
          <cell r="CJ399">
            <v>424.35</v>
          </cell>
          <cell r="CK399">
            <v>5.2319999999999997E-3</v>
          </cell>
          <cell r="CL399">
            <v>424.35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1.4400000000000001E-3</v>
          </cell>
          <cell r="CV399">
            <v>114</v>
          </cell>
          <cell r="CW399">
            <v>0</v>
          </cell>
          <cell r="CX399">
            <v>0</v>
          </cell>
          <cell r="CY399">
            <v>4.6080000000000001E-3</v>
          </cell>
          <cell r="CZ399">
            <v>373.92</v>
          </cell>
          <cell r="DA399">
            <v>2.8800000000000001E-4</v>
          </cell>
          <cell r="DB399">
            <v>23.94</v>
          </cell>
          <cell r="DC399">
            <v>1.7279999999999999E-3</v>
          </cell>
          <cell r="DD399">
            <v>128.58000000000001</v>
          </cell>
          <cell r="DE399">
            <v>6.6239999999999997E-3</v>
          </cell>
          <cell r="DF399">
            <v>526.44000000000005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1.44E-4</v>
          </cell>
          <cell r="DL399">
            <v>11.4</v>
          </cell>
          <cell r="DM399">
            <v>1.44E-4</v>
          </cell>
          <cell r="DN399">
            <v>11.4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1.4400000000000001E-3</v>
          </cell>
          <cell r="DT399">
            <v>114</v>
          </cell>
          <cell r="DU399">
            <v>1.4400000000000001E-3</v>
          </cell>
          <cell r="DV399">
            <v>114</v>
          </cell>
          <cell r="DW399">
            <v>1.7088000000000002E-2</v>
          </cell>
          <cell r="DX399">
            <v>1357.92</v>
          </cell>
          <cell r="DY399" t="str">
            <v/>
          </cell>
          <cell r="DZ399">
            <v>0</v>
          </cell>
          <cell r="EA399">
            <v>79466.292134831456</v>
          </cell>
        </row>
        <row r="400">
          <cell r="B400">
            <v>115817</v>
          </cell>
          <cell r="C400" t="str">
            <v>BERQA TB E.QREY_48QR*24</v>
          </cell>
          <cell r="D400" t="str">
            <v>TON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O400">
            <v>0</v>
          </cell>
          <cell r="AP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 t="str">
            <v/>
          </cell>
          <cell r="DZ400" t="str">
            <v>pasiv</v>
          </cell>
          <cell r="EA400" t="e">
            <v>#DIV/0!</v>
          </cell>
        </row>
        <row r="401">
          <cell r="A401">
            <v>1000</v>
          </cell>
          <cell r="C401" t="str">
            <v>MARYAM TEA BAG</v>
          </cell>
          <cell r="D401" t="str">
            <v>TON</v>
          </cell>
          <cell r="E401">
            <v>0</v>
          </cell>
          <cell r="F401">
            <v>0</v>
          </cell>
          <cell r="G401">
            <v>1.1999999999999999E-3</v>
          </cell>
          <cell r="H401">
            <v>71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O401">
            <v>1.1999999999999999E-3</v>
          </cell>
          <cell r="P401">
            <v>71</v>
          </cell>
          <cell r="Q401">
            <v>5.3879999999999996E-3</v>
          </cell>
          <cell r="R401">
            <v>325.85000000000002</v>
          </cell>
          <cell r="S401">
            <v>1.5479999999999999E-2</v>
          </cell>
          <cell r="T401">
            <v>931.13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2.0868000000000001E-2</v>
          </cell>
          <cell r="Z401">
            <v>1256.98</v>
          </cell>
          <cell r="AA401">
            <v>0</v>
          </cell>
          <cell r="AB401">
            <v>0</v>
          </cell>
          <cell r="AC401">
            <v>1.005E-2</v>
          </cell>
          <cell r="AD401">
            <v>652.93000000000006</v>
          </cell>
          <cell r="AE401">
            <v>0</v>
          </cell>
          <cell r="AF401">
            <v>0</v>
          </cell>
          <cell r="AG401">
            <v>3.0999999999999999E-3</v>
          </cell>
          <cell r="AH401">
            <v>197.53</v>
          </cell>
          <cell r="AI401">
            <v>7.1500000000000001E-3</v>
          </cell>
          <cell r="AJ401">
            <v>462.49</v>
          </cell>
          <cell r="AK401">
            <v>9.6380000000000007E-3</v>
          </cell>
          <cell r="AL401">
            <v>615.38</v>
          </cell>
          <cell r="AO401">
            <v>2.9937999999999999E-2</v>
          </cell>
          <cell r="AP401">
            <v>1928.33</v>
          </cell>
          <cell r="AS401">
            <v>0</v>
          </cell>
          <cell r="AT401">
            <v>0</v>
          </cell>
          <cell r="AU401">
            <v>0.44079920000000006</v>
          </cell>
          <cell r="AV401">
            <v>28109.649999999994</v>
          </cell>
          <cell r="AW401">
            <v>0</v>
          </cell>
          <cell r="AX401">
            <v>0</v>
          </cell>
          <cell r="AY401">
            <v>1.0200800000000001E-2</v>
          </cell>
          <cell r="AZ401">
            <v>649.55000000000007</v>
          </cell>
          <cell r="BA401">
            <v>0</v>
          </cell>
          <cell r="BB401">
            <v>0</v>
          </cell>
          <cell r="BC401">
            <v>1.0112800000000002E-2</v>
          </cell>
          <cell r="BD401">
            <v>660.03</v>
          </cell>
          <cell r="BE401">
            <v>2.0313600000000001E-2</v>
          </cell>
          <cell r="BF401">
            <v>1309.58</v>
          </cell>
          <cell r="BG401">
            <v>2.8550000000000002E-2</v>
          </cell>
          <cell r="BH401">
            <v>1830.96</v>
          </cell>
          <cell r="BI401">
            <v>1.4200000000000001E-2</v>
          </cell>
          <cell r="BJ401">
            <v>915.5</v>
          </cell>
          <cell r="BK401">
            <v>4.9450000000000001E-2</v>
          </cell>
          <cell r="BL401">
            <v>3203.9100000000003</v>
          </cell>
          <cell r="BM401">
            <v>2.035E-2</v>
          </cell>
          <cell r="BN401">
            <v>1285.83</v>
          </cell>
          <cell r="BO401">
            <v>1.7599999999999998E-2</v>
          </cell>
          <cell r="BP401">
            <v>1134.44</v>
          </cell>
          <cell r="BQ401">
            <v>0</v>
          </cell>
          <cell r="BR401">
            <v>0</v>
          </cell>
          <cell r="BS401">
            <v>0.13045000000000001</v>
          </cell>
          <cell r="BT401">
            <v>8390.2000000000007</v>
          </cell>
          <cell r="BU401">
            <v>4.9880000000000002E-3</v>
          </cell>
          <cell r="BV401">
            <v>308.89</v>
          </cell>
          <cell r="BW401">
            <v>7.9380000000000006E-3</v>
          </cell>
          <cell r="BX401">
            <v>486.32</v>
          </cell>
          <cell r="BY401">
            <v>8.9999999999999993E-3</v>
          </cell>
          <cell r="BZ401">
            <v>552.62</v>
          </cell>
          <cell r="CA401">
            <v>3.3295999999999999E-2</v>
          </cell>
          <cell r="CB401">
            <v>2216.1999999999998</v>
          </cell>
          <cell r="CC401">
            <v>7.2639999999999996E-3</v>
          </cell>
          <cell r="CD401">
            <v>481.15999999999997</v>
          </cell>
          <cell r="CE401">
            <v>9.9979999999999999E-3</v>
          </cell>
          <cell r="CF401">
            <v>606.90000000000009</v>
          </cell>
          <cell r="CG401">
            <v>2.0000000000000001E-4</v>
          </cell>
          <cell r="CH401">
            <v>10.4</v>
          </cell>
          <cell r="CI401">
            <v>7.2683999999999999E-2</v>
          </cell>
          <cell r="CJ401">
            <v>4662.4900000000007</v>
          </cell>
          <cell r="CK401">
            <v>0.20313399999999995</v>
          </cell>
          <cell r="CL401">
            <v>13052.690000000002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6.4970399999999998E-2</v>
          </cell>
          <cell r="CV401">
            <v>4090.3199999999997</v>
          </cell>
          <cell r="CW401">
            <v>0</v>
          </cell>
          <cell r="CX401">
            <v>0</v>
          </cell>
          <cell r="CY401">
            <v>3.3660000000000002E-2</v>
          </cell>
          <cell r="CZ401">
            <v>2178.3000000000002</v>
          </cell>
          <cell r="DA401">
            <v>7.7184000000000003E-3</v>
          </cell>
          <cell r="DB401">
            <v>500.21999999999997</v>
          </cell>
          <cell r="DC401">
            <v>9.3547999999999999E-3</v>
          </cell>
          <cell r="DD401">
            <v>570.12</v>
          </cell>
          <cell r="DE401">
            <v>5.0733199999999999E-2</v>
          </cell>
          <cell r="DF401">
            <v>3248.6400000000003</v>
          </cell>
          <cell r="DG401">
            <v>1.7899999999999999E-2</v>
          </cell>
          <cell r="DH401">
            <v>1123.29</v>
          </cell>
          <cell r="DI401">
            <v>1.2199999999999999E-2</v>
          </cell>
          <cell r="DJ401">
            <v>769.87999999999988</v>
          </cell>
          <cell r="DK401">
            <v>1.9493999999999997E-2</v>
          </cell>
          <cell r="DL401">
            <v>1255.1600000000001</v>
          </cell>
          <cell r="DM401">
            <v>4.9593999999999992E-2</v>
          </cell>
          <cell r="DN401">
            <v>3148.33</v>
          </cell>
          <cell r="DO401">
            <v>2.1600000000000001E-2</v>
          </cell>
          <cell r="DP401">
            <v>1344.1</v>
          </cell>
          <cell r="DQ401">
            <v>1.1650000000000001E-2</v>
          </cell>
          <cell r="DR401">
            <v>728.46999999999991</v>
          </cell>
          <cell r="DS401">
            <v>3.1720399999999996E-2</v>
          </cell>
          <cell r="DT401">
            <v>2017.75</v>
          </cell>
          <cell r="DU401">
            <v>6.4970399999999998E-2</v>
          </cell>
          <cell r="DV401">
            <v>4090.3199999999997</v>
          </cell>
          <cell r="DW401">
            <v>0.44075119999999995</v>
          </cell>
          <cell r="DX401">
            <v>28105.869999999995</v>
          </cell>
          <cell r="DY401" t="str">
            <v/>
          </cell>
          <cell r="DZ401">
            <v>0</v>
          </cell>
          <cell r="EA401">
            <v>63768.107721544489</v>
          </cell>
        </row>
        <row r="402">
          <cell r="B402">
            <v>16708</v>
          </cell>
          <cell r="C402" t="str">
            <v>ჩაი-მარიამ-ფლავორი-10კგ(250*40)</v>
          </cell>
          <cell r="D402" t="str">
            <v>TON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O402">
            <v>0</v>
          </cell>
          <cell r="AP402">
            <v>0</v>
          </cell>
          <cell r="AS402">
            <v>0</v>
          </cell>
          <cell r="AT402">
            <v>0</v>
          </cell>
          <cell r="AU402">
            <v>1.7749999999999998E-2</v>
          </cell>
          <cell r="AV402">
            <v>808.57</v>
          </cell>
          <cell r="AW402">
            <v>0</v>
          </cell>
          <cell r="AX402">
            <v>0</v>
          </cell>
          <cell r="AY402">
            <v>1.5E-3</v>
          </cell>
          <cell r="AZ402">
            <v>68.7</v>
          </cell>
          <cell r="BA402">
            <v>0</v>
          </cell>
          <cell r="BB402">
            <v>0</v>
          </cell>
          <cell r="BC402">
            <v>1.25E-3</v>
          </cell>
          <cell r="BD402">
            <v>52.87</v>
          </cell>
          <cell r="BE402">
            <v>2.7499999999999998E-3</v>
          </cell>
          <cell r="BF402">
            <v>121.57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1.2749999999999999E-2</v>
          </cell>
          <cell r="CZ402">
            <v>583.95000000000005</v>
          </cell>
          <cell r="DA402">
            <v>2.2499999999999998E-3</v>
          </cell>
          <cell r="DB402">
            <v>103.05</v>
          </cell>
          <cell r="DC402">
            <v>0</v>
          </cell>
          <cell r="DD402">
            <v>0</v>
          </cell>
          <cell r="DE402">
            <v>1.4999999999999999E-2</v>
          </cell>
          <cell r="DF402">
            <v>687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1.7749999999999998E-2</v>
          </cell>
          <cell r="DX402">
            <v>808.56999999999994</v>
          </cell>
          <cell r="DY402" t="str">
            <v/>
          </cell>
          <cell r="DZ402">
            <v>0</v>
          </cell>
          <cell r="EA402">
            <v>45553.239436619719</v>
          </cell>
        </row>
        <row r="403">
          <cell r="B403">
            <v>47903</v>
          </cell>
          <cell r="C403" t="str">
            <v>ჩაი-მარიამ-ფლავორი-12კგ(100*120)</v>
          </cell>
          <cell r="D403" t="str">
            <v>TON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O403">
            <v>0</v>
          </cell>
          <cell r="AP403">
            <v>0</v>
          </cell>
          <cell r="AS403">
            <v>0</v>
          </cell>
          <cell r="AT403">
            <v>0</v>
          </cell>
          <cell r="AU403">
            <v>5.9999999999999995E-4</v>
          </cell>
          <cell r="AV403">
            <v>28.38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5.9999999999999995E-4</v>
          </cell>
          <cell r="CZ403">
            <v>28.38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5.9999999999999995E-4</v>
          </cell>
          <cell r="DF403">
            <v>28.38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5.9999999999999995E-4</v>
          </cell>
          <cell r="DX403">
            <v>28.38</v>
          </cell>
          <cell r="DY403" t="str">
            <v/>
          </cell>
          <cell r="DZ403">
            <v>0</v>
          </cell>
          <cell r="EA403">
            <v>47300</v>
          </cell>
        </row>
        <row r="404">
          <cell r="B404">
            <v>47902</v>
          </cell>
          <cell r="C404" t="str">
            <v>MARYAM BROKEN_100 GR*120</v>
          </cell>
          <cell r="D404" t="str">
            <v>TON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3.5000000000000001E-3</v>
          </cell>
          <cell r="T404">
            <v>133.12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3.5000000000000001E-3</v>
          </cell>
          <cell r="Z404">
            <v>133.12</v>
          </cell>
          <cell r="AA404">
            <v>0</v>
          </cell>
          <cell r="AB404">
            <v>0</v>
          </cell>
          <cell r="AC404">
            <v>2.8999999999999998E-3</v>
          </cell>
          <cell r="AD404">
            <v>120.35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8.9999999999999998E-4</v>
          </cell>
          <cell r="AJ404">
            <v>37.35</v>
          </cell>
          <cell r="AK404">
            <v>1.2999999999999999E-3</v>
          </cell>
          <cell r="AL404">
            <v>53.95</v>
          </cell>
          <cell r="AO404">
            <v>5.0999999999999995E-3</v>
          </cell>
          <cell r="AP404">
            <v>211.64999999999998</v>
          </cell>
          <cell r="AS404">
            <v>0</v>
          </cell>
          <cell r="AT404">
            <v>0</v>
          </cell>
          <cell r="AU404">
            <v>4.2599999999999999E-2</v>
          </cell>
          <cell r="AV404">
            <v>1724.33</v>
          </cell>
          <cell r="AW404">
            <v>0</v>
          </cell>
          <cell r="AX404">
            <v>0</v>
          </cell>
          <cell r="AY404">
            <v>1.1999999999999999E-3</v>
          </cell>
          <cell r="AZ404">
            <v>48.6</v>
          </cell>
          <cell r="BA404">
            <v>0</v>
          </cell>
          <cell r="BB404">
            <v>0</v>
          </cell>
          <cell r="BC404">
            <v>4.0000000000000001E-3</v>
          </cell>
          <cell r="BD404">
            <v>166</v>
          </cell>
          <cell r="BE404">
            <v>5.1999999999999998E-3</v>
          </cell>
          <cell r="BF404">
            <v>214.6</v>
          </cell>
          <cell r="BG404">
            <v>6.0000000000000001E-3</v>
          </cell>
          <cell r="BH404">
            <v>243</v>
          </cell>
          <cell r="BI404">
            <v>0</v>
          </cell>
          <cell r="BJ404">
            <v>0</v>
          </cell>
          <cell r="BK404">
            <v>2.3E-3</v>
          </cell>
          <cell r="BL404">
            <v>94.25</v>
          </cell>
          <cell r="BM404">
            <v>1.9E-3</v>
          </cell>
          <cell r="BN404">
            <v>78.25</v>
          </cell>
          <cell r="BO404">
            <v>5.0000000000000001E-4</v>
          </cell>
          <cell r="BP404">
            <v>20.149999999999999</v>
          </cell>
          <cell r="BQ404">
            <v>0</v>
          </cell>
          <cell r="BR404">
            <v>0</v>
          </cell>
          <cell r="BS404">
            <v>1.0699999999999999E-2</v>
          </cell>
          <cell r="BT404">
            <v>435.65</v>
          </cell>
          <cell r="BU404">
            <v>1.2999999999999999E-3</v>
          </cell>
          <cell r="BV404">
            <v>51.35</v>
          </cell>
          <cell r="BW404">
            <v>4.0000000000000002E-4</v>
          </cell>
          <cell r="BX404">
            <v>15.33</v>
          </cell>
          <cell r="BY404">
            <v>0</v>
          </cell>
          <cell r="BZ404">
            <v>0</v>
          </cell>
          <cell r="CA404">
            <v>2.8E-3</v>
          </cell>
          <cell r="CB404">
            <v>116.2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4.4999999999999997E-3</v>
          </cell>
          <cell r="CJ404">
            <v>182.88</v>
          </cell>
          <cell r="CK404">
            <v>1.5199999999999998E-2</v>
          </cell>
          <cell r="CL404">
            <v>618.53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6.6E-3</v>
          </cell>
          <cell r="CV404">
            <v>262.52999999999997</v>
          </cell>
          <cell r="CW404">
            <v>0</v>
          </cell>
          <cell r="CX404">
            <v>0</v>
          </cell>
          <cell r="CY404">
            <v>2.3999999999999998E-3</v>
          </cell>
          <cell r="CZ404">
            <v>99.6</v>
          </cell>
          <cell r="DA404">
            <v>0</v>
          </cell>
          <cell r="DB404">
            <v>0</v>
          </cell>
          <cell r="DC404">
            <v>5.9999999999999995E-4</v>
          </cell>
          <cell r="DD404">
            <v>22.28</v>
          </cell>
          <cell r="DE404">
            <v>2.9999999999999996E-3</v>
          </cell>
          <cell r="DF404">
            <v>121.88</v>
          </cell>
          <cell r="DG404">
            <v>5.9999999999999995E-4</v>
          </cell>
          <cell r="DH404">
            <v>24.9</v>
          </cell>
          <cell r="DI404">
            <v>1.9E-3</v>
          </cell>
          <cell r="DJ404">
            <v>75.67</v>
          </cell>
          <cell r="DK404">
            <v>1.5E-3</v>
          </cell>
          <cell r="DL404">
            <v>61.45</v>
          </cell>
          <cell r="DM404">
            <v>4.0000000000000001E-3</v>
          </cell>
          <cell r="DN404">
            <v>162.02000000000001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6.6E-3</v>
          </cell>
          <cell r="DT404">
            <v>262.52999999999997</v>
          </cell>
          <cell r="DU404">
            <v>6.6E-3</v>
          </cell>
          <cell r="DV404">
            <v>262.52999999999997</v>
          </cell>
          <cell r="DW404">
            <v>4.2600000000000006E-2</v>
          </cell>
          <cell r="DX404">
            <v>1724.33</v>
          </cell>
          <cell r="DY404" t="str">
            <v/>
          </cell>
          <cell r="DZ404">
            <v>0</v>
          </cell>
          <cell r="EA404">
            <v>40477.230046948353</v>
          </cell>
        </row>
        <row r="405">
          <cell r="B405">
            <v>16694</v>
          </cell>
          <cell r="C405" t="str">
            <v>MARYAM BROKEN (250*40)</v>
          </cell>
          <cell r="D405" t="str">
            <v>TON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O405">
            <v>0</v>
          </cell>
          <cell r="P405">
            <v>0</v>
          </cell>
          <cell r="Q405">
            <v>5.0000000000000001E-4</v>
          </cell>
          <cell r="R405">
            <v>18.72</v>
          </cell>
          <cell r="S405">
            <v>5.0000000000000001E-3</v>
          </cell>
          <cell r="T405">
            <v>186.25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5.4999999999999997E-3</v>
          </cell>
          <cell r="Z405">
            <v>204.97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7.5000000000000002E-4</v>
          </cell>
          <cell r="AH405">
            <v>28.08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O405">
            <v>7.5000000000000002E-4</v>
          </cell>
          <cell r="AP405">
            <v>28.08</v>
          </cell>
          <cell r="AS405">
            <v>0</v>
          </cell>
          <cell r="AT405">
            <v>0</v>
          </cell>
          <cell r="AU405">
            <v>2.9250000000000002E-2</v>
          </cell>
          <cell r="AV405">
            <v>1111.73</v>
          </cell>
          <cell r="AW405">
            <v>0</v>
          </cell>
          <cell r="AX405">
            <v>0</v>
          </cell>
          <cell r="AY405">
            <v>4.0000000000000001E-3</v>
          </cell>
          <cell r="AZ405">
            <v>154.96</v>
          </cell>
          <cell r="BA405">
            <v>0</v>
          </cell>
          <cell r="BB405">
            <v>0</v>
          </cell>
          <cell r="BC405">
            <v>0.01</v>
          </cell>
          <cell r="BD405">
            <v>374.42</v>
          </cell>
          <cell r="BE405">
            <v>1.4E-2</v>
          </cell>
          <cell r="BF405">
            <v>529.38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1.5E-3</v>
          </cell>
          <cell r="CF405">
            <v>60.78</v>
          </cell>
          <cell r="CG405">
            <v>0</v>
          </cell>
          <cell r="CH405">
            <v>0</v>
          </cell>
          <cell r="CI405">
            <v>1.5E-3</v>
          </cell>
          <cell r="CJ405">
            <v>60.78</v>
          </cell>
          <cell r="CK405">
            <v>1.5E-3</v>
          </cell>
          <cell r="CL405">
            <v>60.78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1.5E-3</v>
          </cell>
          <cell r="CZ405">
            <v>60.78</v>
          </cell>
          <cell r="DA405">
            <v>0</v>
          </cell>
          <cell r="DB405">
            <v>0</v>
          </cell>
          <cell r="DC405">
            <v>-1.75E-3</v>
          </cell>
          <cell r="DD405">
            <v>-70.91</v>
          </cell>
          <cell r="DE405">
            <v>-2.5000000000000001E-4</v>
          </cell>
          <cell r="DF405">
            <v>-10.129999999999995</v>
          </cell>
          <cell r="DG405">
            <v>1.25E-3</v>
          </cell>
          <cell r="DH405">
            <v>50.65</v>
          </cell>
          <cell r="DI405">
            <v>5.0000000000000001E-3</v>
          </cell>
          <cell r="DJ405">
            <v>187.22</v>
          </cell>
          <cell r="DK405">
            <v>1.5E-3</v>
          </cell>
          <cell r="DL405">
            <v>60.78</v>
          </cell>
          <cell r="DM405">
            <v>7.7499999999999999E-3</v>
          </cell>
          <cell r="DN405">
            <v>298.64999999999998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2.9249999999999998E-2</v>
          </cell>
          <cell r="DX405">
            <v>1111.73</v>
          </cell>
          <cell r="DY405" t="str">
            <v/>
          </cell>
          <cell r="DZ405">
            <v>0</v>
          </cell>
          <cell r="EA405">
            <v>38007.86324786325</v>
          </cell>
        </row>
        <row r="406">
          <cell r="B406">
            <v>359278</v>
          </cell>
          <cell r="C406" t="str">
            <v>ჩაი-მარიამ-ბროკ-100გ_10ც+1ც</v>
          </cell>
          <cell r="D406" t="str">
            <v>TON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O406">
            <v>0</v>
          </cell>
          <cell r="AP406">
            <v>0</v>
          </cell>
          <cell r="AS406">
            <v>0</v>
          </cell>
          <cell r="AT406">
            <v>0</v>
          </cell>
          <cell r="AU406">
            <v>2.0899999999999998E-2</v>
          </cell>
          <cell r="AV406">
            <v>731.55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1.1000000000000001E-3</v>
          </cell>
          <cell r="CV406">
            <v>39.5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2.2000000000000001E-3</v>
          </cell>
          <cell r="DH406">
            <v>79</v>
          </cell>
          <cell r="DI406">
            <v>1.7600000000000001E-2</v>
          </cell>
          <cell r="DJ406">
            <v>613.04999999999995</v>
          </cell>
          <cell r="DK406">
            <v>0</v>
          </cell>
          <cell r="DL406">
            <v>0</v>
          </cell>
          <cell r="DM406">
            <v>1.9800000000000002E-2</v>
          </cell>
          <cell r="DN406">
            <v>692.05</v>
          </cell>
          <cell r="DO406">
            <v>1.1000000000000001E-3</v>
          </cell>
          <cell r="DP406">
            <v>39.5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1.1000000000000001E-3</v>
          </cell>
          <cell r="DV406">
            <v>39.5</v>
          </cell>
          <cell r="DW406">
            <v>2.0900000000000002E-2</v>
          </cell>
          <cell r="DX406">
            <v>731.55</v>
          </cell>
          <cell r="DY406" t="str">
            <v/>
          </cell>
          <cell r="DZ406">
            <v>0</v>
          </cell>
          <cell r="EA406">
            <v>35002.392344497603</v>
          </cell>
        </row>
        <row r="407">
          <cell r="B407">
            <v>359293</v>
          </cell>
          <cell r="C407" t="str">
            <v>ჩაი-მარიამ-ბროკ-250გ_10ც+1ც</v>
          </cell>
          <cell r="D407" t="str">
            <v>TON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O407">
            <v>0</v>
          </cell>
          <cell r="AP407">
            <v>0</v>
          </cell>
          <cell r="AS407">
            <v>0</v>
          </cell>
          <cell r="AT407">
            <v>0</v>
          </cell>
          <cell r="AU407">
            <v>2.4750000000000001E-2</v>
          </cell>
          <cell r="AV407">
            <v>845.36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2.7499999999999998E-3</v>
          </cell>
          <cell r="CV407">
            <v>96.5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2.7499999999999998E-3</v>
          </cell>
          <cell r="DH407">
            <v>93.61</v>
          </cell>
          <cell r="DI407">
            <v>1.925E-2</v>
          </cell>
          <cell r="DJ407">
            <v>655.25</v>
          </cell>
          <cell r="DK407">
            <v>0</v>
          </cell>
          <cell r="DL407">
            <v>0</v>
          </cell>
          <cell r="DM407">
            <v>2.1999999999999999E-2</v>
          </cell>
          <cell r="DN407">
            <v>748.86</v>
          </cell>
          <cell r="DO407">
            <v>2.7499999999999998E-3</v>
          </cell>
          <cell r="DP407">
            <v>96.5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2.7499999999999998E-3</v>
          </cell>
          <cell r="DV407">
            <v>96.5</v>
          </cell>
          <cell r="DW407">
            <v>2.4749999999999998E-2</v>
          </cell>
          <cell r="DX407">
            <v>845.36</v>
          </cell>
          <cell r="DY407" t="str">
            <v/>
          </cell>
          <cell r="DZ407">
            <v>0</v>
          </cell>
          <cell r="EA407">
            <v>34155.959595959597</v>
          </cell>
        </row>
        <row r="408">
          <cell r="B408">
            <v>359298</v>
          </cell>
          <cell r="C408" t="str">
            <v>ჩაი-მარიამ-ბროკ-500გ_10ც+1ც</v>
          </cell>
          <cell r="D408" t="str">
            <v>TON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O408">
            <v>0</v>
          </cell>
          <cell r="AP408">
            <v>0</v>
          </cell>
          <cell r="AS408">
            <v>0</v>
          </cell>
          <cell r="AT408">
            <v>0</v>
          </cell>
          <cell r="AU408">
            <v>1.6500000000000001E-2</v>
          </cell>
          <cell r="AV408">
            <v>557.14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1.0999999999999999E-2</v>
          </cell>
          <cell r="DH408">
            <v>373.32</v>
          </cell>
          <cell r="DI408">
            <v>5.4999999999999997E-3</v>
          </cell>
          <cell r="DJ408">
            <v>183.82</v>
          </cell>
          <cell r="DK408">
            <v>0</v>
          </cell>
          <cell r="DL408">
            <v>0</v>
          </cell>
          <cell r="DM408">
            <v>1.6500000000000001E-2</v>
          </cell>
          <cell r="DN408">
            <v>557.14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1.6500000000000001E-2</v>
          </cell>
          <cell r="DX408">
            <v>557.14</v>
          </cell>
          <cell r="DY408" t="str">
            <v/>
          </cell>
          <cell r="DZ408">
            <v>0</v>
          </cell>
          <cell r="EA408">
            <v>33766.060606060601</v>
          </cell>
        </row>
        <row r="409">
          <cell r="B409">
            <v>360874</v>
          </cell>
          <cell r="C409" t="str">
            <v>ჩაი-მარიამ-ბროკ-250გ_1ც+1ც შაქარი-რიჩმონდი-400გ</v>
          </cell>
          <cell r="D409" t="str">
            <v>TON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O409">
            <v>0</v>
          </cell>
          <cell r="AP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 t="str">
            <v/>
          </cell>
          <cell r="DZ409" t="str">
            <v>pasiv</v>
          </cell>
          <cell r="EA409" t="e">
            <v>#DIV/0!</v>
          </cell>
        </row>
        <row r="410">
          <cell r="B410">
            <v>359290</v>
          </cell>
          <cell r="C410" t="str">
            <v>ჩაი-მარიამ-სუპერ-შავი-100გ_10ც+1ც</v>
          </cell>
          <cell r="D410" t="str">
            <v>TON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O410">
            <v>0</v>
          </cell>
          <cell r="AP410">
            <v>0</v>
          </cell>
          <cell r="AS410">
            <v>0</v>
          </cell>
          <cell r="AT410">
            <v>0</v>
          </cell>
          <cell r="AU410">
            <v>3.3E-3</v>
          </cell>
          <cell r="AV410">
            <v>142.6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1.1000000000000001E-3</v>
          </cell>
          <cell r="DH410">
            <v>47.05</v>
          </cell>
          <cell r="DI410">
            <v>1.1000000000000001E-3</v>
          </cell>
          <cell r="DJ410">
            <v>47.05</v>
          </cell>
          <cell r="DK410">
            <v>1.1000000000000001E-3</v>
          </cell>
          <cell r="DL410">
            <v>48.5</v>
          </cell>
          <cell r="DM410">
            <v>3.3E-3</v>
          </cell>
          <cell r="DN410">
            <v>142.6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3.3E-3</v>
          </cell>
          <cell r="DX410">
            <v>142.6</v>
          </cell>
          <cell r="DY410" t="str">
            <v/>
          </cell>
          <cell r="DZ410">
            <v>0</v>
          </cell>
          <cell r="EA410">
            <v>43212.121212121208</v>
          </cell>
        </row>
        <row r="411">
          <cell r="B411">
            <v>359309</v>
          </cell>
          <cell r="C411" t="str">
            <v>ჩაი-მარიამ-სუპერ-შავი-250გ_10ც+1ც</v>
          </cell>
          <cell r="D411" t="str">
            <v>TON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O411">
            <v>0</v>
          </cell>
          <cell r="AP411">
            <v>0</v>
          </cell>
          <cell r="AS411">
            <v>0</v>
          </cell>
          <cell r="AT411">
            <v>0</v>
          </cell>
          <cell r="AU411">
            <v>8.2500000000000004E-3</v>
          </cell>
          <cell r="AV411">
            <v>351.34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2.7499999999999998E-3</v>
          </cell>
          <cell r="DH411">
            <v>115.92</v>
          </cell>
          <cell r="DI411">
            <v>2.7499999999999998E-3</v>
          </cell>
          <cell r="DJ411">
            <v>115.92</v>
          </cell>
          <cell r="DK411">
            <v>2.7499999999999998E-3</v>
          </cell>
          <cell r="DL411">
            <v>119.5</v>
          </cell>
          <cell r="DM411">
            <v>8.2500000000000004E-3</v>
          </cell>
          <cell r="DN411">
            <v>351.34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8.2500000000000004E-3</v>
          </cell>
          <cell r="DX411">
            <v>351.34</v>
          </cell>
          <cell r="DY411" t="str">
            <v/>
          </cell>
          <cell r="DZ411">
            <v>0</v>
          </cell>
          <cell r="EA411">
            <v>42586.666666666664</v>
          </cell>
        </row>
        <row r="412">
          <cell r="B412">
            <v>359279</v>
          </cell>
          <cell r="C412" t="str">
            <v>ჩაი-მარიამ-ფლავორი-100გ_10ც+1ც</v>
          </cell>
          <cell r="D412" t="str">
            <v>TON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O412">
            <v>0</v>
          </cell>
          <cell r="AP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 t="str">
            <v/>
          </cell>
          <cell r="DZ412" t="str">
            <v>pasiv</v>
          </cell>
          <cell r="EA412" t="e">
            <v>#DIV/0!</v>
          </cell>
        </row>
        <row r="413">
          <cell r="B413">
            <v>359299</v>
          </cell>
          <cell r="C413" t="str">
            <v>ჩაი-მარიამ-ფლავორი-500გ_10ც+1ც</v>
          </cell>
          <cell r="D413" t="str">
            <v>TON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O413">
            <v>0</v>
          </cell>
          <cell r="AP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 t="str">
            <v/>
          </cell>
          <cell r="DZ413" t="str">
            <v>pasiv</v>
          </cell>
          <cell r="EA413" t="e">
            <v>#DIV/0!</v>
          </cell>
        </row>
        <row r="414">
          <cell r="B414">
            <v>359412</v>
          </cell>
          <cell r="C414" t="str">
            <v>ჩაი-მარიამ-ფლავორ-250გ_10ც+1ც</v>
          </cell>
          <cell r="D414" t="str">
            <v>TON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O414">
            <v>0</v>
          </cell>
          <cell r="AP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 t="str">
            <v/>
          </cell>
          <cell r="DZ414" t="str">
            <v>pasiv</v>
          </cell>
          <cell r="EA414" t="e">
            <v>#DIV/0!</v>
          </cell>
        </row>
        <row r="415">
          <cell r="B415">
            <v>331099</v>
          </cell>
          <cell r="C415" t="str">
            <v>ჩაი-მარიამ-ფლავორი-250გ_15ც+1ც</v>
          </cell>
          <cell r="D415" t="str">
            <v>TON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O415">
            <v>0</v>
          </cell>
          <cell r="AP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 t="str">
            <v/>
          </cell>
          <cell r="DZ415" t="str">
            <v>pasiv</v>
          </cell>
          <cell r="EA415" t="e">
            <v>#DIV/0!</v>
          </cell>
        </row>
        <row r="416">
          <cell r="B416">
            <v>314846</v>
          </cell>
          <cell r="C416" t="str">
            <v>ჩაი-მარიამ-ბროკ-500გ_15ც+1ც</v>
          </cell>
          <cell r="D416" t="str">
            <v>TON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O416">
            <v>0</v>
          </cell>
          <cell r="AP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 t="str">
            <v/>
          </cell>
          <cell r="DZ416" t="str">
            <v>pasiv</v>
          </cell>
          <cell r="EA416" t="e">
            <v>#DIV/0!</v>
          </cell>
        </row>
        <row r="417">
          <cell r="B417">
            <v>371120</v>
          </cell>
          <cell r="C417" t="str">
            <v>ჩაი-მარიამ-ბროკ-100გ_2ც+1ც ულქერი_კაკაოს ფხვნ.25გ</v>
          </cell>
          <cell r="D417" t="str">
            <v>TON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O417">
            <v>0</v>
          </cell>
          <cell r="AP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 t="str">
            <v/>
          </cell>
          <cell r="DZ417" t="str">
            <v>pasiv</v>
          </cell>
          <cell r="EA417" t="e">
            <v>#DIV/0!</v>
          </cell>
        </row>
        <row r="418">
          <cell r="B418">
            <v>371122</v>
          </cell>
          <cell r="C418" t="str">
            <v>ჩაი-მარიამ-სუპერ-100გ_2ც+1ც ულქერი_კაკაოს ფხვნ.25გ</v>
          </cell>
          <cell r="D418" t="str">
            <v>TON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O418">
            <v>0</v>
          </cell>
          <cell r="AP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  <cell r="DX418">
            <v>0</v>
          </cell>
          <cell r="DY418" t="str">
            <v/>
          </cell>
          <cell r="DZ418" t="str">
            <v>pasiv</v>
          </cell>
          <cell r="EA418" t="e">
            <v>#DIV/0!</v>
          </cell>
        </row>
        <row r="419">
          <cell r="B419">
            <v>16695</v>
          </cell>
          <cell r="C419" t="str">
            <v>MARYAM BROKEN (500*20)</v>
          </cell>
          <cell r="D419" t="str">
            <v>TON</v>
          </cell>
          <cell r="E419">
            <v>1E-3</v>
          </cell>
          <cell r="F419">
            <v>36.76</v>
          </cell>
          <cell r="G419">
            <v>0.02</v>
          </cell>
          <cell r="H419">
            <v>758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O419">
            <v>2.1000000000000001E-2</v>
          </cell>
          <cell r="P419">
            <v>794.76</v>
          </cell>
          <cell r="Q419">
            <v>1.2500000000000001E-2</v>
          </cell>
          <cell r="R419">
            <v>454.8</v>
          </cell>
          <cell r="S419">
            <v>3.0000000000000001E-3</v>
          </cell>
          <cell r="T419">
            <v>109.15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1.55E-2</v>
          </cell>
          <cell r="Z419">
            <v>563.95000000000005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1.5E-3</v>
          </cell>
          <cell r="AH419">
            <v>55.14</v>
          </cell>
          <cell r="AI419">
            <v>0</v>
          </cell>
          <cell r="AJ419">
            <v>0</v>
          </cell>
          <cell r="AK419">
            <v>1.0999999999999999E-2</v>
          </cell>
          <cell r="AL419">
            <v>409.7</v>
          </cell>
          <cell r="AO419">
            <v>1.2499999999999999E-2</v>
          </cell>
          <cell r="AP419">
            <v>464.84</v>
          </cell>
          <cell r="AS419">
            <v>0</v>
          </cell>
          <cell r="AT419">
            <v>0</v>
          </cell>
          <cell r="AU419">
            <v>6.5000000000000002E-2</v>
          </cell>
          <cell r="AV419">
            <v>2441.96</v>
          </cell>
          <cell r="AW419">
            <v>0</v>
          </cell>
          <cell r="AX419">
            <v>0</v>
          </cell>
          <cell r="AY419">
            <v>1E-3</v>
          </cell>
          <cell r="AZ419">
            <v>37.9</v>
          </cell>
          <cell r="BA419">
            <v>0</v>
          </cell>
          <cell r="BB419">
            <v>0</v>
          </cell>
          <cell r="BC419">
            <v>1.0500000000000001E-2</v>
          </cell>
          <cell r="BD419">
            <v>386.58</v>
          </cell>
          <cell r="BE419">
            <v>1.15E-2</v>
          </cell>
          <cell r="BF419">
            <v>424.47999999999996</v>
          </cell>
          <cell r="BG419">
            <v>0</v>
          </cell>
          <cell r="BH419">
            <v>0</v>
          </cell>
          <cell r="BI419">
            <v>-3.0000000000000001E-3</v>
          </cell>
          <cell r="BJ419">
            <v>-117.12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-3.0000000000000001E-3</v>
          </cell>
          <cell r="BT419">
            <v>-117.12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2.5000000000000001E-3</v>
          </cell>
          <cell r="CB419">
            <v>99.5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2.5000000000000001E-3</v>
          </cell>
          <cell r="CJ419">
            <v>99.5</v>
          </cell>
          <cell r="CK419">
            <v>-5.0000000000000001E-4</v>
          </cell>
          <cell r="CL419">
            <v>-17.620000000000005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1.5E-3</v>
          </cell>
          <cell r="CV419">
            <v>59.7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3.0000000000000001E-3</v>
          </cell>
          <cell r="DB419">
            <v>119.4</v>
          </cell>
          <cell r="DC419">
            <v>-2.5000000000000001E-3</v>
          </cell>
          <cell r="DD419">
            <v>-86.95</v>
          </cell>
          <cell r="DE419">
            <v>5.0000000000000001E-4</v>
          </cell>
          <cell r="DF419">
            <v>32.450000000000003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3.0000000000000001E-3</v>
          </cell>
          <cell r="DL419">
            <v>119.4</v>
          </cell>
          <cell r="DM419">
            <v>3.0000000000000001E-3</v>
          </cell>
          <cell r="DN419">
            <v>119.4</v>
          </cell>
          <cell r="DO419">
            <v>1.5E-3</v>
          </cell>
          <cell r="DP419">
            <v>59.7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1.5E-3</v>
          </cell>
          <cell r="DV419">
            <v>59.7</v>
          </cell>
          <cell r="DW419">
            <v>6.5000000000000002E-2</v>
          </cell>
          <cell r="DX419">
            <v>2441.96</v>
          </cell>
          <cell r="DY419" t="str">
            <v/>
          </cell>
          <cell r="DZ419">
            <v>0</v>
          </cell>
          <cell r="EA419">
            <v>37568.615384615383</v>
          </cell>
        </row>
        <row r="420">
          <cell r="B420">
            <v>16710</v>
          </cell>
          <cell r="C420" t="str">
            <v>MARYAM BERGAMUTLU_500 GR*20</v>
          </cell>
          <cell r="D420" t="str">
            <v>TON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O420">
            <v>0</v>
          </cell>
          <cell r="AP420">
            <v>0</v>
          </cell>
          <cell r="AS420">
            <v>0</v>
          </cell>
          <cell r="AT420">
            <v>0</v>
          </cell>
          <cell r="AU420">
            <v>3.0000000000000001E-3</v>
          </cell>
          <cell r="AV420">
            <v>135.47999999999999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3.0000000000000001E-3</v>
          </cell>
          <cell r="DB420">
            <v>135.47999999999999</v>
          </cell>
          <cell r="DC420">
            <v>0</v>
          </cell>
          <cell r="DD420">
            <v>0</v>
          </cell>
          <cell r="DE420">
            <v>3.0000000000000001E-3</v>
          </cell>
          <cell r="DF420">
            <v>135.47999999999999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3.0000000000000001E-3</v>
          </cell>
          <cell r="DX420">
            <v>135.47999999999999</v>
          </cell>
          <cell r="DY420" t="str">
            <v/>
          </cell>
          <cell r="DZ420">
            <v>0</v>
          </cell>
          <cell r="EA420">
            <v>45159.999999999993</v>
          </cell>
        </row>
        <row r="421">
          <cell r="B421">
            <v>0</v>
          </cell>
          <cell r="C421" t="str">
            <v>BROKEN</v>
          </cell>
          <cell r="D421" t="str">
            <v>TON</v>
          </cell>
          <cell r="E421">
            <v>1E-3</v>
          </cell>
          <cell r="F421">
            <v>36.76</v>
          </cell>
          <cell r="G421">
            <v>0.02</v>
          </cell>
          <cell r="H421">
            <v>758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O421">
            <v>2.1000000000000001E-2</v>
          </cell>
          <cell r="P421">
            <v>794.76</v>
          </cell>
          <cell r="Q421">
            <v>1.3000000000000001E-2</v>
          </cell>
          <cell r="R421">
            <v>473.52</v>
          </cell>
          <cell r="S421">
            <v>1.15E-2</v>
          </cell>
          <cell r="T421">
            <v>428.52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2.4500000000000001E-2</v>
          </cell>
          <cell r="Z421">
            <v>902.04000000000008</v>
          </cell>
          <cell r="AA421">
            <v>0</v>
          </cell>
          <cell r="AB421">
            <v>0</v>
          </cell>
          <cell r="AC421">
            <v>2.8999999999999998E-3</v>
          </cell>
          <cell r="AD421">
            <v>120.35</v>
          </cell>
          <cell r="AE421">
            <v>0</v>
          </cell>
          <cell r="AF421">
            <v>0</v>
          </cell>
          <cell r="AG421">
            <v>2.2500000000000003E-3</v>
          </cell>
          <cell r="AH421">
            <v>83.22</v>
          </cell>
          <cell r="AI421">
            <v>8.9999999999999998E-4</v>
          </cell>
          <cell r="AJ421">
            <v>37.35</v>
          </cell>
          <cell r="AK421">
            <v>1.2299999999999998E-2</v>
          </cell>
          <cell r="AL421">
            <v>463.65</v>
          </cell>
          <cell r="AO421">
            <v>1.8349999999999998E-2</v>
          </cell>
          <cell r="AP421">
            <v>704.56999999999994</v>
          </cell>
          <cell r="AS421">
            <v>0</v>
          </cell>
          <cell r="AT421">
            <v>0</v>
          </cell>
          <cell r="AU421">
            <v>0.2319</v>
          </cell>
          <cell r="AV421">
            <v>8878.4399999999987</v>
          </cell>
          <cell r="AW421">
            <v>0</v>
          </cell>
          <cell r="AX421">
            <v>0</v>
          </cell>
          <cell r="AY421">
            <v>7.7000000000000002E-3</v>
          </cell>
          <cell r="AZ421">
            <v>310.15999999999997</v>
          </cell>
          <cell r="BA421">
            <v>0</v>
          </cell>
          <cell r="BB421">
            <v>0</v>
          </cell>
          <cell r="BC421">
            <v>2.5750000000000002E-2</v>
          </cell>
          <cell r="BD421">
            <v>979.86999999999989</v>
          </cell>
          <cell r="BE421">
            <v>3.3449999999999994E-2</v>
          </cell>
          <cell r="BF421">
            <v>1290.03</v>
          </cell>
          <cell r="BG421">
            <v>6.0000000000000001E-3</v>
          </cell>
          <cell r="BH421">
            <v>243</v>
          </cell>
          <cell r="BI421">
            <v>-3.0000000000000001E-3</v>
          </cell>
          <cell r="BJ421">
            <v>-117.12</v>
          </cell>
          <cell r="BK421">
            <v>2.3E-3</v>
          </cell>
          <cell r="BL421">
            <v>94.25</v>
          </cell>
          <cell r="BM421">
            <v>1.9E-3</v>
          </cell>
          <cell r="BN421">
            <v>78.25</v>
          </cell>
          <cell r="BO421">
            <v>5.0000000000000001E-4</v>
          </cell>
          <cell r="BP421">
            <v>20.149999999999999</v>
          </cell>
          <cell r="BQ421">
            <v>0</v>
          </cell>
          <cell r="BR421">
            <v>0</v>
          </cell>
          <cell r="BS421">
            <v>7.6999999999999994E-3</v>
          </cell>
          <cell r="BT421">
            <v>318.52999999999997</v>
          </cell>
          <cell r="BU421">
            <v>1.2999999999999999E-3</v>
          </cell>
          <cell r="BV421">
            <v>51.35</v>
          </cell>
          <cell r="BW421">
            <v>4.0000000000000002E-4</v>
          </cell>
          <cell r="BX421">
            <v>15.33</v>
          </cell>
          <cell r="BY421">
            <v>0</v>
          </cell>
          <cell r="BZ421">
            <v>0</v>
          </cell>
          <cell r="CA421">
            <v>5.3E-3</v>
          </cell>
          <cell r="CB421">
            <v>215.7</v>
          </cell>
          <cell r="CC421">
            <v>0</v>
          </cell>
          <cell r="CD421">
            <v>0</v>
          </cell>
          <cell r="CE421">
            <v>1.5E-3</v>
          </cell>
          <cell r="CF421">
            <v>60.78</v>
          </cell>
          <cell r="CG421">
            <v>0</v>
          </cell>
          <cell r="CH421">
            <v>0</v>
          </cell>
          <cell r="CI421">
            <v>8.5000000000000006E-3</v>
          </cell>
          <cell r="CJ421">
            <v>343.15999999999997</v>
          </cell>
          <cell r="CK421">
            <v>1.6199999999999999E-2</v>
          </cell>
          <cell r="CL421">
            <v>661.68999999999994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1.1950000000000001E-2</v>
          </cell>
          <cell r="CV421">
            <v>458.22999999999996</v>
          </cell>
          <cell r="CW421">
            <v>0</v>
          </cell>
          <cell r="CX421">
            <v>0</v>
          </cell>
          <cell r="CY421">
            <v>1.7250000000000001E-2</v>
          </cell>
          <cell r="CZ421">
            <v>772.71</v>
          </cell>
          <cell r="DA421">
            <v>8.2500000000000004E-3</v>
          </cell>
          <cell r="DB421">
            <v>357.92999999999995</v>
          </cell>
          <cell r="DC421">
            <v>-3.65E-3</v>
          </cell>
          <cell r="DD421">
            <v>-135.57999999999998</v>
          </cell>
          <cell r="DE421">
            <v>2.1849999999999998E-2</v>
          </cell>
          <cell r="DF421">
            <v>995.06000000000006</v>
          </cell>
          <cell r="DG421">
            <v>2.1649999999999999E-2</v>
          </cell>
          <cell r="DH421">
            <v>784.44999999999993</v>
          </cell>
          <cell r="DI421">
            <v>5.3099999999999994E-2</v>
          </cell>
          <cell r="DJ421">
            <v>1877.98</v>
          </cell>
          <cell r="DK421">
            <v>9.8500000000000011E-3</v>
          </cell>
          <cell r="DL421">
            <v>409.63</v>
          </cell>
          <cell r="DM421">
            <v>8.4600000000000009E-2</v>
          </cell>
          <cell r="DN421">
            <v>3072.06</v>
          </cell>
          <cell r="DO421">
            <v>5.3500000000000006E-3</v>
          </cell>
          <cell r="DP421">
            <v>195.7</v>
          </cell>
          <cell r="DQ421">
            <v>0</v>
          </cell>
          <cell r="DR421">
            <v>0</v>
          </cell>
          <cell r="DS421">
            <v>6.6E-3</v>
          </cell>
          <cell r="DT421">
            <v>262.52999999999997</v>
          </cell>
          <cell r="DU421">
            <v>1.1950000000000001E-2</v>
          </cell>
          <cell r="DV421">
            <v>458.22999999999996</v>
          </cell>
          <cell r="DW421">
            <v>0.2319</v>
          </cell>
          <cell r="DX421">
            <v>8878.4399999999987</v>
          </cell>
          <cell r="DY421" t="str">
            <v/>
          </cell>
          <cell r="DZ421">
            <v>0</v>
          </cell>
          <cell r="EA421">
            <v>38285.640362225095</v>
          </cell>
        </row>
        <row r="422">
          <cell r="B422">
            <v>47901</v>
          </cell>
          <cell r="C422" t="str">
            <v>MARYAM SUPER QARA_100 GR*120</v>
          </cell>
          <cell r="D422" t="str">
            <v>TON</v>
          </cell>
          <cell r="E422">
            <v>2E-3</v>
          </cell>
          <cell r="F422">
            <v>94.09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O422">
            <v>2E-3</v>
          </cell>
          <cell r="P422">
            <v>94.09</v>
          </cell>
          <cell r="Q422">
            <v>0</v>
          </cell>
          <cell r="R422">
            <v>0</v>
          </cell>
          <cell r="S422">
            <v>4.0000000000000001E-3</v>
          </cell>
          <cell r="T422">
            <v>186.97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4.0000000000000001E-3</v>
          </cell>
          <cell r="Z422">
            <v>186.97</v>
          </cell>
          <cell r="AA422">
            <v>0</v>
          </cell>
          <cell r="AB422">
            <v>0</v>
          </cell>
          <cell r="AC422">
            <v>8.9999999999999998E-4</v>
          </cell>
          <cell r="AD422">
            <v>45.81</v>
          </cell>
          <cell r="AE422">
            <v>0</v>
          </cell>
          <cell r="AF422">
            <v>0</v>
          </cell>
          <cell r="AG422">
            <v>2.0999999999999999E-3</v>
          </cell>
          <cell r="AH422">
            <v>106.89</v>
          </cell>
          <cell r="AI422">
            <v>1.1000000000000001E-3</v>
          </cell>
          <cell r="AJ422">
            <v>55.99</v>
          </cell>
          <cell r="AK422">
            <v>3.5999999999999999E-3</v>
          </cell>
          <cell r="AL422">
            <v>178.09</v>
          </cell>
          <cell r="AO422">
            <v>7.7000000000000002E-3</v>
          </cell>
          <cell r="AP422">
            <v>386.78</v>
          </cell>
          <cell r="AS422">
            <v>0</v>
          </cell>
          <cell r="AT422">
            <v>0</v>
          </cell>
          <cell r="AU422">
            <v>5.8500000000000003E-2</v>
          </cell>
          <cell r="AV422">
            <v>2843.68</v>
          </cell>
          <cell r="AW422">
            <v>0</v>
          </cell>
          <cell r="AX422">
            <v>0</v>
          </cell>
          <cell r="AY422">
            <v>3.5999999999999999E-3</v>
          </cell>
          <cell r="AZ422">
            <v>177.46</v>
          </cell>
          <cell r="BA422">
            <v>0</v>
          </cell>
          <cell r="BB422">
            <v>0</v>
          </cell>
          <cell r="BC422">
            <v>1.7100000000000001E-2</v>
          </cell>
          <cell r="BD422">
            <v>815.32</v>
          </cell>
          <cell r="BE422">
            <v>2.07E-2</v>
          </cell>
          <cell r="BF422">
            <v>992.78000000000009</v>
          </cell>
          <cell r="BG422">
            <v>1E-3</v>
          </cell>
          <cell r="BH422">
            <v>48.5</v>
          </cell>
          <cell r="BI422">
            <v>0</v>
          </cell>
          <cell r="BJ422">
            <v>0</v>
          </cell>
          <cell r="BK422">
            <v>8.0000000000000004E-4</v>
          </cell>
          <cell r="BL422">
            <v>40</v>
          </cell>
          <cell r="BM422">
            <v>8.9999999999999998E-4</v>
          </cell>
          <cell r="BN422">
            <v>45.09</v>
          </cell>
          <cell r="BO422">
            <v>8.9999999999999998E-4</v>
          </cell>
          <cell r="BP422">
            <v>45.09</v>
          </cell>
          <cell r="BQ422">
            <v>0</v>
          </cell>
          <cell r="BR422">
            <v>0</v>
          </cell>
          <cell r="BS422">
            <v>3.5999999999999999E-3</v>
          </cell>
          <cell r="BT422">
            <v>178.68</v>
          </cell>
          <cell r="BU422">
            <v>6.9999999999999999E-4</v>
          </cell>
          <cell r="BV422">
            <v>33.950000000000003</v>
          </cell>
          <cell r="BW422">
            <v>4.0000000000000002E-4</v>
          </cell>
          <cell r="BX422">
            <v>18.82</v>
          </cell>
          <cell r="BY422">
            <v>0</v>
          </cell>
          <cell r="BZ422">
            <v>0</v>
          </cell>
          <cell r="CA422">
            <v>5.9999999999999995E-4</v>
          </cell>
          <cell r="CB422">
            <v>29.1</v>
          </cell>
          <cell r="CC422">
            <v>5.9999999999999995E-4</v>
          </cell>
          <cell r="CD422">
            <v>30.54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2.3E-3</v>
          </cell>
          <cell r="CJ422">
            <v>112.41</v>
          </cell>
          <cell r="CK422">
            <v>5.8999999999999999E-3</v>
          </cell>
          <cell r="CL422">
            <v>291.09000000000003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1.1599999999999999E-2</v>
          </cell>
          <cell r="CV422">
            <v>571.21</v>
          </cell>
          <cell r="CW422">
            <v>0</v>
          </cell>
          <cell r="CX422">
            <v>0</v>
          </cell>
          <cell r="CY422">
            <v>5.9999999999999995E-4</v>
          </cell>
          <cell r="CZ422">
            <v>30.54</v>
          </cell>
          <cell r="DA422">
            <v>0</v>
          </cell>
          <cell r="DB422">
            <v>0</v>
          </cell>
          <cell r="DC422">
            <v>1.9E-3</v>
          </cell>
          <cell r="DD422">
            <v>88.74</v>
          </cell>
          <cell r="DE422">
            <v>2.5000000000000001E-3</v>
          </cell>
          <cell r="DF422">
            <v>119.28</v>
          </cell>
          <cell r="DG422">
            <v>2.9999999999999997E-4</v>
          </cell>
          <cell r="DH422">
            <v>14.55</v>
          </cell>
          <cell r="DI422">
            <v>2.9999999999999997E-4</v>
          </cell>
          <cell r="DJ422">
            <v>15.27</v>
          </cell>
          <cell r="DK422">
            <v>3.5000000000000001E-3</v>
          </cell>
          <cell r="DL422">
            <v>171.66</v>
          </cell>
          <cell r="DM422">
            <v>4.1000000000000003E-3</v>
          </cell>
          <cell r="DN422">
            <v>201.48</v>
          </cell>
          <cell r="DO422">
            <v>2.9999999999999997E-4</v>
          </cell>
          <cell r="DP422">
            <v>14.55</v>
          </cell>
          <cell r="DQ422">
            <v>6.7999999999999996E-3</v>
          </cell>
          <cell r="DR422">
            <v>338.41</v>
          </cell>
          <cell r="DS422">
            <v>4.4999999999999997E-3</v>
          </cell>
          <cell r="DT422">
            <v>218.25</v>
          </cell>
          <cell r="DU422">
            <v>1.1599999999999999E-2</v>
          </cell>
          <cell r="DV422">
            <v>571.21</v>
          </cell>
          <cell r="DW422">
            <v>5.8499999999999996E-2</v>
          </cell>
          <cell r="DX422">
            <v>2843.68</v>
          </cell>
          <cell r="DY422" t="str">
            <v/>
          </cell>
          <cell r="DZ422">
            <v>0</v>
          </cell>
          <cell r="EA422">
            <v>48609.914529914531</v>
          </cell>
        </row>
        <row r="423">
          <cell r="B423">
            <v>16783</v>
          </cell>
          <cell r="C423" t="str">
            <v>MARYAM SUPER SIYAH (250*40)</v>
          </cell>
          <cell r="D423" t="str">
            <v>TON</v>
          </cell>
          <cell r="E423">
            <v>1E-3</v>
          </cell>
          <cell r="F423">
            <v>46.37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O423">
            <v>1E-3</v>
          </cell>
          <cell r="P423">
            <v>46.37</v>
          </cell>
          <cell r="Q423">
            <v>1.325E-2</v>
          </cell>
          <cell r="R423">
            <v>609.57000000000005</v>
          </cell>
          <cell r="S423">
            <v>7.0000000000000001E-3</v>
          </cell>
          <cell r="T423">
            <v>322.41000000000003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2.0250000000000001E-2</v>
          </cell>
          <cell r="Z423">
            <v>931.98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3.0000000000000001E-3</v>
          </cell>
          <cell r="AF423">
            <v>134.80000000000001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3.0000000000000001E-3</v>
          </cell>
          <cell r="AL423">
            <v>138.86000000000001</v>
          </cell>
          <cell r="AO423">
            <v>6.0000000000000001E-3</v>
          </cell>
          <cell r="AP423">
            <v>273.66000000000003</v>
          </cell>
          <cell r="AS423">
            <v>0</v>
          </cell>
          <cell r="AT423">
            <v>0</v>
          </cell>
          <cell r="AU423">
            <v>4.9750000000000003E-2</v>
          </cell>
          <cell r="AV423">
            <v>2324.9499999999998</v>
          </cell>
          <cell r="AW423">
            <v>0</v>
          </cell>
          <cell r="AX423">
            <v>0</v>
          </cell>
          <cell r="AY423">
            <v>2.5000000000000001E-3</v>
          </cell>
          <cell r="AZ423">
            <v>116.63</v>
          </cell>
          <cell r="BA423">
            <v>0</v>
          </cell>
          <cell r="BB423">
            <v>0</v>
          </cell>
          <cell r="BC423">
            <v>1.15E-2</v>
          </cell>
          <cell r="BD423">
            <v>533.21</v>
          </cell>
          <cell r="BE423">
            <v>1.4E-2</v>
          </cell>
          <cell r="BF423">
            <v>649.84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1E-3</v>
          </cell>
          <cell r="BL423">
            <v>47.8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1E-3</v>
          </cell>
          <cell r="BT423">
            <v>47.8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1.25E-3</v>
          </cell>
          <cell r="CF423">
            <v>62.75</v>
          </cell>
          <cell r="CG423">
            <v>0</v>
          </cell>
          <cell r="CH423">
            <v>0</v>
          </cell>
          <cell r="CI423">
            <v>1.25E-3</v>
          </cell>
          <cell r="CJ423">
            <v>62.75</v>
          </cell>
          <cell r="CK423">
            <v>2.2500000000000003E-3</v>
          </cell>
          <cell r="CL423">
            <v>110.55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2.7499999999999998E-3</v>
          </cell>
          <cell r="CZ423">
            <v>138.05000000000001</v>
          </cell>
          <cell r="DA423">
            <v>3.0000000000000001E-3</v>
          </cell>
          <cell r="DB423">
            <v>150.6</v>
          </cell>
          <cell r="DC423">
            <v>0</v>
          </cell>
          <cell r="DD423">
            <v>0</v>
          </cell>
          <cell r="DE423">
            <v>5.7499999999999999E-3</v>
          </cell>
          <cell r="DF423">
            <v>288.64999999999998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5.0000000000000001E-4</v>
          </cell>
          <cell r="DL423">
            <v>23.9</v>
          </cell>
          <cell r="DM423">
            <v>5.0000000000000001E-4</v>
          </cell>
          <cell r="DN423">
            <v>23.9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4.9750000000000003E-2</v>
          </cell>
          <cell r="DX423">
            <v>2324.9499999999998</v>
          </cell>
          <cell r="DY423" t="str">
            <v/>
          </cell>
          <cell r="DZ423">
            <v>0</v>
          </cell>
          <cell r="EA423">
            <v>46732.663316582912</v>
          </cell>
        </row>
        <row r="424">
          <cell r="B424">
            <v>0</v>
          </cell>
          <cell r="C424" t="str">
            <v>SUPER SIYAH</v>
          </cell>
          <cell r="D424" t="str">
            <v>TON</v>
          </cell>
          <cell r="E424">
            <v>3.0000000000000001E-3</v>
          </cell>
          <cell r="F424">
            <v>140.46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O424">
            <v>3.0000000000000001E-3</v>
          </cell>
          <cell r="P424">
            <v>140.46</v>
          </cell>
          <cell r="Q424">
            <v>1.325E-2</v>
          </cell>
          <cell r="R424">
            <v>609.57000000000005</v>
          </cell>
          <cell r="S424">
            <v>1.0999999999999999E-2</v>
          </cell>
          <cell r="T424">
            <v>509.38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2.4250000000000001E-2</v>
          </cell>
          <cell r="Z424">
            <v>1118.95</v>
          </cell>
          <cell r="AA424">
            <v>0</v>
          </cell>
          <cell r="AB424">
            <v>0</v>
          </cell>
          <cell r="AC424">
            <v>8.9999999999999998E-4</v>
          </cell>
          <cell r="AD424">
            <v>45.81</v>
          </cell>
          <cell r="AE424">
            <v>3.0000000000000001E-3</v>
          </cell>
          <cell r="AF424">
            <v>134.80000000000001</v>
          </cell>
          <cell r="AG424">
            <v>2.0999999999999999E-3</v>
          </cell>
          <cell r="AH424">
            <v>106.89</v>
          </cell>
          <cell r="AI424">
            <v>1.1000000000000001E-3</v>
          </cell>
          <cell r="AJ424">
            <v>55.99</v>
          </cell>
          <cell r="AK424">
            <v>6.6E-3</v>
          </cell>
          <cell r="AL424">
            <v>316.95000000000005</v>
          </cell>
          <cell r="AO424">
            <v>1.37E-2</v>
          </cell>
          <cell r="AP424">
            <v>660.44</v>
          </cell>
          <cell r="AS424">
            <v>0</v>
          </cell>
          <cell r="AT424">
            <v>0</v>
          </cell>
          <cell r="AU424">
            <v>0.10825000000000001</v>
          </cell>
          <cell r="AV424">
            <v>5168.6299999999992</v>
          </cell>
          <cell r="AW424">
            <v>0</v>
          </cell>
          <cell r="AX424">
            <v>0</v>
          </cell>
          <cell r="AY424">
            <v>6.0999999999999995E-3</v>
          </cell>
          <cell r="AZ424">
            <v>294.09000000000003</v>
          </cell>
          <cell r="BA424">
            <v>0</v>
          </cell>
          <cell r="BB424">
            <v>0</v>
          </cell>
          <cell r="BC424">
            <v>2.86E-2</v>
          </cell>
          <cell r="BD424">
            <v>1348.5300000000002</v>
          </cell>
          <cell r="BE424">
            <v>3.4700000000000002E-2</v>
          </cell>
          <cell r="BF424">
            <v>1642.6200000000001</v>
          </cell>
          <cell r="BG424">
            <v>1E-3</v>
          </cell>
          <cell r="BH424">
            <v>48.5</v>
          </cell>
          <cell r="BI424">
            <v>0</v>
          </cell>
          <cell r="BJ424">
            <v>0</v>
          </cell>
          <cell r="BK424">
            <v>1.8E-3</v>
          </cell>
          <cell r="BL424">
            <v>87.8</v>
          </cell>
          <cell r="BM424">
            <v>8.9999999999999998E-4</v>
          </cell>
          <cell r="BN424">
            <v>45.09</v>
          </cell>
          <cell r="BO424">
            <v>8.9999999999999998E-4</v>
          </cell>
          <cell r="BP424">
            <v>45.09</v>
          </cell>
          <cell r="BQ424">
            <v>0</v>
          </cell>
          <cell r="BR424">
            <v>0</v>
          </cell>
          <cell r="BS424">
            <v>4.5999999999999999E-3</v>
          </cell>
          <cell r="BT424">
            <v>226.48000000000002</v>
          </cell>
          <cell r="BU424">
            <v>6.9999999999999999E-4</v>
          </cell>
          <cell r="BV424">
            <v>33.950000000000003</v>
          </cell>
          <cell r="BW424">
            <v>4.0000000000000002E-4</v>
          </cell>
          <cell r="BX424">
            <v>18.82</v>
          </cell>
          <cell r="BY424">
            <v>0</v>
          </cell>
          <cell r="BZ424">
            <v>0</v>
          </cell>
          <cell r="CA424">
            <v>5.9999999999999995E-4</v>
          </cell>
          <cell r="CB424">
            <v>29.1</v>
          </cell>
          <cell r="CC424">
            <v>5.9999999999999995E-4</v>
          </cell>
          <cell r="CD424">
            <v>30.54</v>
          </cell>
          <cell r="CE424">
            <v>1.25E-3</v>
          </cell>
          <cell r="CF424">
            <v>62.75</v>
          </cell>
          <cell r="CG424">
            <v>0</v>
          </cell>
          <cell r="CH424">
            <v>0</v>
          </cell>
          <cell r="CI424">
            <v>3.5500000000000002E-3</v>
          </cell>
          <cell r="CJ424">
            <v>175.16</v>
          </cell>
          <cell r="CK424">
            <v>8.150000000000001E-3</v>
          </cell>
          <cell r="CL424">
            <v>401.64000000000004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1.1599999999999999E-2</v>
          </cell>
          <cell r="CV424">
            <v>571.21</v>
          </cell>
          <cell r="CW424">
            <v>0</v>
          </cell>
          <cell r="CX424">
            <v>0</v>
          </cell>
          <cell r="CY424">
            <v>3.3499999999999997E-3</v>
          </cell>
          <cell r="CZ424">
            <v>168.59</v>
          </cell>
          <cell r="DA424">
            <v>3.0000000000000001E-3</v>
          </cell>
          <cell r="DB424">
            <v>150.6</v>
          </cell>
          <cell r="DC424">
            <v>1.9E-3</v>
          </cell>
          <cell r="DD424">
            <v>88.74</v>
          </cell>
          <cell r="DE424">
            <v>8.2500000000000004E-3</v>
          </cell>
          <cell r="DF424">
            <v>407.92999999999995</v>
          </cell>
          <cell r="DG424">
            <v>2.9999999999999997E-4</v>
          </cell>
          <cell r="DH424">
            <v>14.55</v>
          </cell>
          <cell r="DI424">
            <v>2.9999999999999997E-4</v>
          </cell>
          <cell r="DJ424">
            <v>15.27</v>
          </cell>
          <cell r="DK424">
            <v>4.0000000000000001E-3</v>
          </cell>
          <cell r="DL424">
            <v>195.56</v>
          </cell>
          <cell r="DM424">
            <v>4.5999999999999999E-3</v>
          </cell>
          <cell r="DN424">
            <v>225.38</v>
          </cell>
          <cell r="DO424">
            <v>2.9999999999999997E-4</v>
          </cell>
          <cell r="DP424">
            <v>14.55</v>
          </cell>
          <cell r="DQ424">
            <v>6.7999999999999996E-3</v>
          </cell>
          <cell r="DR424">
            <v>338.41</v>
          </cell>
          <cell r="DS424">
            <v>4.4999999999999997E-3</v>
          </cell>
          <cell r="DT424">
            <v>218.25</v>
          </cell>
          <cell r="DU424">
            <v>1.1599999999999999E-2</v>
          </cell>
          <cell r="DV424">
            <v>571.21</v>
          </cell>
          <cell r="DW424">
            <v>0.10825</v>
          </cell>
          <cell r="DX424">
            <v>5168.6299999999992</v>
          </cell>
          <cell r="DY424" t="str">
            <v/>
          </cell>
          <cell r="DZ424">
            <v>0</v>
          </cell>
          <cell r="EA424">
            <v>47747.159353348725</v>
          </cell>
        </row>
        <row r="425">
          <cell r="A425">
            <v>4000</v>
          </cell>
          <cell r="C425" t="str">
            <v>MARYAM DOKME CAY</v>
          </cell>
          <cell r="D425" t="str">
            <v>TON</v>
          </cell>
          <cell r="E425">
            <v>4.0000000000000001E-3</v>
          </cell>
          <cell r="F425">
            <v>177.22</v>
          </cell>
          <cell r="G425">
            <v>0.02</v>
          </cell>
          <cell r="H425">
            <v>758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2.4E-2</v>
          </cell>
          <cell r="P425">
            <v>935.22</v>
          </cell>
          <cell r="Q425">
            <v>2.6250000000000002E-2</v>
          </cell>
          <cell r="R425">
            <v>1083.0900000000001</v>
          </cell>
          <cell r="S425">
            <v>2.2499999999999999E-2</v>
          </cell>
          <cell r="T425">
            <v>937.9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4.8750000000000002E-2</v>
          </cell>
          <cell r="Z425">
            <v>2020.9900000000002</v>
          </cell>
          <cell r="AA425">
            <v>0</v>
          </cell>
          <cell r="AB425">
            <v>0</v>
          </cell>
          <cell r="AC425">
            <v>3.7999999999999996E-3</v>
          </cell>
          <cell r="AD425">
            <v>166.16</v>
          </cell>
          <cell r="AE425">
            <v>3.0000000000000001E-3</v>
          </cell>
          <cell r="AF425">
            <v>134.80000000000001</v>
          </cell>
          <cell r="AG425">
            <v>4.3499999999999997E-3</v>
          </cell>
          <cell r="AH425">
            <v>190.11</v>
          </cell>
          <cell r="AI425">
            <v>2E-3</v>
          </cell>
          <cell r="AJ425">
            <v>93.34</v>
          </cell>
          <cell r="AK425">
            <v>1.89E-2</v>
          </cell>
          <cell r="AL425">
            <v>780.6</v>
          </cell>
          <cell r="AM425">
            <v>0</v>
          </cell>
          <cell r="AN425">
            <v>0</v>
          </cell>
          <cell r="AO425">
            <v>3.2049999999999995E-2</v>
          </cell>
          <cell r="AP425">
            <v>1365.01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0.34015000000000001</v>
          </cell>
          <cell r="AV425">
            <v>14047.069999999998</v>
          </cell>
          <cell r="AW425">
            <v>0</v>
          </cell>
          <cell r="AX425">
            <v>0</v>
          </cell>
          <cell r="AY425">
            <v>1.38E-2</v>
          </cell>
          <cell r="AZ425">
            <v>604.25</v>
          </cell>
          <cell r="BA425">
            <v>0</v>
          </cell>
          <cell r="BB425">
            <v>0</v>
          </cell>
          <cell r="BC425">
            <v>5.4350000000000002E-2</v>
          </cell>
          <cell r="BD425">
            <v>2328.4</v>
          </cell>
          <cell r="BE425">
            <v>6.8149999999999988E-2</v>
          </cell>
          <cell r="BF425">
            <v>2932.65</v>
          </cell>
          <cell r="BG425">
            <v>7.0000000000000001E-3</v>
          </cell>
          <cell r="BH425">
            <v>291.5</v>
          </cell>
          <cell r="BI425">
            <v>-3.0000000000000001E-3</v>
          </cell>
          <cell r="BJ425">
            <v>-117.12</v>
          </cell>
          <cell r="BK425">
            <v>4.0999999999999995E-3</v>
          </cell>
          <cell r="BL425">
            <v>182.05</v>
          </cell>
          <cell r="BM425">
            <v>2.8E-3</v>
          </cell>
          <cell r="BN425">
            <v>123.34</v>
          </cell>
          <cell r="BO425">
            <v>1.4E-3</v>
          </cell>
          <cell r="BP425">
            <v>65.240000000000009</v>
          </cell>
          <cell r="BQ425">
            <v>0</v>
          </cell>
          <cell r="BR425">
            <v>0</v>
          </cell>
          <cell r="BS425">
            <v>1.2299999999999998E-2</v>
          </cell>
          <cell r="BT425">
            <v>545.01</v>
          </cell>
          <cell r="BU425">
            <v>2E-3</v>
          </cell>
          <cell r="BV425">
            <v>85.300000000000011</v>
          </cell>
          <cell r="BW425">
            <v>8.0000000000000004E-4</v>
          </cell>
          <cell r="BX425">
            <v>34.15</v>
          </cell>
          <cell r="BY425">
            <v>0</v>
          </cell>
          <cell r="BZ425">
            <v>0</v>
          </cell>
          <cell r="CA425">
            <v>5.8999999999999999E-3</v>
          </cell>
          <cell r="CB425">
            <v>244.79999999999998</v>
          </cell>
          <cell r="CC425">
            <v>5.9999999999999995E-4</v>
          </cell>
          <cell r="CD425">
            <v>30.54</v>
          </cell>
          <cell r="CE425">
            <v>2.7499999999999998E-3</v>
          </cell>
          <cell r="CF425">
            <v>123.53</v>
          </cell>
          <cell r="CG425">
            <v>0</v>
          </cell>
          <cell r="CH425">
            <v>0</v>
          </cell>
          <cell r="CI425">
            <v>1.2050000000000002E-2</v>
          </cell>
          <cell r="CJ425">
            <v>518.31999999999994</v>
          </cell>
          <cell r="CK425">
            <v>2.435E-2</v>
          </cell>
          <cell r="CL425">
            <v>1063.33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2.3550000000000001E-2</v>
          </cell>
          <cell r="CV425">
            <v>1029.44</v>
          </cell>
          <cell r="CW425">
            <v>0</v>
          </cell>
          <cell r="CX425">
            <v>0</v>
          </cell>
          <cell r="CY425">
            <v>2.06E-2</v>
          </cell>
          <cell r="CZ425">
            <v>941.30000000000007</v>
          </cell>
          <cell r="DA425">
            <v>1.125E-2</v>
          </cell>
          <cell r="DB425">
            <v>508.53</v>
          </cell>
          <cell r="DC425">
            <v>-1.75E-3</v>
          </cell>
          <cell r="DD425">
            <v>-46.839999999999989</v>
          </cell>
          <cell r="DE425">
            <v>3.0099999999999998E-2</v>
          </cell>
          <cell r="DF425">
            <v>1402.99</v>
          </cell>
          <cell r="DG425">
            <v>2.1950000000000001E-2</v>
          </cell>
          <cell r="DH425">
            <v>798.99999999999989</v>
          </cell>
          <cell r="DI425">
            <v>5.3399999999999996E-2</v>
          </cell>
          <cell r="DJ425">
            <v>1893.25</v>
          </cell>
          <cell r="DK425">
            <v>1.3850000000000001E-2</v>
          </cell>
          <cell r="DL425">
            <v>605.19000000000005</v>
          </cell>
          <cell r="DM425">
            <v>8.9200000000000002E-2</v>
          </cell>
          <cell r="DN425">
            <v>3297.44</v>
          </cell>
          <cell r="DO425">
            <v>5.6500000000000005E-3</v>
          </cell>
          <cell r="DP425">
            <v>210.25</v>
          </cell>
          <cell r="DQ425">
            <v>6.7999999999999996E-3</v>
          </cell>
          <cell r="DR425">
            <v>338.41</v>
          </cell>
          <cell r="DS425">
            <v>1.1099999999999999E-2</v>
          </cell>
          <cell r="DT425">
            <v>480.78</v>
          </cell>
          <cell r="DU425">
            <v>2.3550000000000001E-2</v>
          </cell>
          <cell r="DV425">
            <v>1029.44</v>
          </cell>
          <cell r="DW425">
            <v>0.34015000000000001</v>
          </cell>
          <cell r="DX425">
            <v>14047.069999999998</v>
          </cell>
          <cell r="DY425" t="str">
            <v/>
          </cell>
          <cell r="DZ425">
            <v>0</v>
          </cell>
          <cell r="EA425">
            <v>41296.692635601932</v>
          </cell>
        </row>
        <row r="426">
          <cell r="C426" t="str">
            <v>MARYAM CAY TOPLAMI</v>
          </cell>
          <cell r="D426" t="str">
            <v>TON</v>
          </cell>
          <cell r="E426">
            <v>4.0000000000000001E-3</v>
          </cell>
          <cell r="F426">
            <v>177.22</v>
          </cell>
          <cell r="G426">
            <v>2.12E-2</v>
          </cell>
          <cell r="H426">
            <v>829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O426">
            <v>2.52E-2</v>
          </cell>
          <cell r="P426">
            <v>1006.22</v>
          </cell>
          <cell r="Q426">
            <v>3.1637999999999999E-2</v>
          </cell>
          <cell r="R426">
            <v>1408.94</v>
          </cell>
          <cell r="S426">
            <v>3.798E-2</v>
          </cell>
          <cell r="T426">
            <v>1869.03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6.9617999999999999E-2</v>
          </cell>
          <cell r="Z426">
            <v>3277.9700000000003</v>
          </cell>
          <cell r="AA426">
            <v>0</v>
          </cell>
          <cell r="AB426">
            <v>0</v>
          </cell>
          <cell r="AC426">
            <v>1.3849999999999999E-2</v>
          </cell>
          <cell r="AD426">
            <v>819.09</v>
          </cell>
          <cell r="AE426">
            <v>3.0000000000000001E-3</v>
          </cell>
          <cell r="AF426">
            <v>134.80000000000001</v>
          </cell>
          <cell r="AG426">
            <v>7.45E-3</v>
          </cell>
          <cell r="AH426">
            <v>387.64</v>
          </cell>
          <cell r="AI426">
            <v>9.1500000000000001E-3</v>
          </cell>
          <cell r="AJ426">
            <v>555.83000000000004</v>
          </cell>
          <cell r="AK426">
            <v>2.8538000000000001E-2</v>
          </cell>
          <cell r="AL426">
            <v>1395.98</v>
          </cell>
          <cell r="AO426">
            <v>6.1988000000000001E-2</v>
          </cell>
          <cell r="AP426">
            <v>3293.34</v>
          </cell>
          <cell r="AS426">
            <v>0</v>
          </cell>
          <cell r="AT426">
            <v>0</v>
          </cell>
          <cell r="AU426">
            <v>0.78094920000000001</v>
          </cell>
          <cell r="AV426">
            <v>42156.719999999994</v>
          </cell>
          <cell r="AW426">
            <v>0</v>
          </cell>
          <cell r="AX426">
            <v>0</v>
          </cell>
          <cell r="AY426">
            <v>2.4000800000000003E-2</v>
          </cell>
          <cell r="AZ426">
            <v>1253.8000000000002</v>
          </cell>
          <cell r="BA426">
            <v>0</v>
          </cell>
          <cell r="BB426">
            <v>0</v>
          </cell>
          <cell r="BC426">
            <v>6.4462800000000001E-2</v>
          </cell>
          <cell r="BD426">
            <v>2988.4300000000003</v>
          </cell>
          <cell r="BE426">
            <v>8.8463599999999989E-2</v>
          </cell>
          <cell r="BF426">
            <v>4242.2299999999996</v>
          </cell>
          <cell r="BG426">
            <v>3.5550000000000005E-2</v>
          </cell>
          <cell r="BH426">
            <v>2122.46</v>
          </cell>
          <cell r="BI426">
            <v>1.1200000000000002E-2</v>
          </cell>
          <cell r="BJ426">
            <v>798.38</v>
          </cell>
          <cell r="BK426">
            <v>5.355E-2</v>
          </cell>
          <cell r="BL426">
            <v>3385.9600000000005</v>
          </cell>
          <cell r="BM426">
            <v>2.315E-2</v>
          </cell>
          <cell r="BN426">
            <v>1409.1699999999998</v>
          </cell>
          <cell r="BO426">
            <v>1.8999999999999996E-2</v>
          </cell>
          <cell r="BP426">
            <v>1199.68</v>
          </cell>
          <cell r="BQ426">
            <v>0</v>
          </cell>
          <cell r="BR426">
            <v>0</v>
          </cell>
          <cell r="BS426">
            <v>0.14275000000000002</v>
          </cell>
          <cell r="BT426">
            <v>8935.2100000000009</v>
          </cell>
          <cell r="BU426">
            <v>6.9880000000000003E-3</v>
          </cell>
          <cell r="BV426">
            <v>394.19</v>
          </cell>
          <cell r="BW426">
            <v>8.738000000000001E-3</v>
          </cell>
          <cell r="BX426">
            <v>520.47</v>
          </cell>
          <cell r="BY426">
            <v>8.9999999999999993E-3</v>
          </cell>
          <cell r="BZ426">
            <v>552.62</v>
          </cell>
          <cell r="CA426">
            <v>3.9196000000000002E-2</v>
          </cell>
          <cell r="CB426">
            <v>2461</v>
          </cell>
          <cell r="CC426">
            <v>7.8639999999999995E-3</v>
          </cell>
          <cell r="CD426">
            <v>511.7</v>
          </cell>
          <cell r="CE426">
            <v>1.2747999999999999E-2</v>
          </cell>
          <cell r="CF426">
            <v>730.43000000000006</v>
          </cell>
          <cell r="CG426">
            <v>2.0000000000000001E-4</v>
          </cell>
          <cell r="CH426">
            <v>10.4</v>
          </cell>
          <cell r="CI426">
            <v>8.4734000000000004E-2</v>
          </cell>
          <cell r="CJ426">
            <v>5180.8100000000004</v>
          </cell>
          <cell r="CK426">
            <v>0.22748399999999996</v>
          </cell>
          <cell r="CL426">
            <v>14116.020000000002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8.8520399999999999E-2</v>
          </cell>
          <cell r="CV426">
            <v>5119.76</v>
          </cell>
          <cell r="CW426">
            <v>0</v>
          </cell>
          <cell r="CX426">
            <v>0</v>
          </cell>
          <cell r="CY426">
            <v>5.4260000000000003E-2</v>
          </cell>
          <cell r="CZ426">
            <v>3119.6000000000004</v>
          </cell>
          <cell r="DA426">
            <v>1.89684E-2</v>
          </cell>
          <cell r="DB426">
            <v>1008.75</v>
          </cell>
          <cell r="DC426">
            <v>7.6048000000000001E-3</v>
          </cell>
          <cell r="DD426">
            <v>523.28</v>
          </cell>
          <cell r="DE426">
            <v>8.0833199999999994E-2</v>
          </cell>
          <cell r="DF426">
            <v>4651.63</v>
          </cell>
          <cell r="DG426">
            <v>3.9849999999999997E-2</v>
          </cell>
          <cell r="DH426">
            <v>1922.29</v>
          </cell>
          <cell r="DI426">
            <v>6.5599999999999992E-2</v>
          </cell>
          <cell r="DJ426">
            <v>2663.13</v>
          </cell>
          <cell r="DK426">
            <v>3.3343999999999999E-2</v>
          </cell>
          <cell r="DL426">
            <v>1860.3500000000001</v>
          </cell>
          <cell r="DM426">
            <v>0.138794</v>
          </cell>
          <cell r="DN426">
            <v>6445.77</v>
          </cell>
          <cell r="DO426">
            <v>2.7250000000000003E-2</v>
          </cell>
          <cell r="DP426">
            <v>1554.35</v>
          </cell>
          <cell r="DQ426">
            <v>1.8450000000000001E-2</v>
          </cell>
          <cell r="DR426">
            <v>1066.8799999999999</v>
          </cell>
          <cell r="DS426">
            <v>4.2820399999999995E-2</v>
          </cell>
          <cell r="DT426">
            <v>2498.5299999999997</v>
          </cell>
          <cell r="DU426">
            <v>8.8520399999999999E-2</v>
          </cell>
          <cell r="DV426">
            <v>5119.76</v>
          </cell>
          <cell r="DW426">
            <v>0.78090119999999996</v>
          </cell>
          <cell r="DX426">
            <v>42152.939999999995</v>
          </cell>
          <cell r="DY426" t="str">
            <v/>
          </cell>
          <cell r="DZ426">
            <v>0</v>
          </cell>
          <cell r="EA426">
            <v>53979.863265673041</v>
          </cell>
        </row>
        <row r="427">
          <cell r="A427">
            <v>7000</v>
          </cell>
          <cell r="B427">
            <v>0</v>
          </cell>
          <cell r="C427" t="str">
            <v>CAY TOPLAMI</v>
          </cell>
          <cell r="D427" t="str">
            <v>TON</v>
          </cell>
          <cell r="E427">
            <v>6.0000000000000001E-3</v>
          </cell>
          <cell r="F427">
            <v>244.15</v>
          </cell>
          <cell r="G427">
            <v>2.5999999999999999E-2</v>
          </cell>
          <cell r="H427">
            <v>1107.4000000000001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O427">
            <v>3.2000000000000001E-2</v>
          </cell>
          <cell r="P427">
            <v>1351.5500000000002</v>
          </cell>
          <cell r="Q427">
            <v>4.2463000000000001E-2</v>
          </cell>
          <cell r="R427">
            <v>1891.6900000000003</v>
          </cell>
          <cell r="S427">
            <v>6.7080000000000001E-2</v>
          </cell>
          <cell r="T427">
            <v>3132.1899999999996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0.109543</v>
          </cell>
          <cell r="Z427">
            <v>5023.88</v>
          </cell>
          <cell r="AA427">
            <v>0</v>
          </cell>
          <cell r="AB427">
            <v>0</v>
          </cell>
          <cell r="AC427">
            <v>2.6450000000000001E-2</v>
          </cell>
          <cell r="AD427">
            <v>1436.48</v>
          </cell>
          <cell r="AE427">
            <v>4.8000000000000004E-3</v>
          </cell>
          <cell r="AF427">
            <v>202.67000000000002</v>
          </cell>
          <cell r="AG427">
            <v>1.528E-2</v>
          </cell>
          <cell r="AH427">
            <v>804.59000000000015</v>
          </cell>
          <cell r="AI427">
            <v>2.0494999999999999E-2</v>
          </cell>
          <cell r="AJ427">
            <v>1152.6300000000001</v>
          </cell>
          <cell r="AK427">
            <v>4.6908000000000005E-2</v>
          </cell>
          <cell r="AL427">
            <v>2314.4399999999996</v>
          </cell>
          <cell r="AO427">
            <v>0.11393300000000001</v>
          </cell>
          <cell r="AP427">
            <v>5910.8099999999995</v>
          </cell>
          <cell r="AS427">
            <v>0</v>
          </cell>
          <cell r="AT427">
            <v>0</v>
          </cell>
          <cell r="AU427">
            <v>1.4126875999999999</v>
          </cell>
          <cell r="AV427">
            <v>72924.889999999985</v>
          </cell>
          <cell r="AW427">
            <v>0</v>
          </cell>
          <cell r="AX427">
            <v>0</v>
          </cell>
          <cell r="AY427">
            <v>5.1225799999999995E-2</v>
          </cell>
          <cell r="AZ427">
            <v>2363.6</v>
          </cell>
          <cell r="BA427">
            <v>0</v>
          </cell>
          <cell r="BB427">
            <v>0</v>
          </cell>
          <cell r="BC427">
            <v>0.13460280000000002</v>
          </cell>
          <cell r="BD427">
            <v>5894.2399999999989</v>
          </cell>
          <cell r="BE427">
            <v>0.18582859999999998</v>
          </cell>
          <cell r="BF427">
            <v>8257.84</v>
          </cell>
          <cell r="BG427">
            <v>5.1220000000000002E-2</v>
          </cell>
          <cell r="BH427">
            <v>2981.9000000000005</v>
          </cell>
          <cell r="BI427">
            <v>1.6630000000000002E-2</v>
          </cell>
          <cell r="BJ427">
            <v>1066.53</v>
          </cell>
          <cell r="BK427">
            <v>6.1550000000000001E-2</v>
          </cell>
          <cell r="BL427">
            <v>3721.76</v>
          </cell>
          <cell r="BM427">
            <v>4.981E-2</v>
          </cell>
          <cell r="BN427">
            <v>2836.17</v>
          </cell>
          <cell r="BO427">
            <v>3.3770000000000001E-2</v>
          </cell>
          <cell r="BP427">
            <v>2057.64</v>
          </cell>
          <cell r="BQ427">
            <v>0</v>
          </cell>
          <cell r="BR427">
            <v>0</v>
          </cell>
          <cell r="BS427">
            <v>0.21376999999999999</v>
          </cell>
          <cell r="BT427">
            <v>12715.3</v>
          </cell>
          <cell r="BU427">
            <v>1.2237999999999999E-2</v>
          </cell>
          <cell r="BV427">
            <v>668.58</v>
          </cell>
          <cell r="BW427">
            <v>1.6073E-2</v>
          </cell>
          <cell r="BX427">
            <v>934.08</v>
          </cell>
          <cell r="BY427">
            <v>1.7950000000000001E-2</v>
          </cell>
          <cell r="BZ427">
            <v>1021.78</v>
          </cell>
          <cell r="CA427">
            <v>6.2995999999999996E-2</v>
          </cell>
          <cell r="CB427">
            <v>3915.8799999999997</v>
          </cell>
          <cell r="CC427">
            <v>1.7933999999999999E-2</v>
          </cell>
          <cell r="CD427">
            <v>1025.1199999999999</v>
          </cell>
          <cell r="CE427">
            <v>3.1372999999999998E-2</v>
          </cell>
          <cell r="CF427">
            <v>1642.8200000000002</v>
          </cell>
          <cell r="CG427">
            <v>4.0000000000000002E-4</v>
          </cell>
          <cell r="CH427">
            <v>21.8</v>
          </cell>
          <cell r="CI427">
            <v>0.15896399999999999</v>
          </cell>
          <cell r="CJ427">
            <v>9230.0600000000013</v>
          </cell>
          <cell r="CK427">
            <v>0.37273399999999995</v>
          </cell>
          <cell r="CL427">
            <v>21945.360000000004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0.13715540000000001</v>
          </cell>
          <cell r="CV427">
            <v>7900.48</v>
          </cell>
          <cell r="CW427">
            <v>0</v>
          </cell>
          <cell r="CX427">
            <v>0</v>
          </cell>
          <cell r="CY427">
            <v>0.162356</v>
          </cell>
          <cell r="CZ427">
            <v>8660.2999999999993</v>
          </cell>
          <cell r="DA427">
            <v>3.8988399999999999E-2</v>
          </cell>
          <cell r="DB427">
            <v>2021.77</v>
          </cell>
          <cell r="DC427">
            <v>3.18518E-2</v>
          </cell>
          <cell r="DD427">
            <v>1605.58</v>
          </cell>
          <cell r="DE427">
            <v>0.23319619999999999</v>
          </cell>
          <cell r="DF427">
            <v>12287.65</v>
          </cell>
          <cell r="DG427">
            <v>5.2495E-2</v>
          </cell>
          <cell r="DH427">
            <v>2603</v>
          </cell>
          <cell r="DI427">
            <v>0.10849500000000001</v>
          </cell>
          <cell r="DJ427">
            <v>4368.03</v>
          </cell>
          <cell r="DK427">
            <v>6.71094E-2</v>
          </cell>
          <cell r="DL427">
            <v>3264.6400000000003</v>
          </cell>
          <cell r="DM427">
            <v>0.22809940000000001</v>
          </cell>
          <cell r="DN427">
            <v>10235.67</v>
          </cell>
          <cell r="DO427">
            <v>4.0160000000000001E-2</v>
          </cell>
          <cell r="DP427">
            <v>2311.16</v>
          </cell>
          <cell r="DQ427">
            <v>2.7134999999999999E-2</v>
          </cell>
          <cell r="DR427">
            <v>1632.3999999999999</v>
          </cell>
          <cell r="DS427">
            <v>6.9860400000000003E-2</v>
          </cell>
          <cell r="DT427">
            <v>3956.92</v>
          </cell>
          <cell r="DU427">
            <v>0.13715540000000001</v>
          </cell>
          <cell r="DV427">
            <v>7900.48</v>
          </cell>
          <cell r="DW427">
            <v>1.4124896</v>
          </cell>
          <cell r="DX427">
            <v>72913.239999999991</v>
          </cell>
          <cell r="DY427" t="str">
            <v/>
          </cell>
          <cell r="DZ427">
            <v>0</v>
          </cell>
          <cell r="EA427">
            <v>51620.372992480785</v>
          </cell>
        </row>
        <row r="428">
          <cell r="A428">
            <v>9</v>
          </cell>
          <cell r="C428" t="str">
            <v>TEA BAGS  CAY TOPLAMI</v>
          </cell>
          <cell r="D428" t="str">
            <v>TON</v>
          </cell>
          <cell r="E428">
            <v>0</v>
          </cell>
          <cell r="F428">
            <v>0</v>
          </cell>
          <cell r="G428">
            <v>5.9999999999999993E-3</v>
          </cell>
          <cell r="H428">
            <v>349.4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O428">
            <v>5.9999999999999993E-3</v>
          </cell>
          <cell r="P428">
            <v>349.4</v>
          </cell>
          <cell r="Q428">
            <v>8.9879999999999995E-3</v>
          </cell>
          <cell r="R428">
            <v>512.47</v>
          </cell>
          <cell r="S428">
            <v>2.198E-2</v>
          </cell>
          <cell r="T428">
            <v>1323.1399999999999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3.0968000000000002E-2</v>
          </cell>
          <cell r="Z428">
            <v>1835.6100000000001</v>
          </cell>
          <cell r="AA428">
            <v>0</v>
          </cell>
          <cell r="AB428">
            <v>0</v>
          </cell>
          <cell r="AC428">
            <v>1.545E-2</v>
          </cell>
          <cell r="AD428">
            <v>1003.6800000000001</v>
          </cell>
          <cell r="AE428">
            <v>0</v>
          </cell>
          <cell r="AF428">
            <v>0</v>
          </cell>
          <cell r="AG428">
            <v>7.0299999999999998E-3</v>
          </cell>
          <cell r="AH428">
            <v>456.30000000000007</v>
          </cell>
          <cell r="AI428">
            <v>1.2594999999999999E-2</v>
          </cell>
          <cell r="AJ428">
            <v>812.75</v>
          </cell>
          <cell r="AK428">
            <v>1.6308000000000003E-2</v>
          </cell>
          <cell r="AL428">
            <v>1039.0899999999999</v>
          </cell>
          <cell r="AO428">
            <v>5.1382999999999998E-2</v>
          </cell>
          <cell r="AP428">
            <v>3311.8199999999997</v>
          </cell>
          <cell r="AS428">
            <v>0</v>
          </cell>
          <cell r="AT428">
            <v>0</v>
          </cell>
          <cell r="AU428">
            <v>0.65698719999999999</v>
          </cell>
          <cell r="AV428">
            <v>42171.579999999994</v>
          </cell>
          <cell r="AW428">
            <v>0</v>
          </cell>
          <cell r="AX428">
            <v>0</v>
          </cell>
          <cell r="AY428">
            <v>1.2840800000000001E-2</v>
          </cell>
          <cell r="AZ428">
            <v>781.50000000000011</v>
          </cell>
          <cell r="BA428">
            <v>0</v>
          </cell>
          <cell r="BB428">
            <v>0</v>
          </cell>
          <cell r="BC428">
            <v>1.5002800000000002E-2</v>
          </cell>
          <cell r="BD428">
            <v>979.79</v>
          </cell>
          <cell r="BE428">
            <v>2.7843600000000003E-2</v>
          </cell>
          <cell r="BF428">
            <v>1761.29</v>
          </cell>
          <cell r="BG428">
            <v>3.7420000000000002E-2</v>
          </cell>
          <cell r="BH428">
            <v>2435.7200000000003</v>
          </cell>
          <cell r="BI428">
            <v>1.6730000000000002E-2</v>
          </cell>
          <cell r="BJ428">
            <v>1080.04</v>
          </cell>
          <cell r="BK428">
            <v>5.0450000000000002E-2</v>
          </cell>
          <cell r="BL428">
            <v>3270.3100000000004</v>
          </cell>
          <cell r="BM428">
            <v>3.3110000000000001E-2</v>
          </cell>
          <cell r="BN428">
            <v>2140.02</v>
          </cell>
          <cell r="BO428">
            <v>2.9069999999999999E-2</v>
          </cell>
          <cell r="BP428">
            <v>1870.94</v>
          </cell>
          <cell r="BQ428">
            <v>0</v>
          </cell>
          <cell r="BR428">
            <v>0</v>
          </cell>
          <cell r="BS428">
            <v>0.16757</v>
          </cell>
          <cell r="BT428">
            <v>10848.33</v>
          </cell>
          <cell r="BU428">
            <v>8.6379999999999998E-3</v>
          </cell>
          <cell r="BV428">
            <v>529.73</v>
          </cell>
          <cell r="BW428">
            <v>1.3372999999999999E-2</v>
          </cell>
          <cell r="BX428">
            <v>830.75</v>
          </cell>
          <cell r="BY428">
            <v>1.4249999999999999E-2</v>
          </cell>
          <cell r="BZ428">
            <v>885.02</v>
          </cell>
          <cell r="CA428">
            <v>5.2496000000000001E-2</v>
          </cell>
          <cell r="CB428">
            <v>3494.4799999999996</v>
          </cell>
          <cell r="CC428">
            <v>1.0083999999999999E-2</v>
          </cell>
          <cell r="CD428">
            <v>667.88</v>
          </cell>
          <cell r="CE428">
            <v>1.6122999999999998E-2</v>
          </cell>
          <cell r="CF428">
            <v>1005.96</v>
          </cell>
          <cell r="CG428">
            <v>4.0000000000000002E-4</v>
          </cell>
          <cell r="CH428">
            <v>21.8</v>
          </cell>
          <cell r="CI428">
            <v>0.11536399999999999</v>
          </cell>
          <cell r="CJ428">
            <v>7435.6200000000008</v>
          </cell>
          <cell r="CK428">
            <v>0.28293399999999996</v>
          </cell>
          <cell r="CL428">
            <v>18283.950000000004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9.7855400000000009E-2</v>
          </cell>
          <cell r="CV428">
            <v>6276.7899999999991</v>
          </cell>
          <cell r="CW428">
            <v>0</v>
          </cell>
          <cell r="CX428">
            <v>0</v>
          </cell>
          <cell r="CY428">
            <v>6.5706000000000001E-2</v>
          </cell>
          <cell r="CZ428">
            <v>4298.58</v>
          </cell>
          <cell r="DA428">
            <v>1.30884E-2</v>
          </cell>
          <cell r="DB428">
            <v>867.26</v>
          </cell>
          <cell r="DC428">
            <v>1.51518E-2</v>
          </cell>
          <cell r="DD428">
            <v>970.48</v>
          </cell>
          <cell r="DE428">
            <v>9.3946200000000007E-2</v>
          </cell>
          <cell r="DF428">
            <v>6136.32</v>
          </cell>
          <cell r="DG428">
            <v>2.4145E-2</v>
          </cell>
          <cell r="DH428">
            <v>1519.25</v>
          </cell>
          <cell r="DI428">
            <v>1.6645E-2</v>
          </cell>
          <cell r="DJ428">
            <v>1055.4799999999998</v>
          </cell>
          <cell r="DK428">
            <v>2.5168999999999997E-2</v>
          </cell>
          <cell r="DL428">
            <v>1634.9</v>
          </cell>
          <cell r="DM428">
            <v>6.595899999999999E-2</v>
          </cell>
          <cell r="DN428">
            <v>4209.63</v>
          </cell>
          <cell r="DO428">
            <v>3.056E-2</v>
          </cell>
          <cell r="DP428">
            <v>1944.9</v>
          </cell>
          <cell r="DQ428">
            <v>1.9834999999999998E-2</v>
          </cell>
          <cell r="DR428">
            <v>1277.2599999999998</v>
          </cell>
          <cell r="DS428">
            <v>4.74604E-2</v>
          </cell>
          <cell r="DT428">
            <v>3054.63</v>
          </cell>
          <cell r="DU428">
            <v>9.7855400000000009E-2</v>
          </cell>
          <cell r="DV428">
            <v>6276.7899999999991</v>
          </cell>
          <cell r="DW428">
            <v>0.65688919999999995</v>
          </cell>
          <cell r="DX428">
            <v>42164.81</v>
          </cell>
          <cell r="DY428" t="str">
            <v>Hedef</v>
          </cell>
          <cell r="DZ428">
            <v>0</v>
          </cell>
          <cell r="EA428">
            <v>64188.618110938653</v>
          </cell>
        </row>
        <row r="429">
          <cell r="A429">
            <v>8</v>
          </cell>
          <cell r="C429" t="str">
            <v>DOKME  CAY TOPLAMI</v>
          </cell>
          <cell r="D429" t="str">
            <v>TON</v>
          </cell>
          <cell r="E429">
            <v>6.0000000000000001E-3</v>
          </cell>
          <cell r="F429">
            <v>244.15</v>
          </cell>
          <cell r="G429">
            <v>0.02</v>
          </cell>
          <cell r="H429">
            <v>758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O429">
            <v>2.6000000000000002E-2</v>
          </cell>
          <cell r="P429">
            <v>1002.1500000000001</v>
          </cell>
          <cell r="Q429">
            <v>3.3475000000000005E-2</v>
          </cell>
          <cell r="R429">
            <v>1379.2200000000003</v>
          </cell>
          <cell r="S429">
            <v>4.5099999999999994E-2</v>
          </cell>
          <cell r="T429">
            <v>1809.05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7.8575000000000006E-2</v>
          </cell>
          <cell r="Z429">
            <v>3188.27</v>
          </cell>
          <cell r="AA429">
            <v>0</v>
          </cell>
          <cell r="AB429">
            <v>0</v>
          </cell>
          <cell r="AC429">
            <v>1.0999999999999999E-2</v>
          </cell>
          <cell r="AD429">
            <v>432.79999999999995</v>
          </cell>
          <cell r="AE429">
            <v>4.8000000000000004E-3</v>
          </cell>
          <cell r="AF429">
            <v>202.67000000000002</v>
          </cell>
          <cell r="AG429">
            <v>8.2500000000000004E-3</v>
          </cell>
          <cell r="AH429">
            <v>348.29</v>
          </cell>
          <cell r="AI429">
            <v>7.9000000000000008E-3</v>
          </cell>
          <cell r="AJ429">
            <v>339.88</v>
          </cell>
          <cell r="AK429">
            <v>3.0600000000000002E-2</v>
          </cell>
          <cell r="AL429">
            <v>1275.3499999999999</v>
          </cell>
          <cell r="AO429">
            <v>6.2550000000000008E-2</v>
          </cell>
          <cell r="AP429">
            <v>2598.9899999999998</v>
          </cell>
          <cell r="AS429">
            <v>0</v>
          </cell>
          <cell r="AT429">
            <v>0</v>
          </cell>
          <cell r="AU429">
            <v>0.75570040000000005</v>
          </cell>
          <cell r="AV429">
            <v>30753.309999999998</v>
          </cell>
          <cell r="AW429">
            <v>0</v>
          </cell>
          <cell r="AX429">
            <v>0</v>
          </cell>
          <cell r="AY429">
            <v>3.8384999999999996E-2</v>
          </cell>
          <cell r="AZ429">
            <v>1582.1</v>
          </cell>
          <cell r="BA429">
            <v>0</v>
          </cell>
          <cell r="BB429">
            <v>0</v>
          </cell>
          <cell r="BC429">
            <v>0.11960000000000001</v>
          </cell>
          <cell r="BD429">
            <v>4914.4499999999989</v>
          </cell>
          <cell r="BE429">
            <v>0.15798499999999999</v>
          </cell>
          <cell r="BF429">
            <v>6496.5499999999993</v>
          </cell>
          <cell r="BG429">
            <v>1.38E-2</v>
          </cell>
          <cell r="BH429">
            <v>546.18000000000006</v>
          </cell>
          <cell r="BI429">
            <v>-1.0000000000000026E-4</v>
          </cell>
          <cell r="BJ429">
            <v>-13.510000000000005</v>
          </cell>
          <cell r="BK429">
            <v>1.1099999999999999E-2</v>
          </cell>
          <cell r="BL429">
            <v>451.45</v>
          </cell>
          <cell r="BM429">
            <v>1.67E-2</v>
          </cell>
          <cell r="BN429">
            <v>696.15</v>
          </cell>
          <cell r="BO429">
            <v>4.7000000000000002E-3</v>
          </cell>
          <cell r="BP429">
            <v>186.7</v>
          </cell>
          <cell r="BQ429">
            <v>0</v>
          </cell>
          <cell r="BR429">
            <v>0</v>
          </cell>
          <cell r="BS429">
            <v>4.6199999999999991E-2</v>
          </cell>
          <cell r="BT429">
            <v>1866.9699999999998</v>
          </cell>
          <cell r="BU429">
            <v>3.5999999999999999E-3</v>
          </cell>
          <cell r="BV429">
            <v>138.85000000000002</v>
          </cell>
          <cell r="BW429">
            <v>2.7000000000000001E-3</v>
          </cell>
          <cell r="BX429">
            <v>103.33</v>
          </cell>
          <cell r="BY429">
            <v>3.7000000000000002E-3</v>
          </cell>
          <cell r="BZ429">
            <v>136.76</v>
          </cell>
          <cell r="CA429">
            <v>1.0499999999999999E-2</v>
          </cell>
          <cell r="CB429">
            <v>421.4</v>
          </cell>
          <cell r="CC429">
            <v>7.8499999999999993E-3</v>
          </cell>
          <cell r="CD429">
            <v>357.24</v>
          </cell>
          <cell r="CE429">
            <v>1.525E-2</v>
          </cell>
          <cell r="CF429">
            <v>636.86000000000013</v>
          </cell>
          <cell r="CG429">
            <v>0</v>
          </cell>
          <cell r="CH429">
            <v>0</v>
          </cell>
          <cell r="CI429">
            <v>4.36E-2</v>
          </cell>
          <cell r="CJ429">
            <v>1794.44</v>
          </cell>
          <cell r="CK429">
            <v>8.9800000000000005E-2</v>
          </cell>
          <cell r="CL429">
            <v>3661.41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3.9300000000000002E-2</v>
          </cell>
          <cell r="CV429">
            <v>1623.69</v>
          </cell>
          <cell r="CW429">
            <v>0</v>
          </cell>
          <cell r="CX429">
            <v>0</v>
          </cell>
          <cell r="CY429">
            <v>9.6650000000000014E-2</v>
          </cell>
          <cell r="CZ429">
            <v>4361.72</v>
          </cell>
          <cell r="DA429">
            <v>2.5899999999999999E-2</v>
          </cell>
          <cell r="DB429">
            <v>1154.51</v>
          </cell>
          <cell r="DC429">
            <v>1.67E-2</v>
          </cell>
          <cell r="DD429">
            <v>635.1</v>
          </cell>
          <cell r="DE429">
            <v>0.13924999999999998</v>
          </cell>
          <cell r="DF429">
            <v>6151.33</v>
          </cell>
          <cell r="DG429">
            <v>2.835E-2</v>
          </cell>
          <cell r="DH429">
            <v>1083.75</v>
          </cell>
          <cell r="DI429">
            <v>9.1850000000000001E-2</v>
          </cell>
          <cell r="DJ429">
            <v>3312.55</v>
          </cell>
          <cell r="DK429">
            <v>4.1940400000000003E-2</v>
          </cell>
          <cell r="DL429">
            <v>1629.7400000000002</v>
          </cell>
          <cell r="DM429">
            <v>0.16214040000000002</v>
          </cell>
          <cell r="DN429">
            <v>6026.04</v>
          </cell>
          <cell r="DO429">
            <v>9.6000000000000009E-3</v>
          </cell>
          <cell r="DP429">
            <v>366.26</v>
          </cell>
          <cell r="DQ429">
            <v>7.2999999999999992E-3</v>
          </cell>
          <cell r="DR429">
            <v>355.14000000000004</v>
          </cell>
          <cell r="DS429">
            <v>2.24E-2</v>
          </cell>
          <cell r="DT429">
            <v>902.29</v>
          </cell>
          <cell r="DU429">
            <v>3.9300000000000002E-2</v>
          </cell>
          <cell r="DV429">
            <v>1623.69</v>
          </cell>
          <cell r="DW429">
            <v>0.75560040000000006</v>
          </cell>
          <cell r="DX429">
            <v>30748.43</v>
          </cell>
          <cell r="DY429" t="str">
            <v>Hedef</v>
          </cell>
          <cell r="DZ429">
            <v>0</v>
          </cell>
          <cell r="EA429">
            <v>40694.0361598538</v>
          </cell>
        </row>
        <row r="430">
          <cell r="B430">
            <v>131401</v>
          </cell>
          <cell r="C430" t="str">
            <v>KING RAJAH BASMATI DUYU_2.36KQ</v>
          </cell>
          <cell r="D430" t="str">
            <v>TON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O430">
            <v>0</v>
          </cell>
          <cell r="AP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 t="str">
            <v/>
          </cell>
          <cell r="DZ430" t="str">
            <v>pasiv</v>
          </cell>
          <cell r="EA430" t="e">
            <v>#DIV/0!</v>
          </cell>
        </row>
        <row r="431">
          <cell r="B431">
            <v>131402</v>
          </cell>
          <cell r="C431" t="str">
            <v xml:space="preserve">KING RAJAH BASMATI DUYU_1.9KQ </v>
          </cell>
          <cell r="D431" t="str">
            <v>TON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3.8E-3</v>
          </cell>
          <cell r="AL431">
            <v>23.84</v>
          </cell>
          <cell r="AO431">
            <v>3.8E-3</v>
          </cell>
          <cell r="AP431">
            <v>23.84</v>
          </cell>
          <cell r="AS431">
            <v>0</v>
          </cell>
          <cell r="AT431">
            <v>0</v>
          </cell>
          <cell r="AU431">
            <v>7.9799999999999996E-2</v>
          </cell>
          <cell r="AV431">
            <v>516.53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7.6E-3</v>
          </cell>
          <cell r="CF431">
            <v>53.87</v>
          </cell>
          <cell r="CG431">
            <v>0</v>
          </cell>
          <cell r="CH431">
            <v>0</v>
          </cell>
          <cell r="CI431">
            <v>7.6E-3</v>
          </cell>
          <cell r="CJ431">
            <v>53.87</v>
          </cell>
          <cell r="CK431">
            <v>7.6E-3</v>
          </cell>
          <cell r="CL431">
            <v>53.87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4.5600000000000002E-2</v>
          </cell>
          <cell r="CZ431">
            <v>286.08</v>
          </cell>
          <cell r="DA431">
            <v>1.14E-2</v>
          </cell>
          <cell r="DB431">
            <v>71.52</v>
          </cell>
          <cell r="DC431">
            <v>1.14E-2</v>
          </cell>
          <cell r="DD431">
            <v>81.22</v>
          </cell>
          <cell r="DE431">
            <v>6.8400000000000002E-2</v>
          </cell>
          <cell r="DF431">
            <v>438.81999999999994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7.9799999999999996E-2</v>
          </cell>
          <cell r="DX431">
            <v>516.53</v>
          </cell>
          <cell r="DY431" t="str">
            <v/>
          </cell>
          <cell r="DZ431">
            <v>0</v>
          </cell>
          <cell r="EA431">
            <v>6472.8070175438597</v>
          </cell>
        </row>
        <row r="432">
          <cell r="B432">
            <v>131404</v>
          </cell>
          <cell r="C432" t="str">
            <v xml:space="preserve">KING RAJAH BASMATI DUYU_0.9KQ </v>
          </cell>
          <cell r="D432" t="str">
            <v>TON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O432">
            <v>0</v>
          </cell>
          <cell r="AP432">
            <v>0</v>
          </cell>
          <cell r="AS432">
            <v>0</v>
          </cell>
          <cell r="AT432">
            <v>0</v>
          </cell>
          <cell r="AU432">
            <v>3.8699999999999998E-2</v>
          </cell>
          <cell r="AV432">
            <v>277.25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2.1600000000000001E-2</v>
          </cell>
          <cell r="CZ432">
            <v>152.4</v>
          </cell>
          <cell r="DA432">
            <v>5.4000000000000003E-3</v>
          </cell>
          <cell r="DB432">
            <v>38.1</v>
          </cell>
          <cell r="DC432">
            <v>1.17E-2</v>
          </cell>
          <cell r="DD432">
            <v>86.75</v>
          </cell>
          <cell r="DE432">
            <v>3.8700000000000005E-2</v>
          </cell>
          <cell r="DF432">
            <v>277.25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3.8700000000000005E-2</v>
          </cell>
          <cell r="DX432">
            <v>277.25</v>
          </cell>
          <cell r="DY432" t="str">
            <v/>
          </cell>
          <cell r="DZ432">
            <v>0</v>
          </cell>
          <cell r="EA432">
            <v>7164.0826873385004</v>
          </cell>
        </row>
        <row r="433">
          <cell r="B433">
            <v>330355</v>
          </cell>
          <cell r="C433" t="str">
            <v>ბრინჯი_სულთან ბასმათი_1კგ*20_1121</v>
          </cell>
          <cell r="D433" t="str">
            <v>TON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0.02</v>
          </cell>
          <cell r="T433">
            <v>140.16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0.02</v>
          </cell>
          <cell r="Z433">
            <v>140.16</v>
          </cell>
          <cell r="AA433">
            <v>0</v>
          </cell>
          <cell r="AB433">
            <v>0</v>
          </cell>
          <cell r="AC433">
            <v>0.02</v>
          </cell>
          <cell r="AD433">
            <v>153.4</v>
          </cell>
          <cell r="AE433">
            <v>0</v>
          </cell>
          <cell r="AF433">
            <v>0</v>
          </cell>
          <cell r="AG433">
            <v>1.7000000000000001E-2</v>
          </cell>
          <cell r="AH433">
            <v>130.38999999999999</v>
          </cell>
          <cell r="AI433">
            <v>3.2000000000000001E-2</v>
          </cell>
          <cell r="AJ433">
            <v>245.44</v>
          </cell>
          <cell r="AK433">
            <v>5.5E-2</v>
          </cell>
          <cell r="AL433">
            <v>421.85</v>
          </cell>
          <cell r="AO433">
            <v>0.124</v>
          </cell>
          <cell r="AP433">
            <v>951.08</v>
          </cell>
          <cell r="AS433">
            <v>0</v>
          </cell>
          <cell r="AT433">
            <v>0</v>
          </cell>
          <cell r="AU433">
            <v>0.60299999999999998</v>
          </cell>
          <cell r="AV433">
            <v>4567.2</v>
          </cell>
          <cell r="AW433">
            <v>0</v>
          </cell>
          <cell r="AX433">
            <v>0</v>
          </cell>
          <cell r="AY433">
            <v>3.3000000000000002E-2</v>
          </cell>
          <cell r="AZ433">
            <v>252</v>
          </cell>
          <cell r="BA433">
            <v>0</v>
          </cell>
          <cell r="BB433">
            <v>0</v>
          </cell>
          <cell r="BC433">
            <v>2.5999999999999999E-2</v>
          </cell>
          <cell r="BD433">
            <v>186.53</v>
          </cell>
          <cell r="BE433">
            <v>5.8999999999999997E-2</v>
          </cell>
          <cell r="BF433">
            <v>438.53</v>
          </cell>
          <cell r="BG433">
            <v>6.0000000000000001E-3</v>
          </cell>
          <cell r="BH433">
            <v>46.02</v>
          </cell>
          <cell r="BI433">
            <v>0.02</v>
          </cell>
          <cell r="BJ433">
            <v>153.4</v>
          </cell>
          <cell r="BK433">
            <v>1.2E-2</v>
          </cell>
          <cell r="BL433">
            <v>92.04</v>
          </cell>
          <cell r="BM433">
            <v>1.4E-2</v>
          </cell>
          <cell r="BN433">
            <v>107.38</v>
          </cell>
          <cell r="BO433">
            <v>5.0000000000000001E-3</v>
          </cell>
          <cell r="BP433">
            <v>38.35</v>
          </cell>
          <cell r="BQ433">
            <v>0</v>
          </cell>
          <cell r="BR433">
            <v>0</v>
          </cell>
          <cell r="BS433">
            <v>5.7000000000000002E-2</v>
          </cell>
          <cell r="BT433">
            <v>437.19</v>
          </cell>
          <cell r="BU433">
            <v>0</v>
          </cell>
          <cell r="BV433">
            <v>0</v>
          </cell>
          <cell r="BW433">
            <v>6.0000000000000001E-3</v>
          </cell>
          <cell r="BX433">
            <v>42.49</v>
          </cell>
          <cell r="BY433">
            <v>0.01</v>
          </cell>
          <cell r="BZ433">
            <v>70.81</v>
          </cell>
          <cell r="CA433">
            <v>2.8000000000000001E-2</v>
          </cell>
          <cell r="CB433">
            <v>214.76</v>
          </cell>
          <cell r="CC433">
            <v>3.0000000000000001E-3</v>
          </cell>
          <cell r="CD433">
            <v>21.9</v>
          </cell>
          <cell r="CE433">
            <v>0.03</v>
          </cell>
          <cell r="CF433">
            <v>230.1</v>
          </cell>
          <cell r="CG433">
            <v>0</v>
          </cell>
          <cell r="CH433">
            <v>0</v>
          </cell>
          <cell r="CI433">
            <v>7.6999999999999999E-2</v>
          </cell>
          <cell r="CJ433">
            <v>580.05999999999995</v>
          </cell>
          <cell r="CK433">
            <v>0.13400000000000001</v>
          </cell>
          <cell r="CL433">
            <v>1017.25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6.6000000000000003E-2</v>
          </cell>
          <cell r="CV433">
            <v>492.98</v>
          </cell>
          <cell r="CW433">
            <v>0</v>
          </cell>
          <cell r="CX433">
            <v>0</v>
          </cell>
          <cell r="CY433">
            <v>0.11</v>
          </cell>
          <cell r="CZ433">
            <v>843.7</v>
          </cell>
          <cell r="DA433">
            <v>4.2000000000000003E-2</v>
          </cell>
          <cell r="DB433">
            <v>322.14</v>
          </cell>
          <cell r="DC433">
            <v>2.5999999999999999E-2</v>
          </cell>
          <cell r="DD433">
            <v>192.62</v>
          </cell>
          <cell r="DE433">
            <v>0.17799999999999999</v>
          </cell>
          <cell r="DF433">
            <v>1358.46</v>
          </cell>
          <cell r="DG433">
            <v>1.2E-2</v>
          </cell>
          <cell r="DH433">
            <v>92.04</v>
          </cell>
          <cell r="DI433">
            <v>0.01</v>
          </cell>
          <cell r="DJ433">
            <v>76.7</v>
          </cell>
          <cell r="DK433">
            <v>0</v>
          </cell>
          <cell r="DL433">
            <v>0</v>
          </cell>
          <cell r="DM433">
            <v>2.1999999999999999E-2</v>
          </cell>
          <cell r="DN433">
            <v>168.74</v>
          </cell>
          <cell r="DO433">
            <v>8.9999999999999993E-3</v>
          </cell>
          <cell r="DP433">
            <v>69.03</v>
          </cell>
          <cell r="DQ433">
            <v>2.5000000000000001E-2</v>
          </cell>
          <cell r="DR433">
            <v>178.51</v>
          </cell>
          <cell r="DS433">
            <v>3.2000000000000001E-2</v>
          </cell>
          <cell r="DT433">
            <v>245.44</v>
          </cell>
          <cell r="DU433">
            <v>6.6000000000000003E-2</v>
          </cell>
          <cell r="DV433">
            <v>492.98</v>
          </cell>
          <cell r="DW433">
            <v>0.60299999999999998</v>
          </cell>
          <cell r="DX433">
            <v>4567.2</v>
          </cell>
          <cell r="DY433" t="str">
            <v/>
          </cell>
          <cell r="DZ433">
            <v>0</v>
          </cell>
          <cell r="EA433">
            <v>7574.1293532338304</v>
          </cell>
        </row>
        <row r="434">
          <cell r="B434">
            <v>330356</v>
          </cell>
          <cell r="C434" t="str">
            <v xml:space="preserve">ბრინჯი_სულთან ბასმათი_5კგ*4_1121 </v>
          </cell>
          <cell r="D434" t="str">
            <v>TON</v>
          </cell>
          <cell r="E434">
            <v>0.01</v>
          </cell>
          <cell r="F434">
            <v>66.349999999999994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O434">
            <v>0.01</v>
          </cell>
          <cell r="P434">
            <v>66.349999999999994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O434">
            <v>0</v>
          </cell>
          <cell r="AP434">
            <v>0</v>
          </cell>
          <cell r="AS434">
            <v>0</v>
          </cell>
          <cell r="AT434">
            <v>0</v>
          </cell>
          <cell r="AU434">
            <v>0.23</v>
          </cell>
          <cell r="AV434">
            <v>1619.71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0.04</v>
          </cell>
          <cell r="BJ434">
            <v>287.27999999999997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0.04</v>
          </cell>
          <cell r="BT434">
            <v>287.27999999999997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1.4999999999999999E-2</v>
          </cell>
          <cell r="BZ434">
            <v>96.44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0.04</v>
          </cell>
          <cell r="CF434">
            <v>287.27999999999997</v>
          </cell>
          <cell r="CG434">
            <v>0</v>
          </cell>
          <cell r="CH434">
            <v>0</v>
          </cell>
          <cell r="CI434">
            <v>5.5E-2</v>
          </cell>
          <cell r="CJ434">
            <v>383.72</v>
          </cell>
          <cell r="CK434">
            <v>9.5000000000000001E-2</v>
          </cell>
          <cell r="CL434">
            <v>671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4.4999999999999998E-2</v>
          </cell>
          <cell r="CV434">
            <v>307.8</v>
          </cell>
          <cell r="CW434">
            <v>0</v>
          </cell>
          <cell r="CX434">
            <v>0</v>
          </cell>
          <cell r="CY434">
            <v>0.08</v>
          </cell>
          <cell r="CZ434">
            <v>574.55999999999995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0.08</v>
          </cell>
          <cell r="DF434">
            <v>574.55999999999995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4.4999999999999998E-2</v>
          </cell>
          <cell r="DT434">
            <v>307.8</v>
          </cell>
          <cell r="DU434">
            <v>4.4999999999999998E-2</v>
          </cell>
          <cell r="DV434">
            <v>307.8</v>
          </cell>
          <cell r="DW434">
            <v>0.23</v>
          </cell>
          <cell r="DX434">
            <v>1619.7099999999998</v>
          </cell>
          <cell r="DY434" t="str">
            <v/>
          </cell>
          <cell r="DZ434">
            <v>0</v>
          </cell>
          <cell r="EA434">
            <v>7042.2173913043471</v>
          </cell>
        </row>
        <row r="435">
          <cell r="B435">
            <v>327743</v>
          </cell>
          <cell r="C435" t="str">
            <v>ბრინჯი-სულთანი-ბაშმათი-10კგ_10ც+1ც</v>
          </cell>
          <cell r="D435" t="str">
            <v>TON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O435">
            <v>0</v>
          </cell>
          <cell r="AP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 t="str">
            <v/>
          </cell>
          <cell r="DZ435" t="str">
            <v>pasiv</v>
          </cell>
          <cell r="EA435" t="e">
            <v>#DIV/0!</v>
          </cell>
        </row>
        <row r="436">
          <cell r="B436">
            <v>69324</v>
          </cell>
          <cell r="C436" t="str">
            <v>ბრინჯი-სულთანი-ბაშმათი-10კგ*4</v>
          </cell>
          <cell r="D436" t="str">
            <v>TON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O436">
            <v>0</v>
          </cell>
          <cell r="AP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  <cell r="DX436">
            <v>0</v>
          </cell>
          <cell r="DY436" t="str">
            <v/>
          </cell>
          <cell r="DZ436" t="str">
            <v>pasiv</v>
          </cell>
          <cell r="EA436" t="e">
            <v>#DIV/0!</v>
          </cell>
        </row>
        <row r="437">
          <cell r="B437">
            <v>303605</v>
          </cell>
          <cell r="C437" t="str">
            <v>ბრინჯი-ქინგ რაჯა-2.36კგ_10ც+1ც</v>
          </cell>
          <cell r="D437" t="str">
            <v>TON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O437">
            <v>0</v>
          </cell>
          <cell r="AP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  <cell r="DX437">
            <v>0</v>
          </cell>
          <cell r="DY437" t="str">
            <v/>
          </cell>
          <cell r="DZ437" t="str">
            <v>pasiv</v>
          </cell>
          <cell r="EA437" t="e">
            <v>#DIV/0!</v>
          </cell>
        </row>
        <row r="438">
          <cell r="B438">
            <v>279954</v>
          </cell>
          <cell r="C438" t="str">
            <v>ბრინჯი-ქინგ რაჯა-ბაშმათი-2კგ-10ც+1ც</v>
          </cell>
          <cell r="D438" t="str">
            <v>TON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O438">
            <v>0</v>
          </cell>
          <cell r="P438">
            <v>0</v>
          </cell>
          <cell r="Q438">
            <v>0.11</v>
          </cell>
          <cell r="R438">
            <v>512.29999999999995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0.11</v>
          </cell>
          <cell r="Z438">
            <v>512.29999999999995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O438">
            <v>0</v>
          </cell>
          <cell r="AP438">
            <v>0</v>
          </cell>
          <cell r="AS438">
            <v>0</v>
          </cell>
          <cell r="AT438">
            <v>0</v>
          </cell>
          <cell r="AU438">
            <v>0.13200000000000001</v>
          </cell>
          <cell r="AV438">
            <v>621.29999999999995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2.1999999999999999E-2</v>
          </cell>
          <cell r="DH438">
            <v>109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2.1999999999999999E-2</v>
          </cell>
          <cell r="DN438">
            <v>109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0.13200000000000001</v>
          </cell>
          <cell r="DX438">
            <v>621.29999999999995</v>
          </cell>
          <cell r="DY438" t="str">
            <v/>
          </cell>
          <cell r="DZ438">
            <v>0</v>
          </cell>
          <cell r="EA438">
            <v>4706.8181818181811</v>
          </cell>
        </row>
        <row r="439">
          <cell r="B439">
            <v>279955</v>
          </cell>
          <cell r="C439" t="str">
            <v>ბრინჯი-ქინგ რაჯა-ბაშმათი-5კგ-10ც+1ც</v>
          </cell>
          <cell r="D439" t="str">
            <v>TON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O439">
            <v>0</v>
          </cell>
          <cell r="AP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 t="str">
            <v/>
          </cell>
          <cell r="DZ439" t="str">
            <v>pasiv</v>
          </cell>
          <cell r="EA439" t="e">
            <v>#DIV/0!</v>
          </cell>
        </row>
        <row r="440">
          <cell r="B440">
            <v>279956</v>
          </cell>
          <cell r="C440" t="str">
            <v>ბრინჯი-ჩვენი სუფრა-ბაშმათი-900გრ-10ც+1ც</v>
          </cell>
          <cell r="D440" t="str">
            <v>TON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9.9000000000000008E-3</v>
          </cell>
          <cell r="T440">
            <v>63.36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9.9000000000000008E-3</v>
          </cell>
          <cell r="Z440">
            <v>63.36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O440">
            <v>0</v>
          </cell>
          <cell r="AP440">
            <v>0</v>
          </cell>
          <cell r="AS440">
            <v>0</v>
          </cell>
          <cell r="AT440">
            <v>0</v>
          </cell>
          <cell r="AU440">
            <v>0.2475</v>
          </cell>
          <cell r="AV440">
            <v>1620.96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9.9000000000000008E-3</v>
          </cell>
          <cell r="BV440">
            <v>64.02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9.9000000000000008E-3</v>
          </cell>
          <cell r="CJ440">
            <v>64.02</v>
          </cell>
          <cell r="CK440">
            <v>9.9000000000000008E-3</v>
          </cell>
          <cell r="CL440">
            <v>64.02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0.22770000000000001</v>
          </cell>
          <cell r="CV440">
            <v>1493.58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6.93E-2</v>
          </cell>
          <cell r="DP440">
            <v>437.58</v>
          </cell>
          <cell r="DQ440">
            <v>0</v>
          </cell>
          <cell r="DR440">
            <v>0</v>
          </cell>
          <cell r="DS440">
            <v>0.15840000000000001</v>
          </cell>
          <cell r="DT440">
            <v>1056</v>
          </cell>
          <cell r="DU440">
            <v>0.22770000000000001</v>
          </cell>
          <cell r="DV440">
            <v>1493.58</v>
          </cell>
          <cell r="DW440">
            <v>0.2475</v>
          </cell>
          <cell r="DX440">
            <v>1620.9599999999998</v>
          </cell>
          <cell r="DY440" t="str">
            <v/>
          </cell>
          <cell r="DZ440">
            <v>0</v>
          </cell>
          <cell r="EA440">
            <v>6549.333333333333</v>
          </cell>
        </row>
        <row r="441">
          <cell r="B441">
            <v>321648</v>
          </cell>
          <cell r="C441" t="str">
            <v>ბრინჯი -სულთანი -ბაშმათი- 2კგ_10ც+1ც</v>
          </cell>
          <cell r="D441" t="str">
            <v>TON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O441">
            <v>0</v>
          </cell>
          <cell r="AP441">
            <v>0</v>
          </cell>
          <cell r="AS441">
            <v>0</v>
          </cell>
          <cell r="AT441">
            <v>0</v>
          </cell>
          <cell r="AU441">
            <v>2.1999999999999999E-2</v>
          </cell>
          <cell r="AV441">
            <v>129.6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2.1999999999999999E-2</v>
          </cell>
          <cell r="CV441">
            <v>129.6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2.1999999999999999E-2</v>
          </cell>
          <cell r="DR441">
            <v>129.6</v>
          </cell>
          <cell r="DS441">
            <v>0</v>
          </cell>
          <cell r="DT441">
            <v>0</v>
          </cell>
          <cell r="DU441">
            <v>2.1999999999999999E-2</v>
          </cell>
          <cell r="DV441">
            <v>129.6</v>
          </cell>
          <cell r="DW441">
            <v>2.1999999999999999E-2</v>
          </cell>
          <cell r="DX441">
            <v>129.6</v>
          </cell>
          <cell r="DY441" t="str">
            <v/>
          </cell>
          <cell r="DZ441">
            <v>0</v>
          </cell>
          <cell r="EA441">
            <v>5890.909090909091</v>
          </cell>
        </row>
        <row r="442">
          <cell r="B442">
            <v>346538</v>
          </cell>
          <cell r="C442" t="str">
            <v>ბრინჯი_სულთან ბასმათი 1121_5კგ_10ც+1ც</v>
          </cell>
          <cell r="D442" t="str">
            <v>TON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5.5E-2</v>
          </cell>
          <cell r="T442">
            <v>331.74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5.5E-2</v>
          </cell>
          <cell r="Z442">
            <v>331.74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O442">
            <v>0</v>
          </cell>
          <cell r="AP442">
            <v>0</v>
          </cell>
          <cell r="AS442">
            <v>0</v>
          </cell>
          <cell r="AT442">
            <v>0</v>
          </cell>
          <cell r="AU442">
            <v>5.5E-2</v>
          </cell>
          <cell r="AV442">
            <v>331.74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5.5E-2</v>
          </cell>
          <cell r="DX442">
            <v>331.74</v>
          </cell>
          <cell r="DY442" t="str">
            <v/>
          </cell>
          <cell r="DZ442">
            <v>0</v>
          </cell>
          <cell r="EA442">
            <v>6031.636363636364</v>
          </cell>
        </row>
        <row r="443">
          <cell r="B443">
            <v>321649</v>
          </cell>
          <cell r="C443" t="str">
            <v>ბრინჯი -სულთანი -ბაშმათი- 5კგ_10ც+1ც</v>
          </cell>
          <cell r="D443" t="str">
            <v>TON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O443">
            <v>0</v>
          </cell>
          <cell r="AP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 t="str">
            <v/>
          </cell>
          <cell r="DZ443" t="str">
            <v>pasiv</v>
          </cell>
          <cell r="EA443" t="e">
            <v>#DIV/0!</v>
          </cell>
        </row>
        <row r="444">
          <cell r="B444">
            <v>279957</v>
          </cell>
          <cell r="C444" t="str">
            <v>ბრინჯი-სულთანი-0.9კგ-10ც+1ც</v>
          </cell>
          <cell r="D444" t="str">
            <v>TON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9.9000000000000008E-3</v>
          </cell>
          <cell r="AL444">
            <v>75</v>
          </cell>
          <cell r="AO444">
            <v>9.9000000000000008E-3</v>
          </cell>
          <cell r="AP444">
            <v>75</v>
          </cell>
          <cell r="AS444">
            <v>0</v>
          </cell>
          <cell r="AT444">
            <v>0</v>
          </cell>
          <cell r="AU444">
            <v>2.9700000000000001E-2</v>
          </cell>
          <cell r="AV444">
            <v>218.25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9.9000000000000008E-3</v>
          </cell>
          <cell r="BD444">
            <v>72.75</v>
          </cell>
          <cell r="BE444">
            <v>9.9000000000000008E-3</v>
          </cell>
          <cell r="BF444">
            <v>72.75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9.9000000000000008E-3</v>
          </cell>
          <cell r="CV444">
            <v>70.5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9.9000000000000008E-3</v>
          </cell>
          <cell r="DP444">
            <v>70.5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9.9000000000000008E-3</v>
          </cell>
          <cell r="DV444">
            <v>70.5</v>
          </cell>
          <cell r="DW444">
            <v>2.9700000000000004E-2</v>
          </cell>
          <cell r="DX444">
            <v>218.25</v>
          </cell>
          <cell r="DY444" t="str">
            <v/>
          </cell>
          <cell r="DZ444">
            <v>0</v>
          </cell>
          <cell r="EA444">
            <v>7348.4848484848471</v>
          </cell>
        </row>
        <row r="445">
          <cell r="B445">
            <v>280040</v>
          </cell>
          <cell r="C445" t="str">
            <v>ბრინჯი-სულთანი-1.4კგ-10ც+1ც</v>
          </cell>
          <cell r="D445" t="str">
            <v>TON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3.0800000000000001E-2</v>
          </cell>
          <cell r="AL445">
            <v>229.51</v>
          </cell>
          <cell r="AO445">
            <v>3.0800000000000001E-2</v>
          </cell>
          <cell r="AP445">
            <v>229.51</v>
          </cell>
          <cell r="AS445">
            <v>0</v>
          </cell>
          <cell r="AT445">
            <v>0</v>
          </cell>
          <cell r="AU445">
            <v>3.0800000000000001E-2</v>
          </cell>
          <cell r="AV445">
            <v>229.51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3.0800000000000001E-2</v>
          </cell>
          <cell r="DX445">
            <v>229.51</v>
          </cell>
          <cell r="DY445" t="str">
            <v/>
          </cell>
          <cell r="DZ445">
            <v>0</v>
          </cell>
          <cell r="EA445">
            <v>7451.6233766233763</v>
          </cell>
        </row>
        <row r="446">
          <cell r="B446">
            <v>346463</v>
          </cell>
          <cell r="C446" t="str">
            <v>ბრინჯი_სულთან ბასმათი 1121_1კგ_10ც+1ც</v>
          </cell>
          <cell r="D446" t="str">
            <v>TON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O446">
            <v>0</v>
          </cell>
          <cell r="P446">
            <v>0</v>
          </cell>
          <cell r="Q446">
            <v>4.3999999999999997E-2</v>
          </cell>
          <cell r="R446">
            <v>280.32</v>
          </cell>
          <cell r="S446">
            <v>2.1999999999999999E-2</v>
          </cell>
          <cell r="T446">
            <v>141.62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6.6000000000000003E-2</v>
          </cell>
          <cell r="Z446">
            <v>421.94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O446">
            <v>0</v>
          </cell>
          <cell r="AP446">
            <v>0</v>
          </cell>
          <cell r="AS446">
            <v>0</v>
          </cell>
          <cell r="AT446">
            <v>0</v>
          </cell>
          <cell r="AU446">
            <v>0.14299999999999999</v>
          </cell>
          <cell r="AV446">
            <v>919.8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2.1999999999999999E-2</v>
          </cell>
          <cell r="BD446">
            <v>141.62</v>
          </cell>
          <cell r="BE446">
            <v>2.1999999999999999E-2</v>
          </cell>
          <cell r="BF446">
            <v>141.62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1.0999999999999999E-2</v>
          </cell>
          <cell r="CV446">
            <v>68.62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4.3999999999999997E-2</v>
          </cell>
          <cell r="DJ446">
            <v>287.62</v>
          </cell>
          <cell r="DK446">
            <v>0</v>
          </cell>
          <cell r="DL446">
            <v>0</v>
          </cell>
          <cell r="DM446">
            <v>4.3999999999999997E-2</v>
          </cell>
          <cell r="DN446">
            <v>287.62</v>
          </cell>
          <cell r="DO446">
            <v>1.0999999999999999E-2</v>
          </cell>
          <cell r="DP446">
            <v>68.62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1.0999999999999999E-2</v>
          </cell>
          <cell r="DV446">
            <v>68.62</v>
          </cell>
          <cell r="DW446">
            <v>0.14299999999999999</v>
          </cell>
          <cell r="DX446">
            <v>919.8</v>
          </cell>
          <cell r="DY446" t="str">
            <v/>
          </cell>
          <cell r="DZ446">
            <v>0</v>
          </cell>
          <cell r="EA446">
            <v>6432.1678321678328</v>
          </cell>
        </row>
        <row r="447">
          <cell r="B447">
            <v>280041</v>
          </cell>
          <cell r="C447" t="str">
            <v>ბრინჯი-სულთანი-1.9კგ-10ც+1ც</v>
          </cell>
          <cell r="D447" t="str">
            <v>TON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O447">
            <v>0</v>
          </cell>
          <cell r="AP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 t="str">
            <v/>
          </cell>
          <cell r="DZ447" t="str">
            <v>pasiv</v>
          </cell>
          <cell r="EA447" t="e">
            <v>#DIV/0!</v>
          </cell>
        </row>
        <row r="448">
          <cell r="B448">
            <v>280042</v>
          </cell>
          <cell r="C448" t="str">
            <v>ბრინჯი-სულთანი-2.36კგ-10ც+1ც</v>
          </cell>
          <cell r="D448" t="str">
            <v>TON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O448">
            <v>0</v>
          </cell>
          <cell r="AP448">
            <v>0</v>
          </cell>
          <cell r="AS448">
            <v>0</v>
          </cell>
          <cell r="AT448">
            <v>0</v>
          </cell>
          <cell r="AU448">
            <v>2.596E-2</v>
          </cell>
          <cell r="AV448">
            <v>190.12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2.596E-2</v>
          </cell>
          <cell r="BD448">
            <v>190.12</v>
          </cell>
          <cell r="BE448">
            <v>2.596E-2</v>
          </cell>
          <cell r="BF448">
            <v>190.12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2.596E-2</v>
          </cell>
          <cell r="DX448">
            <v>190.12</v>
          </cell>
          <cell r="DY448" t="str">
            <v/>
          </cell>
          <cell r="DZ448">
            <v>0</v>
          </cell>
          <cell r="EA448">
            <v>7323.5747303543912</v>
          </cell>
        </row>
        <row r="449">
          <cell r="B449">
            <v>280043</v>
          </cell>
          <cell r="C449" t="str">
            <v>ბრინჯი-სულთანი-3.84კგ-10ც+1ც</v>
          </cell>
          <cell r="D449" t="str">
            <v>TON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O449">
            <v>0</v>
          </cell>
          <cell r="AP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 t="str">
            <v/>
          </cell>
          <cell r="DZ449" t="str">
            <v>pasiv</v>
          </cell>
          <cell r="EA449" t="e">
            <v>#DIV/0!</v>
          </cell>
        </row>
        <row r="450">
          <cell r="B450">
            <v>279114</v>
          </cell>
          <cell r="C450" t="str">
            <v>ბრინჯი-ჩვენი სუფრა-ბაშმათი-900გრ*10</v>
          </cell>
          <cell r="D450" t="str">
            <v>TON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O450">
            <v>0</v>
          </cell>
          <cell r="AP450">
            <v>0</v>
          </cell>
          <cell r="AS450">
            <v>0</v>
          </cell>
          <cell r="AT450">
            <v>0</v>
          </cell>
          <cell r="AU450">
            <v>0.31590000000000001</v>
          </cell>
          <cell r="AV450">
            <v>2347.11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5.3999999999999999E-2</v>
          </cell>
          <cell r="BJ450">
            <v>382.52</v>
          </cell>
          <cell r="BK450">
            <v>2.1600000000000001E-2</v>
          </cell>
          <cell r="BL450">
            <v>166.32</v>
          </cell>
          <cell r="BM450">
            <v>1.44E-2</v>
          </cell>
          <cell r="BN450">
            <v>104.94</v>
          </cell>
          <cell r="BO450">
            <v>2.7000000000000001E-3</v>
          </cell>
          <cell r="BP450">
            <v>20.79</v>
          </cell>
          <cell r="BQ450">
            <v>0</v>
          </cell>
          <cell r="BR450">
            <v>0</v>
          </cell>
          <cell r="BS450">
            <v>9.2700000000000005E-2</v>
          </cell>
          <cell r="BT450">
            <v>674.57</v>
          </cell>
          <cell r="BU450">
            <v>2.7000000000000001E-3</v>
          </cell>
          <cell r="BV450">
            <v>19.21</v>
          </cell>
          <cell r="BW450">
            <v>3.0599999999999999E-2</v>
          </cell>
          <cell r="BX450">
            <v>220.24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2.7E-2</v>
          </cell>
          <cell r="CD450">
            <v>207.9</v>
          </cell>
          <cell r="CE450">
            <v>2.7900000000000001E-2</v>
          </cell>
          <cell r="CF450">
            <v>217.3</v>
          </cell>
          <cell r="CG450">
            <v>0</v>
          </cell>
          <cell r="CH450">
            <v>0</v>
          </cell>
          <cell r="CI450">
            <v>8.8200000000000001E-2</v>
          </cell>
          <cell r="CJ450">
            <v>664.65</v>
          </cell>
          <cell r="CK450">
            <v>0.18090000000000001</v>
          </cell>
          <cell r="CL450">
            <v>1339.22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0.108</v>
          </cell>
          <cell r="CZ450">
            <v>814</v>
          </cell>
          <cell r="DA450">
            <v>0</v>
          </cell>
          <cell r="DB450">
            <v>0</v>
          </cell>
          <cell r="DC450">
            <v>1.7999999999999999E-2</v>
          </cell>
          <cell r="DD450">
            <v>130.19</v>
          </cell>
          <cell r="DE450">
            <v>0.126</v>
          </cell>
          <cell r="DF450">
            <v>944.19</v>
          </cell>
          <cell r="DG450">
            <v>8.9999999999999993E-3</v>
          </cell>
          <cell r="DH450">
            <v>63.7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8.9999999999999993E-3</v>
          </cell>
          <cell r="DN450">
            <v>63.7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0.31590000000000001</v>
          </cell>
          <cell r="DX450">
            <v>2347.11</v>
          </cell>
          <cell r="DY450" t="str">
            <v/>
          </cell>
          <cell r="DZ450">
            <v>0</v>
          </cell>
          <cell r="EA450">
            <v>7429.9145299145302</v>
          </cell>
        </row>
        <row r="451">
          <cell r="B451">
            <v>375436</v>
          </cell>
          <cell r="C451" t="str">
            <v>ბრინჯი-ქინგ რაჯა-ბაშმათი-1კგ*20</v>
          </cell>
          <cell r="D451" t="str">
            <v>TON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O451">
            <v>0</v>
          </cell>
          <cell r="AP451">
            <v>0</v>
          </cell>
          <cell r="AS451">
            <v>0</v>
          </cell>
          <cell r="AT451">
            <v>0</v>
          </cell>
          <cell r="AU451">
            <v>0.20399999999999999</v>
          </cell>
          <cell r="AV451">
            <v>1221.0899999999999</v>
          </cell>
          <cell r="AW451">
            <v>0</v>
          </cell>
          <cell r="AX451">
            <v>0</v>
          </cell>
          <cell r="AY451">
            <v>0.02</v>
          </cell>
          <cell r="AZ451">
            <v>119.8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0.02</v>
          </cell>
          <cell r="BF451">
            <v>119.8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3.0000000000000001E-3</v>
          </cell>
          <cell r="CD451">
            <v>17.100000000000001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3.0000000000000001E-3</v>
          </cell>
          <cell r="CJ451">
            <v>17.100000000000001</v>
          </cell>
          <cell r="CK451">
            <v>3.0000000000000001E-3</v>
          </cell>
          <cell r="CL451">
            <v>17.100000000000001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0.14000000000000001</v>
          </cell>
          <cell r="CZ451">
            <v>838.6</v>
          </cell>
          <cell r="DA451">
            <v>3.3000000000000002E-2</v>
          </cell>
          <cell r="DB451">
            <v>197.67</v>
          </cell>
          <cell r="DC451">
            <v>8.0000000000000002E-3</v>
          </cell>
          <cell r="DD451">
            <v>47.92</v>
          </cell>
          <cell r="DE451">
            <v>0.18100000000000002</v>
          </cell>
          <cell r="DF451">
            <v>1084.19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0.20400000000000001</v>
          </cell>
          <cell r="DX451">
            <v>1221.0899999999999</v>
          </cell>
          <cell r="DY451" t="str">
            <v/>
          </cell>
          <cell r="DZ451">
            <v>0</v>
          </cell>
          <cell r="EA451">
            <v>5985.7352941176459</v>
          </cell>
        </row>
        <row r="452">
          <cell r="B452">
            <v>376009</v>
          </cell>
          <cell r="C452" t="str">
            <v>ბრინჯი-ქინგ რაჯა-ბაშმათი-1კგ_10ც+1ც</v>
          </cell>
          <cell r="D452" t="str">
            <v>TON</v>
          </cell>
          <cell r="E452">
            <v>2.1999999999999999E-2</v>
          </cell>
          <cell r="F452">
            <v>109.44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O452">
            <v>2.1999999999999999E-2</v>
          </cell>
          <cell r="P452">
            <v>109.44</v>
          </cell>
          <cell r="Q452">
            <v>0</v>
          </cell>
          <cell r="R452">
            <v>0</v>
          </cell>
          <cell r="S452">
            <v>2.1999999999999999E-2</v>
          </cell>
          <cell r="T452">
            <v>110.01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2.1999999999999999E-2</v>
          </cell>
          <cell r="Z452">
            <v>110.01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O452">
            <v>0</v>
          </cell>
          <cell r="AP452">
            <v>0</v>
          </cell>
          <cell r="AS452">
            <v>0</v>
          </cell>
          <cell r="AT452">
            <v>0</v>
          </cell>
          <cell r="AU452">
            <v>4.3999999999999997E-2</v>
          </cell>
          <cell r="AV452">
            <v>219.45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4.3999999999999997E-2</v>
          </cell>
          <cell r="DX452">
            <v>219.45</v>
          </cell>
          <cell r="DY452" t="str">
            <v/>
          </cell>
          <cell r="DZ452">
            <v>0</v>
          </cell>
          <cell r="EA452">
            <v>4987.5</v>
          </cell>
        </row>
        <row r="453">
          <cell r="B453">
            <v>377310</v>
          </cell>
          <cell r="C453" t="str">
            <v>ბრინჯი-რიჩმონდი ბასმატი-0.8კგ*12</v>
          </cell>
          <cell r="D453" t="str">
            <v>TON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4.7999999999999996E-3</v>
          </cell>
          <cell r="AL453">
            <v>37.200000000000003</v>
          </cell>
          <cell r="AO453">
            <v>4.7999999999999996E-3</v>
          </cell>
          <cell r="AP453">
            <v>37.200000000000003</v>
          </cell>
          <cell r="AS453">
            <v>0</v>
          </cell>
          <cell r="AT453">
            <v>0</v>
          </cell>
          <cell r="AU453">
            <v>4.7999999999999996E-3</v>
          </cell>
          <cell r="AV453">
            <v>37.200000000000003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4.7999999999999996E-3</v>
          </cell>
          <cell r="DX453">
            <v>37.200000000000003</v>
          </cell>
          <cell r="DY453" t="str">
            <v/>
          </cell>
          <cell r="DZ453">
            <v>0</v>
          </cell>
          <cell r="EA453">
            <v>7750.0000000000009</v>
          </cell>
        </row>
        <row r="454">
          <cell r="B454">
            <v>377429</v>
          </cell>
          <cell r="C454" t="str">
            <v>ბრინჯი-რიჩმონდი ბასმატი-0.8კგ_11ც+1ც</v>
          </cell>
          <cell r="D454" t="str">
            <v>TON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O454">
            <v>0</v>
          </cell>
          <cell r="AP454">
            <v>0</v>
          </cell>
          <cell r="AS454">
            <v>0</v>
          </cell>
          <cell r="AT454">
            <v>0</v>
          </cell>
          <cell r="AU454">
            <v>3.8399999999999997E-2</v>
          </cell>
          <cell r="AV454">
            <v>253.1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9.5999999999999992E-3</v>
          </cell>
          <cell r="BD454">
            <v>62.95</v>
          </cell>
          <cell r="BE454">
            <v>9.5999999999999992E-3</v>
          </cell>
          <cell r="BF454">
            <v>62.95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2.8799999999999999E-2</v>
          </cell>
          <cell r="CV454">
            <v>190.15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1.9199999999999998E-2</v>
          </cell>
          <cell r="DP454">
            <v>125.25</v>
          </cell>
          <cell r="DQ454">
            <v>0</v>
          </cell>
          <cell r="DR454">
            <v>0</v>
          </cell>
          <cell r="DS454">
            <v>9.5999999999999992E-3</v>
          </cell>
          <cell r="DT454">
            <v>64.900000000000006</v>
          </cell>
          <cell r="DU454">
            <v>2.8799999999999999E-2</v>
          </cell>
          <cell r="DV454">
            <v>190.15</v>
          </cell>
          <cell r="DW454">
            <v>3.8399999999999997E-2</v>
          </cell>
          <cell r="DX454">
            <v>253.10000000000002</v>
          </cell>
          <cell r="DY454" t="str">
            <v/>
          </cell>
          <cell r="DZ454">
            <v>0</v>
          </cell>
          <cell r="EA454">
            <v>6591.1458333333348</v>
          </cell>
        </row>
        <row r="455">
          <cell r="B455">
            <v>194653</v>
          </cell>
          <cell r="C455" t="str">
            <v xml:space="preserve">SULTAN B.DUYU_0.9KQ </v>
          </cell>
          <cell r="D455" t="str">
            <v>TON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8.9999999999999998E-4</v>
          </cell>
          <cell r="AF455">
            <v>7.05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4.4999999999999997E-3</v>
          </cell>
          <cell r="AL455">
            <v>39.4</v>
          </cell>
          <cell r="AO455">
            <v>5.3999999999999994E-3</v>
          </cell>
          <cell r="AP455">
            <v>46.449999999999996</v>
          </cell>
          <cell r="AS455">
            <v>0</v>
          </cell>
          <cell r="AT455">
            <v>0</v>
          </cell>
          <cell r="AU455">
            <v>0.18540000000000001</v>
          </cell>
          <cell r="AV455">
            <v>1626.62</v>
          </cell>
          <cell r="AW455">
            <v>0</v>
          </cell>
          <cell r="AX455">
            <v>0</v>
          </cell>
          <cell r="AY455">
            <v>1.89E-2</v>
          </cell>
          <cell r="AZ455">
            <v>164.34</v>
          </cell>
          <cell r="BA455">
            <v>0</v>
          </cell>
          <cell r="BB455">
            <v>0</v>
          </cell>
          <cell r="BC455">
            <v>2.7000000000000001E-3</v>
          </cell>
          <cell r="BD455">
            <v>22.5</v>
          </cell>
          <cell r="BE455">
            <v>2.1600000000000001E-2</v>
          </cell>
          <cell r="BF455">
            <v>186.84</v>
          </cell>
          <cell r="BG455">
            <v>0</v>
          </cell>
          <cell r="BH455">
            <v>0</v>
          </cell>
          <cell r="BI455">
            <v>1.0800000000000001E-2</v>
          </cell>
          <cell r="BJ455">
            <v>94.56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1.0800000000000001E-2</v>
          </cell>
          <cell r="BT455">
            <v>94.56</v>
          </cell>
          <cell r="BU455">
            <v>1.8E-3</v>
          </cell>
          <cell r="BV455">
            <v>15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1.7999999999999999E-2</v>
          </cell>
          <cell r="CB455">
            <v>157.6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1.9800000000000002E-2</v>
          </cell>
          <cell r="CJ455">
            <v>172.6</v>
          </cell>
          <cell r="CK455">
            <v>3.0600000000000002E-2</v>
          </cell>
          <cell r="CL455">
            <v>267.15999999999997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9.7199999999999995E-2</v>
          </cell>
          <cell r="CZ455">
            <v>851.04</v>
          </cell>
          <cell r="DA455">
            <v>1.6199999999999999E-2</v>
          </cell>
          <cell r="DB455">
            <v>141.84</v>
          </cell>
          <cell r="DC455">
            <v>1.44E-2</v>
          </cell>
          <cell r="DD455">
            <v>133.29</v>
          </cell>
          <cell r="DE455">
            <v>0.1278</v>
          </cell>
          <cell r="DF455">
            <v>1126.17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0.18539999999999998</v>
          </cell>
          <cell r="DX455">
            <v>1626.62</v>
          </cell>
          <cell r="DY455" t="str">
            <v/>
          </cell>
          <cell r="DZ455">
            <v>0</v>
          </cell>
          <cell r="EA455">
            <v>8773.5706580366787</v>
          </cell>
        </row>
        <row r="456">
          <cell r="B456">
            <v>194661</v>
          </cell>
          <cell r="C456" t="str">
            <v xml:space="preserve">SULTAN B.DUYU_2.36KQ </v>
          </cell>
          <cell r="D456" t="str">
            <v>TON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7.0800000000000004E-3</v>
          </cell>
          <cell r="AL456">
            <v>61.74</v>
          </cell>
          <cell r="AO456">
            <v>7.0800000000000004E-3</v>
          </cell>
          <cell r="AP456">
            <v>61.74</v>
          </cell>
          <cell r="AS456">
            <v>0</v>
          </cell>
          <cell r="AT456">
            <v>0</v>
          </cell>
          <cell r="AU456">
            <v>0.12508</v>
          </cell>
          <cell r="AV456">
            <v>1099.06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0.11328000000000001</v>
          </cell>
          <cell r="CZ456">
            <v>996.16</v>
          </cell>
          <cell r="DA456">
            <v>4.7200000000000002E-3</v>
          </cell>
          <cell r="DB456">
            <v>41.16</v>
          </cell>
          <cell r="DC456">
            <v>0</v>
          </cell>
          <cell r="DD456">
            <v>0</v>
          </cell>
          <cell r="DE456">
            <v>0.11800000000000001</v>
          </cell>
          <cell r="DF456">
            <v>1037.32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0.12508</v>
          </cell>
          <cell r="DX456">
            <v>1099.06</v>
          </cell>
          <cell r="DY456" t="str">
            <v/>
          </cell>
          <cell r="DZ456">
            <v>0</v>
          </cell>
          <cell r="EA456">
            <v>8786.8564118963859</v>
          </cell>
        </row>
        <row r="457">
          <cell r="B457">
            <v>194903</v>
          </cell>
          <cell r="C457" t="str">
            <v>SULTAN B.DUYU_1.4KQ</v>
          </cell>
          <cell r="D457" t="str">
            <v>TON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4.1999999999999997E-3</v>
          </cell>
          <cell r="AD457">
            <v>36.69</v>
          </cell>
          <cell r="AE457">
            <v>0</v>
          </cell>
          <cell r="AF457">
            <v>0</v>
          </cell>
          <cell r="AG457">
            <v>4.1999999999999997E-3</v>
          </cell>
          <cell r="AH457">
            <v>36.69</v>
          </cell>
          <cell r="AI457">
            <v>1.6799999999999999E-2</v>
          </cell>
          <cell r="AJ457">
            <v>146.76</v>
          </cell>
          <cell r="AK457">
            <v>0</v>
          </cell>
          <cell r="AL457">
            <v>0</v>
          </cell>
          <cell r="AO457">
            <v>2.52E-2</v>
          </cell>
          <cell r="AP457">
            <v>220.14</v>
          </cell>
          <cell r="AS457">
            <v>0</v>
          </cell>
          <cell r="AT457">
            <v>0</v>
          </cell>
          <cell r="AU457">
            <v>0.14000000000000001</v>
          </cell>
          <cell r="AV457">
            <v>1216.8399999999999</v>
          </cell>
          <cell r="AW457">
            <v>0</v>
          </cell>
          <cell r="AX457">
            <v>0</v>
          </cell>
          <cell r="AY457">
            <v>4.1999999999999997E-3</v>
          </cell>
          <cell r="AZ457">
            <v>34.950000000000003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4.1999999999999997E-3</v>
          </cell>
          <cell r="BF457">
            <v>34.950000000000003</v>
          </cell>
          <cell r="BG457">
            <v>1.4E-3</v>
          </cell>
          <cell r="BH457">
            <v>11.65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1.6799999999999999E-2</v>
          </cell>
          <cell r="BN457">
            <v>146.76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1.8200000000000001E-2</v>
          </cell>
          <cell r="BT457">
            <v>158.41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2.8E-3</v>
          </cell>
          <cell r="BZ457">
            <v>21.9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1.8200000000000001E-2</v>
          </cell>
          <cell r="CF457">
            <v>157.71</v>
          </cell>
          <cell r="CG457">
            <v>0</v>
          </cell>
          <cell r="CH457">
            <v>0</v>
          </cell>
          <cell r="CI457">
            <v>2.1000000000000001E-2</v>
          </cell>
          <cell r="CJ457">
            <v>179.61</v>
          </cell>
          <cell r="CK457">
            <v>3.9199999999999999E-2</v>
          </cell>
          <cell r="CL457">
            <v>338.02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2.9399999999999999E-2</v>
          </cell>
          <cell r="CV457">
            <v>256.83</v>
          </cell>
          <cell r="CW457">
            <v>0</v>
          </cell>
          <cell r="CX457">
            <v>0</v>
          </cell>
          <cell r="CY457">
            <v>1.6799999999999999E-2</v>
          </cell>
          <cell r="CZ457">
            <v>146.76</v>
          </cell>
          <cell r="DA457">
            <v>0</v>
          </cell>
          <cell r="DB457">
            <v>0</v>
          </cell>
          <cell r="DC457">
            <v>2.8E-3</v>
          </cell>
          <cell r="DD457">
            <v>24.46</v>
          </cell>
          <cell r="DE457">
            <v>1.9599999999999999E-2</v>
          </cell>
          <cell r="DF457">
            <v>171.22</v>
          </cell>
          <cell r="DG457">
            <v>1.26E-2</v>
          </cell>
          <cell r="DH457">
            <v>110.07</v>
          </cell>
          <cell r="DI457">
            <v>1.4E-3</v>
          </cell>
          <cell r="DJ457">
            <v>12.23</v>
          </cell>
          <cell r="DK457">
            <v>8.3999999999999995E-3</v>
          </cell>
          <cell r="DL457">
            <v>73.38</v>
          </cell>
          <cell r="DM457">
            <v>2.24E-2</v>
          </cell>
          <cell r="DN457">
            <v>195.68</v>
          </cell>
          <cell r="DO457">
            <v>0</v>
          </cell>
          <cell r="DP457">
            <v>0</v>
          </cell>
          <cell r="DQ457">
            <v>8.3999999999999995E-3</v>
          </cell>
          <cell r="DR457">
            <v>73.38</v>
          </cell>
          <cell r="DS457">
            <v>2.1000000000000001E-2</v>
          </cell>
          <cell r="DT457">
            <v>183.45</v>
          </cell>
          <cell r="DU457">
            <v>2.9399999999999999E-2</v>
          </cell>
          <cell r="DV457">
            <v>256.83</v>
          </cell>
          <cell r="DW457">
            <v>0.13999999999999999</v>
          </cell>
          <cell r="DX457">
            <v>1216.8400000000001</v>
          </cell>
          <cell r="DY457" t="str">
            <v/>
          </cell>
          <cell r="DZ457">
            <v>0</v>
          </cell>
          <cell r="EA457">
            <v>8691.7142857142881</v>
          </cell>
        </row>
        <row r="458">
          <cell r="B458">
            <v>194904</v>
          </cell>
          <cell r="C458" t="str">
            <v>SULTAN B.DUYU_1.9KQ</v>
          </cell>
          <cell r="D458" t="str">
            <v>TON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O458">
            <v>0</v>
          </cell>
          <cell r="AP458">
            <v>0</v>
          </cell>
          <cell r="AS458">
            <v>0</v>
          </cell>
          <cell r="AT458">
            <v>0</v>
          </cell>
          <cell r="AU458">
            <v>3.2300000000000002E-2</v>
          </cell>
          <cell r="AV458">
            <v>280.25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1.14E-2</v>
          </cell>
          <cell r="CZ458">
            <v>101.7</v>
          </cell>
          <cell r="DA458">
            <v>5.7000000000000002E-3</v>
          </cell>
          <cell r="DB458">
            <v>49.77</v>
          </cell>
          <cell r="DC458">
            <v>1.52E-2</v>
          </cell>
          <cell r="DD458">
            <v>128.78</v>
          </cell>
          <cell r="DE458">
            <v>3.2300000000000002E-2</v>
          </cell>
          <cell r="DF458">
            <v>280.25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3.2300000000000002E-2</v>
          </cell>
          <cell r="DX458">
            <v>280.25</v>
          </cell>
          <cell r="DY458" t="str">
            <v/>
          </cell>
          <cell r="DZ458">
            <v>0</v>
          </cell>
          <cell r="EA458">
            <v>8676.4705882352937</v>
          </cell>
        </row>
        <row r="459">
          <cell r="B459">
            <v>127243</v>
          </cell>
          <cell r="C459" t="str">
            <v>ბრინჯი -სულთანი -ბაშმათი- 5კგ*8</v>
          </cell>
          <cell r="D459" t="str">
            <v>TON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O459">
            <v>0</v>
          </cell>
          <cell r="AP459">
            <v>0</v>
          </cell>
          <cell r="AS459">
            <v>0</v>
          </cell>
          <cell r="AT459">
            <v>0</v>
          </cell>
          <cell r="AU459">
            <v>0.02</v>
          </cell>
          <cell r="AV459">
            <v>131.04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0.02</v>
          </cell>
          <cell r="BN459">
            <v>131.04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0.02</v>
          </cell>
          <cell r="BT459">
            <v>131.04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0.02</v>
          </cell>
          <cell r="CL459">
            <v>131.04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0.02</v>
          </cell>
          <cell r="DX459">
            <v>131.04</v>
          </cell>
          <cell r="DY459" t="str">
            <v/>
          </cell>
          <cell r="DZ459">
            <v>0</v>
          </cell>
          <cell r="EA459">
            <v>6551.9999999999991</v>
          </cell>
        </row>
        <row r="460">
          <cell r="B460">
            <v>69328</v>
          </cell>
          <cell r="C460" t="str">
            <v>ბრინჯი -სულთანი -ბაშმათი- 2კგ*20</v>
          </cell>
          <cell r="D460" t="str">
            <v>TON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O460">
            <v>0</v>
          </cell>
          <cell r="AP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  <cell r="DX460">
            <v>0</v>
          </cell>
          <cell r="DY460" t="str">
            <v/>
          </cell>
          <cell r="DZ460" t="str">
            <v>pasiv</v>
          </cell>
          <cell r="EA460" t="e">
            <v>#DIV/0!</v>
          </cell>
        </row>
        <row r="461">
          <cell r="B461">
            <v>194905</v>
          </cell>
          <cell r="C461" t="str">
            <v>SULTAN B.DUYU_3.48KQ</v>
          </cell>
          <cell r="D461" t="str">
            <v>TON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O461">
            <v>0</v>
          </cell>
          <cell r="AP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  <cell r="DL461">
            <v>0</v>
          </cell>
          <cell r="DM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  <cell r="DX461">
            <v>0</v>
          </cell>
          <cell r="DY461" t="str">
            <v/>
          </cell>
          <cell r="DZ461" t="str">
            <v>pasiv</v>
          </cell>
          <cell r="EA461" t="e">
            <v>#DIV/0!</v>
          </cell>
        </row>
        <row r="462">
          <cell r="B462">
            <v>197339</v>
          </cell>
          <cell r="C462" t="str">
            <v>KING RAJA B.DUYU_2KQ*10_GRC</v>
          </cell>
          <cell r="D462" t="str">
            <v>TON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O462">
            <v>0</v>
          </cell>
          <cell r="P462">
            <v>0</v>
          </cell>
          <cell r="Q462">
            <v>0.04</v>
          </cell>
          <cell r="R462">
            <v>209.28</v>
          </cell>
          <cell r="S462">
            <v>0.01</v>
          </cell>
          <cell r="T462">
            <v>52.32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0.05</v>
          </cell>
          <cell r="Z462">
            <v>261.60000000000002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O462">
            <v>0</v>
          </cell>
          <cell r="AP462">
            <v>0</v>
          </cell>
          <cell r="AS462">
            <v>0</v>
          </cell>
          <cell r="AT462">
            <v>0</v>
          </cell>
          <cell r="AU462">
            <v>0.52200000000000002</v>
          </cell>
          <cell r="AV462">
            <v>3018.51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1.2E-2</v>
          </cell>
          <cell r="CF462">
            <v>68.7</v>
          </cell>
          <cell r="CG462">
            <v>0</v>
          </cell>
          <cell r="CH462">
            <v>0</v>
          </cell>
          <cell r="CI462">
            <v>1.2E-2</v>
          </cell>
          <cell r="CJ462">
            <v>68.7</v>
          </cell>
          <cell r="CK462">
            <v>1.2E-2</v>
          </cell>
          <cell r="CL462">
            <v>68.7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0.4</v>
          </cell>
          <cell r="CZ462">
            <v>2339</v>
          </cell>
          <cell r="DA462">
            <v>3.2000000000000001E-2</v>
          </cell>
          <cell r="DB462">
            <v>183.2</v>
          </cell>
          <cell r="DC462">
            <v>2.8000000000000001E-2</v>
          </cell>
          <cell r="DD462">
            <v>166.01</v>
          </cell>
          <cell r="DE462">
            <v>0.46000000000000008</v>
          </cell>
          <cell r="DF462">
            <v>2688.21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0.52200000000000013</v>
          </cell>
          <cell r="DX462">
            <v>3018.5099999999998</v>
          </cell>
          <cell r="DY462" t="str">
            <v/>
          </cell>
          <cell r="DZ462">
            <v>0</v>
          </cell>
          <cell r="EA462">
            <v>5782.5862068965498</v>
          </cell>
        </row>
        <row r="463">
          <cell r="B463">
            <v>197340</v>
          </cell>
          <cell r="C463" t="str">
            <v>KINQ RAJA BASMATI DUYU_5KQ*4_GRC</v>
          </cell>
          <cell r="D463" t="str">
            <v>TON</v>
          </cell>
          <cell r="E463">
            <v>0.02</v>
          </cell>
          <cell r="F463">
            <v>100</v>
          </cell>
          <cell r="G463">
            <v>0.70499999999999996</v>
          </cell>
          <cell r="H463">
            <v>3475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O463">
            <v>0.72499999999999998</v>
          </cell>
          <cell r="P463">
            <v>3575</v>
          </cell>
          <cell r="Q463">
            <v>0</v>
          </cell>
          <cell r="R463">
            <v>0</v>
          </cell>
          <cell r="S463">
            <v>3.5000000000000003E-2</v>
          </cell>
          <cell r="T463">
            <v>169.5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3.5000000000000003E-2</v>
          </cell>
          <cell r="Z463">
            <v>169.5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5.0000000000000001E-3</v>
          </cell>
          <cell r="AF463">
            <v>23.5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O463">
            <v>5.0000000000000001E-3</v>
          </cell>
          <cell r="AP463">
            <v>23.5</v>
          </cell>
          <cell r="AS463">
            <v>0</v>
          </cell>
          <cell r="AT463">
            <v>0</v>
          </cell>
          <cell r="AU463">
            <v>0.86</v>
          </cell>
          <cell r="AV463">
            <v>4264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0.02</v>
          </cell>
          <cell r="BL463">
            <v>100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0.02</v>
          </cell>
          <cell r="BT463">
            <v>100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4.4999999999999998E-2</v>
          </cell>
          <cell r="CH463">
            <v>216</v>
          </cell>
          <cell r="CI463">
            <v>4.4999999999999998E-2</v>
          </cell>
          <cell r="CJ463">
            <v>216</v>
          </cell>
          <cell r="CK463">
            <v>6.5000000000000002E-2</v>
          </cell>
          <cell r="CL463">
            <v>316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0.01</v>
          </cell>
          <cell r="CV463">
            <v>48</v>
          </cell>
          <cell r="CW463">
            <v>0</v>
          </cell>
          <cell r="CX463">
            <v>0</v>
          </cell>
          <cell r="CY463">
            <v>0.02</v>
          </cell>
          <cell r="CZ463">
            <v>132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0.02</v>
          </cell>
          <cell r="DF463">
            <v>132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  <cell r="DL463">
            <v>0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0.01</v>
          </cell>
          <cell r="DR463">
            <v>48</v>
          </cell>
          <cell r="DS463">
            <v>0</v>
          </cell>
          <cell r="DT463">
            <v>0</v>
          </cell>
          <cell r="DU463">
            <v>0.01</v>
          </cell>
          <cell r="DV463">
            <v>48</v>
          </cell>
          <cell r="DW463">
            <v>0.86</v>
          </cell>
          <cell r="DX463">
            <v>4264</v>
          </cell>
          <cell r="DY463" t="str">
            <v/>
          </cell>
          <cell r="DZ463">
            <v>0</v>
          </cell>
          <cell r="EA463">
            <v>4958.1395348837214</v>
          </cell>
        </row>
        <row r="464">
          <cell r="B464">
            <v>303594</v>
          </cell>
          <cell r="C464" t="str">
            <v>ბრინჯი-ქინგ რაჯა-1.9კგ_10ც+1ც</v>
          </cell>
          <cell r="D464" t="str">
            <v>TON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O464">
            <v>0</v>
          </cell>
          <cell r="AP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  <cell r="DX464">
            <v>0</v>
          </cell>
          <cell r="DY464" t="str">
            <v/>
          </cell>
          <cell r="DZ464" t="str">
            <v>pasiv</v>
          </cell>
          <cell r="EA464" t="e">
            <v>#DIV/0!</v>
          </cell>
        </row>
        <row r="465">
          <cell r="B465">
            <v>303606</v>
          </cell>
          <cell r="C465" t="str">
            <v>ბრინჯი-ქინგ რაჯა-0.9კგ_10ც+1ც</v>
          </cell>
          <cell r="D465" t="str">
            <v>TON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O465">
            <v>0</v>
          </cell>
          <cell r="AP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  <cell r="DX465">
            <v>0</v>
          </cell>
          <cell r="DY465" t="str">
            <v/>
          </cell>
          <cell r="DZ465" t="str">
            <v>pasiv</v>
          </cell>
          <cell r="EA465" t="e">
            <v>#DIV/0!</v>
          </cell>
        </row>
        <row r="466">
          <cell r="A466">
            <v>60</v>
          </cell>
          <cell r="C466" t="str">
            <v>KING RAJA</v>
          </cell>
          <cell r="E466">
            <v>5.2000000000000005E-2</v>
          </cell>
          <cell r="F466">
            <v>275.78999999999996</v>
          </cell>
          <cell r="G466">
            <v>0.70499999999999996</v>
          </cell>
          <cell r="H466">
            <v>3475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O466">
            <v>0.75700000000000001</v>
          </cell>
          <cell r="P466">
            <v>3750.79</v>
          </cell>
          <cell r="Q466">
            <v>0.19400000000000001</v>
          </cell>
          <cell r="R466">
            <v>1001.8999999999999</v>
          </cell>
          <cell r="S466">
            <v>0.1739</v>
          </cell>
          <cell r="T466">
            <v>1008.71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0.3679</v>
          </cell>
          <cell r="Z466">
            <v>2010.6100000000001</v>
          </cell>
          <cell r="AA466">
            <v>0</v>
          </cell>
          <cell r="AB466">
            <v>0</v>
          </cell>
          <cell r="AC466">
            <v>2.4199999999999999E-2</v>
          </cell>
          <cell r="AD466">
            <v>190.09</v>
          </cell>
          <cell r="AE466">
            <v>5.8999999999999999E-3</v>
          </cell>
          <cell r="AF466">
            <v>30.55</v>
          </cell>
          <cell r="AG466">
            <v>2.12E-2</v>
          </cell>
          <cell r="AH466">
            <v>167.07999999999998</v>
          </cell>
          <cell r="AI466">
            <v>4.8799999999999996E-2</v>
          </cell>
          <cell r="AJ466">
            <v>392.2</v>
          </cell>
          <cell r="AK466">
            <v>0.11588000000000001</v>
          </cell>
          <cell r="AL466">
            <v>888.54000000000008</v>
          </cell>
          <cell r="AO466">
            <v>0.21598000000000001</v>
          </cell>
          <cell r="AP466">
            <v>1668.46</v>
          </cell>
          <cell r="AS466">
            <v>0</v>
          </cell>
          <cell r="AT466">
            <v>0</v>
          </cell>
          <cell r="AU466">
            <v>4.1293400000000009</v>
          </cell>
          <cell r="AV466">
            <v>26956.240000000005</v>
          </cell>
          <cell r="AW466">
            <v>0</v>
          </cell>
          <cell r="AX466">
            <v>0</v>
          </cell>
          <cell r="AY466">
            <v>7.6100000000000001E-2</v>
          </cell>
          <cell r="AZ466">
            <v>571.09</v>
          </cell>
          <cell r="BA466">
            <v>0</v>
          </cell>
          <cell r="BB466">
            <v>0</v>
          </cell>
          <cell r="BC466">
            <v>9.6159999999999995E-2</v>
          </cell>
          <cell r="BD466">
            <v>676.47</v>
          </cell>
          <cell r="BE466">
            <v>0.17226000000000002</v>
          </cell>
          <cell r="BF466">
            <v>1247.56</v>
          </cell>
          <cell r="BG466">
            <v>7.4000000000000003E-3</v>
          </cell>
          <cell r="BH466">
            <v>57.67</v>
          </cell>
          <cell r="BI466">
            <v>0.12479999999999999</v>
          </cell>
          <cell r="BJ466">
            <v>917.76</v>
          </cell>
          <cell r="BK466">
            <v>5.3600000000000009E-2</v>
          </cell>
          <cell r="BL466">
            <v>358.36</v>
          </cell>
          <cell r="BM466">
            <v>6.5200000000000008E-2</v>
          </cell>
          <cell r="BN466">
            <v>490.12</v>
          </cell>
          <cell r="BO466">
            <v>7.7000000000000002E-3</v>
          </cell>
          <cell r="BP466">
            <v>59.14</v>
          </cell>
          <cell r="BQ466">
            <v>0</v>
          </cell>
          <cell r="BR466">
            <v>0</v>
          </cell>
          <cell r="BS466">
            <v>0.25869999999999999</v>
          </cell>
          <cell r="BT466">
            <v>1883.05</v>
          </cell>
          <cell r="BU466">
            <v>1.44E-2</v>
          </cell>
          <cell r="BV466">
            <v>98.22999999999999</v>
          </cell>
          <cell r="BW466">
            <v>3.6600000000000001E-2</v>
          </cell>
          <cell r="BX466">
            <v>262.73</v>
          </cell>
          <cell r="BY466">
            <v>2.7800000000000002E-2</v>
          </cell>
          <cell r="BZ466">
            <v>189.15</v>
          </cell>
          <cell r="CA466">
            <v>4.5999999999999999E-2</v>
          </cell>
          <cell r="CB466">
            <v>372.36</v>
          </cell>
          <cell r="CC466">
            <v>3.3000000000000002E-2</v>
          </cell>
          <cell r="CD466">
            <v>246.9</v>
          </cell>
          <cell r="CE466">
            <v>0.13570000000000002</v>
          </cell>
          <cell r="CF466">
            <v>1014.96</v>
          </cell>
          <cell r="CG466">
            <v>4.4999999999999998E-2</v>
          </cell>
          <cell r="CH466">
            <v>216</v>
          </cell>
          <cell r="CI466">
            <v>0.33850000000000002</v>
          </cell>
          <cell r="CJ466">
            <v>2400.33</v>
          </cell>
          <cell r="CK466">
            <v>0.59719999999999995</v>
          </cell>
          <cell r="CL466">
            <v>4283.3799999999992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0.44980000000000003</v>
          </cell>
          <cell r="CV466">
            <v>3058.0599999999995</v>
          </cell>
          <cell r="CW466">
            <v>0</v>
          </cell>
          <cell r="CX466">
            <v>0</v>
          </cell>
          <cell r="CY466">
            <v>1.1638800000000002</v>
          </cell>
          <cell r="CZ466">
            <v>8075.9999999999991</v>
          </cell>
          <cell r="DA466">
            <v>0.15042</v>
          </cell>
          <cell r="DB466">
            <v>1045.3999999999999</v>
          </cell>
          <cell r="DC466">
            <v>0.13550000000000001</v>
          </cell>
          <cell r="DD466">
            <v>991.24</v>
          </cell>
          <cell r="DE466">
            <v>1.4498000000000002</v>
          </cell>
          <cell r="DF466">
            <v>10112.64</v>
          </cell>
          <cell r="DG466">
            <v>5.5600000000000004E-2</v>
          </cell>
          <cell r="DH466">
            <v>374.81</v>
          </cell>
          <cell r="DI466">
            <v>5.5399999999999998E-2</v>
          </cell>
          <cell r="DJ466">
            <v>376.55</v>
          </cell>
          <cell r="DK466">
            <v>8.3999999999999995E-3</v>
          </cell>
          <cell r="DL466">
            <v>73.38</v>
          </cell>
          <cell r="DM466">
            <v>0.11939999999999999</v>
          </cell>
          <cell r="DN466">
            <v>824.74</v>
          </cell>
          <cell r="DO466">
            <v>0.11839999999999999</v>
          </cell>
          <cell r="DP466">
            <v>770.98</v>
          </cell>
          <cell r="DQ466">
            <v>6.54E-2</v>
          </cell>
          <cell r="DR466">
            <v>429.49</v>
          </cell>
          <cell r="DS466">
            <v>0.26600000000000001</v>
          </cell>
          <cell r="DT466">
            <v>1857.5900000000001</v>
          </cell>
          <cell r="DU466">
            <v>0.44980000000000003</v>
          </cell>
          <cell r="DV466">
            <v>3058.0599999999995</v>
          </cell>
          <cell r="DW466">
            <v>4.1293400000000009</v>
          </cell>
          <cell r="DX466">
            <v>26956.240000000002</v>
          </cell>
          <cell r="DZ466">
            <v>0</v>
          </cell>
          <cell r="EA466">
            <v>6527.9778366518613</v>
          </cell>
        </row>
        <row r="467">
          <cell r="B467">
            <v>295819</v>
          </cell>
          <cell r="C467" t="str">
            <v>ბრინჯი-გრძელი-დაფნა-5კგ*5-პაკისტანი</v>
          </cell>
          <cell r="D467" t="str">
            <v>TON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O467">
            <v>0</v>
          </cell>
          <cell r="AP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0</v>
          </cell>
          <cell r="DT467">
            <v>0</v>
          </cell>
          <cell r="DU467">
            <v>0</v>
          </cell>
          <cell r="DV467">
            <v>0</v>
          </cell>
          <cell r="DW467">
            <v>0</v>
          </cell>
          <cell r="DX467">
            <v>0</v>
          </cell>
          <cell r="DY467" t="str">
            <v/>
          </cell>
          <cell r="DZ467" t="str">
            <v>pasiv</v>
          </cell>
          <cell r="EA467" t="e">
            <v>#DIV/0!</v>
          </cell>
        </row>
        <row r="468">
          <cell r="B468">
            <v>92877</v>
          </cell>
          <cell r="C468" t="str">
            <v>CVENI SUPRA UZUN DUYU_0.9 KQ*10</v>
          </cell>
          <cell r="D468" t="str">
            <v>TON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8.9999999999999993E-3</v>
          </cell>
          <cell r="T468">
            <v>28.99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8.9999999999999993E-3</v>
          </cell>
          <cell r="Z468">
            <v>28.99</v>
          </cell>
          <cell r="AA468">
            <v>0</v>
          </cell>
          <cell r="AB468">
            <v>0</v>
          </cell>
          <cell r="AC468">
            <v>7.1099999999999997E-2</v>
          </cell>
          <cell r="AD468">
            <v>263.86</v>
          </cell>
          <cell r="AE468">
            <v>0</v>
          </cell>
          <cell r="AF468">
            <v>0</v>
          </cell>
          <cell r="AG468">
            <v>1.44E-2</v>
          </cell>
          <cell r="AH468">
            <v>53.44</v>
          </cell>
          <cell r="AI468">
            <v>5.5800000000000002E-2</v>
          </cell>
          <cell r="AJ468">
            <v>203.88</v>
          </cell>
          <cell r="AK468">
            <v>2.3400000000000001E-2</v>
          </cell>
          <cell r="AL468">
            <v>84.92</v>
          </cell>
          <cell r="AO468">
            <v>0.16469999999999999</v>
          </cell>
          <cell r="AP468">
            <v>606.1</v>
          </cell>
          <cell r="AS468">
            <v>0</v>
          </cell>
          <cell r="AT468">
            <v>0</v>
          </cell>
          <cell r="AU468">
            <v>0.93510000000000004</v>
          </cell>
          <cell r="AV468">
            <v>3273.74</v>
          </cell>
          <cell r="AW468">
            <v>0</v>
          </cell>
          <cell r="AX468">
            <v>0</v>
          </cell>
          <cell r="AY468">
            <v>1.89E-2</v>
          </cell>
          <cell r="AZ468">
            <v>63.06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1.89E-2</v>
          </cell>
          <cell r="BF468">
            <v>63.06</v>
          </cell>
          <cell r="BG468">
            <v>1.7999999999999999E-2</v>
          </cell>
          <cell r="BH468">
            <v>66.8</v>
          </cell>
          <cell r="BI468">
            <v>6.3E-2</v>
          </cell>
          <cell r="BJ468">
            <v>212.08</v>
          </cell>
          <cell r="BK468">
            <v>3.0599999999999999E-2</v>
          </cell>
          <cell r="BL468">
            <v>113.56</v>
          </cell>
          <cell r="BM468">
            <v>8.9999999999999993E-3</v>
          </cell>
          <cell r="BN468">
            <v>33.4</v>
          </cell>
          <cell r="BO468">
            <v>7.3800000000000004E-2</v>
          </cell>
          <cell r="BP468">
            <v>273.88</v>
          </cell>
          <cell r="BQ468">
            <v>0</v>
          </cell>
          <cell r="BR468">
            <v>0</v>
          </cell>
          <cell r="BS468">
            <v>0.1971</v>
          </cell>
          <cell r="BT468">
            <v>709.74</v>
          </cell>
          <cell r="BU468">
            <v>1.44E-2</v>
          </cell>
          <cell r="BV468">
            <v>47.41</v>
          </cell>
          <cell r="BW468">
            <v>8.9999999999999993E-3</v>
          </cell>
          <cell r="BX468">
            <v>30.2</v>
          </cell>
          <cell r="BY468">
            <v>0</v>
          </cell>
          <cell r="BZ468">
            <v>0</v>
          </cell>
          <cell r="CA468">
            <v>1.7999999999999999E-2</v>
          </cell>
          <cell r="CB468">
            <v>66.8</v>
          </cell>
          <cell r="CC468">
            <v>0</v>
          </cell>
          <cell r="CD468">
            <v>0</v>
          </cell>
          <cell r="CE468">
            <v>9.9000000000000008E-3</v>
          </cell>
          <cell r="CF468">
            <v>31.23</v>
          </cell>
          <cell r="CG468">
            <v>0</v>
          </cell>
          <cell r="CH468">
            <v>0</v>
          </cell>
          <cell r="CI468">
            <v>5.1299999999999998E-2</v>
          </cell>
          <cell r="CJ468">
            <v>175.64</v>
          </cell>
          <cell r="CK468">
            <v>0.24840000000000001</v>
          </cell>
          <cell r="CL468">
            <v>885.38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0.19889999999999999</v>
          </cell>
          <cell r="CV468">
            <v>678.93</v>
          </cell>
          <cell r="CW468">
            <v>0</v>
          </cell>
          <cell r="CX468">
            <v>0</v>
          </cell>
          <cell r="CY468">
            <v>0.09</v>
          </cell>
          <cell r="CZ468">
            <v>308.8</v>
          </cell>
          <cell r="DA468">
            <v>9.9000000000000008E-3</v>
          </cell>
          <cell r="DB468">
            <v>36.74</v>
          </cell>
          <cell r="DC468">
            <v>8.1000000000000003E-2</v>
          </cell>
          <cell r="DD468">
            <v>275.64</v>
          </cell>
          <cell r="DE468">
            <v>0.18090000000000001</v>
          </cell>
          <cell r="DF468">
            <v>621.18000000000006</v>
          </cell>
          <cell r="DG468">
            <v>8.3699999999999997E-2</v>
          </cell>
          <cell r="DH468">
            <v>279.07</v>
          </cell>
          <cell r="DI468">
            <v>2.6100000000000002E-2</v>
          </cell>
          <cell r="DJ468">
            <v>95.26</v>
          </cell>
          <cell r="DK468">
            <v>4.4999999999999997E-3</v>
          </cell>
          <cell r="DL468">
            <v>15.77</v>
          </cell>
          <cell r="DM468">
            <v>0.1143</v>
          </cell>
          <cell r="DN468">
            <v>390.1</v>
          </cell>
          <cell r="DO468">
            <v>9.7199999999999995E-2</v>
          </cell>
          <cell r="DP468">
            <v>319.52999999999997</v>
          </cell>
          <cell r="DQ468">
            <v>4.41E-2</v>
          </cell>
          <cell r="DR468">
            <v>148.84</v>
          </cell>
          <cell r="DS468">
            <v>5.7599999999999998E-2</v>
          </cell>
          <cell r="DT468">
            <v>210.56</v>
          </cell>
          <cell r="DU468">
            <v>0.19889999999999999</v>
          </cell>
          <cell r="DV468">
            <v>678.93</v>
          </cell>
          <cell r="DW468">
            <v>0.93509999999999993</v>
          </cell>
          <cell r="DX468">
            <v>3273.74</v>
          </cell>
          <cell r="DY468" t="str">
            <v/>
          </cell>
          <cell r="DZ468">
            <v>0</v>
          </cell>
          <cell r="EA468">
            <v>3500.9517698641857</v>
          </cell>
        </row>
        <row r="469">
          <cell r="B469">
            <v>63047</v>
          </cell>
          <cell r="C469" t="str">
            <v>RICHMOND UZUN PIRINC_0.8 KG*12</v>
          </cell>
          <cell r="D469" t="str">
            <v>TON</v>
          </cell>
          <cell r="E469">
            <v>0</v>
          </cell>
          <cell r="F469">
            <v>0</v>
          </cell>
          <cell r="G469">
            <v>9.5999999999999992E-3</v>
          </cell>
          <cell r="H469">
            <v>31.43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O469">
            <v>9.5999999999999992E-3</v>
          </cell>
          <cell r="P469">
            <v>31.43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4.0800000000000003E-2</v>
          </cell>
          <cell r="AD469">
            <v>152.49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6.9599999999999995E-2</v>
          </cell>
          <cell r="AJ469">
            <v>260.13</v>
          </cell>
          <cell r="AK469">
            <v>6.1600000000000002E-2</v>
          </cell>
          <cell r="AL469">
            <v>217.08</v>
          </cell>
          <cell r="AO469">
            <v>0.17199999999999999</v>
          </cell>
          <cell r="AP469">
            <v>629.70000000000005</v>
          </cell>
          <cell r="AS469">
            <v>0</v>
          </cell>
          <cell r="AT469">
            <v>0</v>
          </cell>
          <cell r="AU469">
            <v>0.65040000000000098</v>
          </cell>
          <cell r="AV469">
            <v>2285.31</v>
          </cell>
          <cell r="AW469">
            <v>0</v>
          </cell>
          <cell r="AX469">
            <v>0</v>
          </cell>
          <cell r="AY469">
            <v>9.5999999999999992E-3</v>
          </cell>
          <cell r="AZ469">
            <v>35.880000000000003</v>
          </cell>
          <cell r="BA469">
            <v>0</v>
          </cell>
          <cell r="BB469">
            <v>0</v>
          </cell>
          <cell r="BC469">
            <v>9.5999999999999992E-3</v>
          </cell>
          <cell r="BD469">
            <v>31.43</v>
          </cell>
          <cell r="BE469">
            <v>1.9199999999999998E-2</v>
          </cell>
          <cell r="BF469">
            <v>67.31</v>
          </cell>
          <cell r="BG469">
            <v>5.5999999999999999E-3</v>
          </cell>
          <cell r="BH469">
            <v>20.93</v>
          </cell>
          <cell r="BI469">
            <v>0</v>
          </cell>
          <cell r="BJ469">
            <v>0</v>
          </cell>
          <cell r="BK469">
            <v>5.5999999999999999E-3</v>
          </cell>
          <cell r="BL469">
            <v>20.93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1.12E-2</v>
          </cell>
          <cell r="BT469">
            <v>41.86</v>
          </cell>
          <cell r="BU469">
            <v>1.9199999999999998E-2</v>
          </cell>
          <cell r="BV469">
            <v>64.8</v>
          </cell>
          <cell r="BW469">
            <v>1.44E-2</v>
          </cell>
          <cell r="BX469">
            <v>47.55</v>
          </cell>
          <cell r="BY469">
            <v>9.5999999999999992E-3</v>
          </cell>
          <cell r="BZ469">
            <v>30.46</v>
          </cell>
          <cell r="CA469">
            <v>0</v>
          </cell>
          <cell r="CB469">
            <v>0</v>
          </cell>
          <cell r="CC469">
            <v>4.0000000000000001E-3</v>
          </cell>
          <cell r="CD469">
            <v>13.5</v>
          </cell>
          <cell r="CE469">
            <v>0.02</v>
          </cell>
          <cell r="CF469">
            <v>73.22</v>
          </cell>
          <cell r="CG469">
            <v>1.6000000000000001E-3</v>
          </cell>
          <cell r="CH469">
            <v>5.4</v>
          </cell>
          <cell r="CI469">
            <v>6.88E-2</v>
          </cell>
          <cell r="CJ469">
            <v>234.93</v>
          </cell>
          <cell r="CK469">
            <v>0.08</v>
          </cell>
          <cell r="CL469">
            <v>276.79000000000002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0.14799999999999999</v>
          </cell>
          <cell r="CV469">
            <v>499.52</v>
          </cell>
          <cell r="CW469">
            <v>0</v>
          </cell>
          <cell r="CX469">
            <v>0</v>
          </cell>
          <cell r="CY469">
            <v>0.1208</v>
          </cell>
          <cell r="CZ469">
            <v>450.41</v>
          </cell>
          <cell r="DA469">
            <v>0</v>
          </cell>
          <cell r="DB469">
            <v>0</v>
          </cell>
          <cell r="DC469">
            <v>3.7600000000000001E-2</v>
          </cell>
          <cell r="DD469">
            <v>126.04</v>
          </cell>
          <cell r="DE469">
            <v>0.15840000000000001</v>
          </cell>
          <cell r="DF469">
            <v>576.45000000000005</v>
          </cell>
          <cell r="DG469">
            <v>6.1600000000000002E-2</v>
          </cell>
          <cell r="DH469">
            <v>200.45</v>
          </cell>
          <cell r="DI469">
            <v>0</v>
          </cell>
          <cell r="DJ469">
            <v>0</v>
          </cell>
          <cell r="DK469">
            <v>1.6000000000000001E-3</v>
          </cell>
          <cell r="DL469">
            <v>3.66</v>
          </cell>
          <cell r="DM469">
            <v>6.3200000000000006E-2</v>
          </cell>
          <cell r="DN469">
            <v>204.11</v>
          </cell>
          <cell r="DO469">
            <v>6.2399999999999997E-2</v>
          </cell>
          <cell r="DP469">
            <v>200.88</v>
          </cell>
          <cell r="DQ469">
            <v>5.7599999999999998E-2</v>
          </cell>
          <cell r="DR469">
            <v>197.47</v>
          </cell>
          <cell r="DS469">
            <v>2.8000000000000001E-2</v>
          </cell>
          <cell r="DT469">
            <v>101.17</v>
          </cell>
          <cell r="DU469">
            <v>0.14799999999999999</v>
          </cell>
          <cell r="DV469">
            <v>499.52</v>
          </cell>
          <cell r="DW469">
            <v>0.65040000000000009</v>
          </cell>
          <cell r="DX469">
            <v>2285.31</v>
          </cell>
          <cell r="DY469" t="str">
            <v/>
          </cell>
          <cell r="DZ469">
            <v>0</v>
          </cell>
          <cell r="EA469">
            <v>3513.6992619926195</v>
          </cell>
        </row>
        <row r="470">
          <cell r="B470">
            <v>56163</v>
          </cell>
          <cell r="C470" t="str">
            <v xml:space="preserve">RICHMOND PIRINC_0.8 KG*12 YUMRU </v>
          </cell>
          <cell r="D470" t="str">
            <v>TON</v>
          </cell>
          <cell r="E470">
            <v>0</v>
          </cell>
          <cell r="F470">
            <v>0</v>
          </cell>
          <cell r="G470">
            <v>9.5999999999999992E-3</v>
          </cell>
          <cell r="H470">
            <v>39.58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O470">
            <v>9.5999999999999992E-3</v>
          </cell>
          <cell r="P470">
            <v>39.58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8.8000000000000005E-3</v>
          </cell>
          <cell r="AD470">
            <v>46.2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1.2800000000000001E-2</v>
          </cell>
          <cell r="AJ470">
            <v>67.2</v>
          </cell>
          <cell r="AK470">
            <v>4.7999999999999996E-3</v>
          </cell>
          <cell r="AL470">
            <v>20.399999999999999</v>
          </cell>
          <cell r="AO470">
            <v>2.64E-2</v>
          </cell>
          <cell r="AP470">
            <v>133.80000000000001</v>
          </cell>
          <cell r="AS470">
            <v>0</v>
          </cell>
          <cell r="AT470">
            <v>0</v>
          </cell>
          <cell r="AU470">
            <v>0.34560000000000002</v>
          </cell>
          <cell r="AV470">
            <v>1685.64</v>
          </cell>
          <cell r="AW470">
            <v>0</v>
          </cell>
          <cell r="AX470">
            <v>0</v>
          </cell>
          <cell r="AY470">
            <v>9.5999999999999992E-3</v>
          </cell>
          <cell r="AZ470">
            <v>50.4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9.5999999999999992E-3</v>
          </cell>
          <cell r="BF470">
            <v>50.4</v>
          </cell>
          <cell r="BG470">
            <v>1.6000000000000001E-3</v>
          </cell>
          <cell r="BH470">
            <v>8.4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1.6000000000000001E-3</v>
          </cell>
          <cell r="BT470">
            <v>8.4</v>
          </cell>
          <cell r="BU470">
            <v>4.7999999999999996E-3</v>
          </cell>
          <cell r="BV470">
            <v>19.79</v>
          </cell>
          <cell r="BW470">
            <v>1.84E-2</v>
          </cell>
          <cell r="BX470">
            <v>76.37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2.8799999999999999E-2</v>
          </cell>
          <cell r="CF470">
            <v>144</v>
          </cell>
          <cell r="CG470">
            <v>0</v>
          </cell>
          <cell r="CH470">
            <v>0</v>
          </cell>
          <cell r="CI470">
            <v>5.1999999999999998E-2</v>
          </cell>
          <cell r="CJ470">
            <v>240.16</v>
          </cell>
          <cell r="CK470">
            <v>5.3599999999999995E-2</v>
          </cell>
          <cell r="CL470">
            <v>248.56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4.9599999999999998E-2</v>
          </cell>
          <cell r="CV470">
            <v>238.49</v>
          </cell>
          <cell r="CW470">
            <v>0</v>
          </cell>
          <cell r="CX470">
            <v>0</v>
          </cell>
          <cell r="CY470">
            <v>0.1056</v>
          </cell>
          <cell r="CZ470">
            <v>547.20000000000005</v>
          </cell>
          <cell r="DA470">
            <v>9.5999999999999992E-3</v>
          </cell>
          <cell r="DB470">
            <v>50.4</v>
          </cell>
          <cell r="DC470">
            <v>4.8000000000000001E-2</v>
          </cell>
          <cell r="DD470">
            <v>218.83</v>
          </cell>
          <cell r="DE470">
            <v>0.16320000000000001</v>
          </cell>
          <cell r="DF470">
            <v>816.43000000000006</v>
          </cell>
          <cell r="DG470">
            <v>2.4E-2</v>
          </cell>
          <cell r="DH470">
            <v>110.38</v>
          </cell>
          <cell r="DI470">
            <v>7.1999999999999998E-3</v>
          </cell>
          <cell r="DJ470">
            <v>37.799999999999997</v>
          </cell>
          <cell r="DK470">
            <v>2.3999999999999998E-3</v>
          </cell>
          <cell r="DL470">
            <v>10.199999999999999</v>
          </cell>
          <cell r="DM470">
            <v>3.3599999999999998E-2</v>
          </cell>
          <cell r="DN470">
            <v>158.38</v>
          </cell>
          <cell r="DO470">
            <v>2.1600000000000001E-2</v>
          </cell>
          <cell r="DP470">
            <v>101.09</v>
          </cell>
          <cell r="DQ470">
            <v>9.5999999999999992E-3</v>
          </cell>
          <cell r="DR470">
            <v>50.4</v>
          </cell>
          <cell r="DS470">
            <v>1.84E-2</v>
          </cell>
          <cell r="DT470">
            <v>87</v>
          </cell>
          <cell r="DU470">
            <v>4.9599999999999998E-2</v>
          </cell>
          <cell r="DV470">
            <v>238.49</v>
          </cell>
          <cell r="DW470">
            <v>0.34559999999999996</v>
          </cell>
          <cell r="DX470">
            <v>1685.64</v>
          </cell>
          <cell r="DY470" t="str">
            <v/>
          </cell>
          <cell r="DZ470">
            <v>0</v>
          </cell>
          <cell r="EA470">
            <v>4877.4305555555566</v>
          </cell>
        </row>
        <row r="471">
          <cell r="B471">
            <v>338832</v>
          </cell>
          <cell r="C471" t="str">
            <v>წიწიბურა-რიჩმონდი–0.45კგ_18ც+2ც</v>
          </cell>
          <cell r="D471" t="str">
            <v>TON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O471">
            <v>0</v>
          </cell>
          <cell r="AP471">
            <v>0</v>
          </cell>
          <cell r="AS471">
            <v>0</v>
          </cell>
          <cell r="AT471">
            <v>0</v>
          </cell>
          <cell r="AU471">
            <v>1.7999999999999999E-2</v>
          </cell>
          <cell r="AV471">
            <v>67.03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8.9999999999999993E-3</v>
          </cell>
          <cell r="BV471">
            <v>34.200000000000003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8.9999999999999993E-3</v>
          </cell>
          <cell r="CJ471">
            <v>34.200000000000003</v>
          </cell>
          <cell r="CK471">
            <v>8.9999999999999993E-3</v>
          </cell>
          <cell r="CL471">
            <v>34.200000000000003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8.9999999999999993E-3</v>
          </cell>
          <cell r="CV471">
            <v>32.83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8.9999999999999993E-3</v>
          </cell>
          <cell r="DR471">
            <v>32.83</v>
          </cell>
          <cell r="DS471">
            <v>0</v>
          </cell>
          <cell r="DT471">
            <v>0</v>
          </cell>
          <cell r="DU471">
            <v>8.9999999999999993E-3</v>
          </cell>
          <cell r="DV471">
            <v>32.83</v>
          </cell>
          <cell r="DW471">
            <v>1.7999999999999999E-2</v>
          </cell>
          <cell r="DX471">
            <v>67.03</v>
          </cell>
          <cell r="DY471" t="str">
            <v/>
          </cell>
          <cell r="DZ471">
            <v>0</v>
          </cell>
          <cell r="EA471">
            <v>3723.8888888888891</v>
          </cell>
        </row>
        <row r="472">
          <cell r="B472">
            <v>338833</v>
          </cell>
          <cell r="C472" t="str">
            <v>წიწიბურა-რიჩმონდი–0.8კგ_11ც+1ც</v>
          </cell>
          <cell r="D472" t="str">
            <v>TON</v>
          </cell>
          <cell r="E472">
            <v>0</v>
          </cell>
          <cell r="F472">
            <v>0</v>
          </cell>
          <cell r="G472">
            <v>1.9199999999999998E-2</v>
          </cell>
          <cell r="H472">
            <v>69.27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O472">
            <v>1.9199999999999998E-2</v>
          </cell>
          <cell r="P472">
            <v>69.27</v>
          </cell>
          <cell r="Q472">
            <v>0</v>
          </cell>
          <cell r="R472">
            <v>0</v>
          </cell>
          <cell r="S472">
            <v>9.5999999999999992E-3</v>
          </cell>
          <cell r="T472">
            <v>34.64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9.5999999999999992E-3</v>
          </cell>
          <cell r="Z472">
            <v>34.64</v>
          </cell>
          <cell r="AA472">
            <v>0</v>
          </cell>
          <cell r="AB472">
            <v>0</v>
          </cell>
          <cell r="AC472">
            <v>9.5999999999999992E-3</v>
          </cell>
          <cell r="AD472">
            <v>36.08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1.9199999999999998E-2</v>
          </cell>
          <cell r="AJ472">
            <v>71.08</v>
          </cell>
          <cell r="AK472">
            <v>1.9199999999999998E-2</v>
          </cell>
          <cell r="AL472">
            <v>72.16</v>
          </cell>
          <cell r="AO472">
            <v>4.8000000000000001E-2</v>
          </cell>
          <cell r="AP472">
            <v>179.32</v>
          </cell>
          <cell r="AS472">
            <v>0</v>
          </cell>
          <cell r="AT472">
            <v>0</v>
          </cell>
          <cell r="AU472">
            <v>0.31680000000000003</v>
          </cell>
          <cell r="AV472">
            <v>1124.6199999999999</v>
          </cell>
          <cell r="AW472">
            <v>0</v>
          </cell>
          <cell r="AX472">
            <v>0</v>
          </cell>
          <cell r="AY472">
            <v>9.5999999999999992E-3</v>
          </cell>
          <cell r="AZ472">
            <v>36.08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9.5999999999999992E-3</v>
          </cell>
          <cell r="BF472">
            <v>36.08</v>
          </cell>
          <cell r="BG472">
            <v>0</v>
          </cell>
          <cell r="BH472">
            <v>0</v>
          </cell>
          <cell r="BI472">
            <v>9.5999999999999992E-3</v>
          </cell>
          <cell r="BJ472">
            <v>35</v>
          </cell>
          <cell r="BK472">
            <v>9.5999999999999992E-3</v>
          </cell>
          <cell r="BL472">
            <v>29.34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1.9199999999999998E-2</v>
          </cell>
          <cell r="BT472">
            <v>64.34</v>
          </cell>
          <cell r="BU472">
            <v>3.8399999999999997E-2</v>
          </cell>
          <cell r="BV472">
            <v>135.41999999999999</v>
          </cell>
          <cell r="BW472">
            <v>9.5999999999999992E-3</v>
          </cell>
          <cell r="BX472">
            <v>35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9.5999999999999992E-3</v>
          </cell>
          <cell r="CD472">
            <v>36.08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5.7599999999999998E-2</v>
          </cell>
          <cell r="CJ472">
            <v>206.5</v>
          </cell>
          <cell r="CK472">
            <v>7.6799999999999993E-2</v>
          </cell>
          <cell r="CL472">
            <v>270.84000000000003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0.13439999999999999</v>
          </cell>
          <cell r="CV472">
            <v>468.14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9.5999999999999992E-3</v>
          </cell>
          <cell r="DH472">
            <v>30.25</v>
          </cell>
          <cell r="DI472">
            <v>0</v>
          </cell>
          <cell r="DJ472">
            <v>0</v>
          </cell>
          <cell r="DK472">
            <v>9.5999999999999992E-3</v>
          </cell>
          <cell r="DL472">
            <v>36.08</v>
          </cell>
          <cell r="DM472">
            <v>1.9199999999999998E-2</v>
          </cell>
          <cell r="DN472">
            <v>66.33</v>
          </cell>
          <cell r="DO472">
            <v>6.7199999999999996E-2</v>
          </cell>
          <cell r="DP472">
            <v>239.58</v>
          </cell>
          <cell r="DQ472">
            <v>5.7599999999999998E-2</v>
          </cell>
          <cell r="DR472">
            <v>192.48</v>
          </cell>
          <cell r="DS472">
            <v>9.5999999999999992E-3</v>
          </cell>
          <cell r="DT472">
            <v>36.08</v>
          </cell>
          <cell r="DU472">
            <v>0.13439999999999999</v>
          </cell>
          <cell r="DV472">
            <v>468.14</v>
          </cell>
          <cell r="DW472">
            <v>0.31679999999999997</v>
          </cell>
          <cell r="DX472">
            <v>1124.6200000000001</v>
          </cell>
          <cell r="DY472" t="str">
            <v/>
          </cell>
          <cell r="DZ472">
            <v>0</v>
          </cell>
          <cell r="EA472">
            <v>3549.9368686868693</v>
          </cell>
        </row>
        <row r="473">
          <cell r="B473">
            <v>338834</v>
          </cell>
          <cell r="C473" t="str">
            <v>წიწიბურა-ჩვენი სუფრა–0.9კგ_11ც+1ც</v>
          </cell>
          <cell r="D473" t="str">
            <v>TON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1.0800000000000001E-2</v>
          </cell>
          <cell r="T473">
            <v>38.54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1.0800000000000001E-2</v>
          </cell>
          <cell r="Z473">
            <v>38.54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2.1600000000000001E-2</v>
          </cell>
          <cell r="AJ473">
            <v>79.099999999999994</v>
          </cell>
          <cell r="AK473">
            <v>0</v>
          </cell>
          <cell r="AL473">
            <v>0</v>
          </cell>
          <cell r="AO473">
            <v>2.1600000000000001E-2</v>
          </cell>
          <cell r="AP473">
            <v>79.099999999999994</v>
          </cell>
          <cell r="AS473">
            <v>0</v>
          </cell>
          <cell r="AT473">
            <v>0</v>
          </cell>
          <cell r="AU473">
            <v>0.28079999999999999</v>
          </cell>
          <cell r="AV473">
            <v>967.54</v>
          </cell>
          <cell r="AW473">
            <v>0</v>
          </cell>
          <cell r="AX473">
            <v>0</v>
          </cell>
          <cell r="AY473">
            <v>1.0800000000000001E-2</v>
          </cell>
          <cell r="AZ473">
            <v>40.15</v>
          </cell>
          <cell r="BA473">
            <v>0</v>
          </cell>
          <cell r="BB473">
            <v>0</v>
          </cell>
          <cell r="BC473">
            <v>1.0800000000000001E-2</v>
          </cell>
          <cell r="BD473">
            <v>38.950000000000003</v>
          </cell>
          <cell r="BE473">
            <v>2.1600000000000001E-2</v>
          </cell>
          <cell r="BF473">
            <v>79.099999999999994</v>
          </cell>
          <cell r="BG473">
            <v>0</v>
          </cell>
          <cell r="BH473">
            <v>0</v>
          </cell>
          <cell r="BI473">
            <v>1.0800000000000001E-2</v>
          </cell>
          <cell r="BJ473">
            <v>38.950000000000003</v>
          </cell>
          <cell r="BK473">
            <v>1.0800000000000001E-2</v>
          </cell>
          <cell r="BL473">
            <v>32.54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2.1600000000000001E-2</v>
          </cell>
          <cell r="BT473">
            <v>71.489999999999995</v>
          </cell>
          <cell r="BU473">
            <v>3.2399999999999998E-2</v>
          </cell>
          <cell r="BV473">
            <v>111.64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1.0800000000000001E-2</v>
          </cell>
          <cell r="CH473">
            <v>38.950000000000003</v>
          </cell>
          <cell r="CI473">
            <v>4.3200000000000002E-2</v>
          </cell>
          <cell r="CJ473">
            <v>150.59</v>
          </cell>
          <cell r="CK473">
            <v>6.4799999999999996E-2</v>
          </cell>
          <cell r="CL473">
            <v>222.07999999999998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0.1512</v>
          </cell>
          <cell r="CV473">
            <v>509.77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1.0800000000000001E-2</v>
          </cell>
          <cell r="DH473">
            <v>38.950000000000003</v>
          </cell>
          <cell r="DI473">
            <v>0</v>
          </cell>
          <cell r="DJ473">
            <v>0</v>
          </cell>
          <cell r="DK473">
            <v>0</v>
          </cell>
          <cell r="DL473">
            <v>0</v>
          </cell>
          <cell r="DM473">
            <v>1.0800000000000001E-2</v>
          </cell>
          <cell r="DN473">
            <v>38.950000000000003</v>
          </cell>
          <cell r="DO473">
            <v>0.12959999999999999</v>
          </cell>
          <cell r="DP473">
            <v>430.67</v>
          </cell>
          <cell r="DQ473">
            <v>1.0800000000000001E-2</v>
          </cell>
          <cell r="DR473">
            <v>38.950000000000003</v>
          </cell>
          <cell r="DS473">
            <v>1.0800000000000001E-2</v>
          </cell>
          <cell r="DT473">
            <v>40.15</v>
          </cell>
          <cell r="DU473">
            <v>0.1512</v>
          </cell>
          <cell r="DV473">
            <v>509.77</v>
          </cell>
          <cell r="DW473">
            <v>0.28079999999999999</v>
          </cell>
          <cell r="DX473">
            <v>967.54</v>
          </cell>
          <cell r="DY473" t="str">
            <v/>
          </cell>
          <cell r="DZ473">
            <v>0</v>
          </cell>
          <cell r="EA473">
            <v>3445.6552706552707</v>
          </cell>
        </row>
        <row r="474">
          <cell r="B474">
            <v>223929</v>
          </cell>
          <cell r="C474" t="str">
            <v>წიწიბურა_გუდვილი_1კგ*10</v>
          </cell>
          <cell r="D474" t="str">
            <v>TON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O474">
            <v>0</v>
          </cell>
          <cell r="AP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M474">
            <v>0</v>
          </cell>
          <cell r="DN474">
            <v>0</v>
          </cell>
          <cell r="DO474">
            <v>0</v>
          </cell>
          <cell r="DP474">
            <v>0</v>
          </cell>
          <cell r="DQ474">
            <v>0</v>
          </cell>
          <cell r="DR474">
            <v>0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  <cell r="DX474">
            <v>0</v>
          </cell>
          <cell r="DY474" t="str">
            <v/>
          </cell>
          <cell r="DZ474" t="str">
            <v>pasiv</v>
          </cell>
          <cell r="EA474" t="e">
            <v>#DIV/0!</v>
          </cell>
        </row>
        <row r="475">
          <cell r="B475">
            <v>349217</v>
          </cell>
          <cell r="C475" t="str">
            <v>ხორბალი დაღერღილი_რიჩმონდი_0.6კგ*12</v>
          </cell>
          <cell r="D475" t="str">
            <v>TON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1.0800000000000001E-2</v>
          </cell>
          <cell r="AL475">
            <v>24.17</v>
          </cell>
          <cell r="AO475">
            <v>1.0800000000000001E-2</v>
          </cell>
          <cell r="AP475">
            <v>24.17</v>
          </cell>
          <cell r="AS475">
            <v>0</v>
          </cell>
          <cell r="AT475">
            <v>0</v>
          </cell>
          <cell r="AU475">
            <v>7.1400000000000005E-2</v>
          </cell>
          <cell r="AV475">
            <v>169.49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1.44E-2</v>
          </cell>
          <cell r="BD475">
            <v>31.9</v>
          </cell>
          <cell r="BE475">
            <v>1.44E-2</v>
          </cell>
          <cell r="BF475">
            <v>31.9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7.1999999999999998E-3</v>
          </cell>
          <cell r="BX475">
            <v>15.95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1.7399999999999999E-2</v>
          </cell>
          <cell r="CF475">
            <v>50.12</v>
          </cell>
          <cell r="CG475">
            <v>0</v>
          </cell>
          <cell r="CH475">
            <v>0</v>
          </cell>
          <cell r="CI475">
            <v>2.46E-2</v>
          </cell>
          <cell r="CJ475">
            <v>66.069999999999993</v>
          </cell>
          <cell r="CK475">
            <v>2.46E-2</v>
          </cell>
          <cell r="CL475">
            <v>66.069999999999993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2.1600000000000001E-2</v>
          </cell>
          <cell r="CV475">
            <v>47.35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  <cell r="DF475">
            <v>0</v>
          </cell>
          <cell r="DG475">
            <v>0</v>
          </cell>
          <cell r="DH475">
            <v>0</v>
          </cell>
          <cell r="DI475">
            <v>0</v>
          </cell>
          <cell r="DJ475">
            <v>0</v>
          </cell>
          <cell r="DK475">
            <v>0</v>
          </cell>
          <cell r="DL475">
            <v>0</v>
          </cell>
          <cell r="DM475">
            <v>0</v>
          </cell>
          <cell r="DN475">
            <v>0</v>
          </cell>
          <cell r="DO475">
            <v>1.44E-2</v>
          </cell>
          <cell r="DP475">
            <v>30.91</v>
          </cell>
          <cell r="DQ475">
            <v>0</v>
          </cell>
          <cell r="DR475">
            <v>0</v>
          </cell>
          <cell r="DS475">
            <v>7.1999999999999998E-3</v>
          </cell>
          <cell r="DT475">
            <v>16.440000000000001</v>
          </cell>
          <cell r="DU475">
            <v>2.1600000000000001E-2</v>
          </cell>
          <cell r="DV475">
            <v>47.35</v>
          </cell>
          <cell r="DW475">
            <v>7.1400000000000005E-2</v>
          </cell>
          <cell r="DX475">
            <v>169.49</v>
          </cell>
          <cell r="DY475" t="str">
            <v/>
          </cell>
          <cell r="DZ475">
            <v>0</v>
          </cell>
          <cell r="EA475">
            <v>2373.8095238095239</v>
          </cell>
        </row>
        <row r="476">
          <cell r="B476">
            <v>315203</v>
          </cell>
          <cell r="C476" t="str">
            <v>ხორბლის ბურღული_რიჩმონდი_0.8*12</v>
          </cell>
          <cell r="D476" t="str">
            <v>TON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O476">
            <v>0</v>
          </cell>
          <cell r="AP476">
            <v>0</v>
          </cell>
          <cell r="AS476">
            <v>0</v>
          </cell>
          <cell r="AT476">
            <v>0</v>
          </cell>
          <cell r="AU476">
            <v>0.1072</v>
          </cell>
          <cell r="AV476">
            <v>449.34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9.5999999999999992E-3</v>
          </cell>
          <cell r="BJ476">
            <v>45.36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9.5999999999999992E-3</v>
          </cell>
          <cell r="BT476">
            <v>45.36</v>
          </cell>
          <cell r="BU476">
            <v>2.3999999999999998E-3</v>
          </cell>
          <cell r="BV476">
            <v>8.3800000000000008</v>
          </cell>
          <cell r="BW476">
            <v>1.52E-2</v>
          </cell>
          <cell r="BX476">
            <v>53.16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2.0799999999999999E-2</v>
          </cell>
          <cell r="CF476">
            <v>93.97</v>
          </cell>
          <cell r="CG476">
            <v>0</v>
          </cell>
          <cell r="CH476">
            <v>0</v>
          </cell>
          <cell r="CI476">
            <v>3.8399999999999997E-2</v>
          </cell>
          <cell r="CJ476">
            <v>155.51</v>
          </cell>
          <cell r="CK476">
            <v>4.7999999999999994E-2</v>
          </cell>
          <cell r="CL476">
            <v>200.87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1.9199999999999998E-2</v>
          </cell>
          <cell r="CZ476">
            <v>88.56</v>
          </cell>
          <cell r="DA476">
            <v>0</v>
          </cell>
          <cell r="DB476">
            <v>0</v>
          </cell>
          <cell r="DC476">
            <v>3.8399999999999997E-2</v>
          </cell>
          <cell r="DD476">
            <v>154.32</v>
          </cell>
          <cell r="DE476">
            <v>5.7599999999999998E-2</v>
          </cell>
          <cell r="DF476">
            <v>242.88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1.6000000000000001E-3</v>
          </cell>
          <cell r="DL476">
            <v>5.59</v>
          </cell>
          <cell r="DM476">
            <v>1.6000000000000001E-3</v>
          </cell>
          <cell r="DN476">
            <v>5.59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0.10719999999999999</v>
          </cell>
          <cell r="DX476">
            <v>449.34000000000003</v>
          </cell>
          <cell r="DY476" t="str">
            <v/>
          </cell>
          <cell r="DZ476">
            <v>0</v>
          </cell>
          <cell r="EA476">
            <v>4191.6044776119406</v>
          </cell>
        </row>
        <row r="477">
          <cell r="B477">
            <v>64127</v>
          </cell>
          <cell r="C477" t="str">
            <v>RICHMOND UZUN PIRINC_0.450 KG*20</v>
          </cell>
          <cell r="D477" t="str">
            <v>TON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2.7000000000000001E-3</v>
          </cell>
          <cell r="AL477">
            <v>10.5</v>
          </cell>
          <cell r="AO477">
            <v>2.7000000000000001E-3</v>
          </cell>
          <cell r="AP477">
            <v>10.5</v>
          </cell>
          <cell r="AS477">
            <v>0</v>
          </cell>
          <cell r="AT477">
            <v>0</v>
          </cell>
          <cell r="AU477">
            <v>4.095E-2</v>
          </cell>
          <cell r="AV477">
            <v>153.13</v>
          </cell>
          <cell r="AW477">
            <v>0</v>
          </cell>
          <cell r="AX477">
            <v>0</v>
          </cell>
          <cell r="AY477">
            <v>2.7000000000000001E-3</v>
          </cell>
          <cell r="AZ477">
            <v>9.6</v>
          </cell>
          <cell r="BA477">
            <v>0</v>
          </cell>
          <cell r="BB477">
            <v>0</v>
          </cell>
          <cell r="BC477">
            <v>8.9999999999999993E-3</v>
          </cell>
          <cell r="BD477">
            <v>35</v>
          </cell>
          <cell r="BE477">
            <v>1.1699999999999999E-2</v>
          </cell>
          <cell r="BF477">
            <v>44.6</v>
          </cell>
          <cell r="BG477">
            <v>2.2499999999999998E-3</v>
          </cell>
          <cell r="BH477">
            <v>8.75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8.9999999999999998E-4</v>
          </cell>
          <cell r="BP477">
            <v>3.5</v>
          </cell>
          <cell r="BQ477">
            <v>0</v>
          </cell>
          <cell r="BR477">
            <v>0</v>
          </cell>
          <cell r="BS477">
            <v>3.15E-3</v>
          </cell>
          <cell r="BT477">
            <v>12.25</v>
          </cell>
          <cell r="BU477">
            <v>1.3500000000000001E-3</v>
          </cell>
          <cell r="BV477">
            <v>4.8</v>
          </cell>
          <cell r="BW477">
            <v>0</v>
          </cell>
          <cell r="BX477">
            <v>0</v>
          </cell>
          <cell r="BY477">
            <v>8.9999999999999998E-4</v>
          </cell>
          <cell r="BZ477">
            <v>3.5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3.15E-3</v>
          </cell>
          <cell r="CF477">
            <v>10.52</v>
          </cell>
          <cell r="CG477">
            <v>0</v>
          </cell>
          <cell r="CH477">
            <v>0</v>
          </cell>
          <cell r="CI477">
            <v>5.4000000000000003E-3</v>
          </cell>
          <cell r="CJ477">
            <v>18.82</v>
          </cell>
          <cell r="CK477">
            <v>8.5500000000000003E-3</v>
          </cell>
          <cell r="CL477">
            <v>31.07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8.9999999999999993E-3</v>
          </cell>
          <cell r="CZ477">
            <v>35</v>
          </cell>
          <cell r="DA477">
            <v>0</v>
          </cell>
          <cell r="DB477">
            <v>0</v>
          </cell>
          <cell r="DC477">
            <v>8.9999999999999993E-3</v>
          </cell>
          <cell r="DD477">
            <v>31.96</v>
          </cell>
          <cell r="DE477">
            <v>1.7999999999999999E-2</v>
          </cell>
          <cell r="DF477">
            <v>66.960000000000008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K477">
            <v>0</v>
          </cell>
          <cell r="DL477">
            <v>0</v>
          </cell>
          <cell r="DM477">
            <v>0</v>
          </cell>
          <cell r="DN477">
            <v>0</v>
          </cell>
          <cell r="DO477">
            <v>0</v>
          </cell>
          <cell r="DP477">
            <v>0</v>
          </cell>
          <cell r="DQ477">
            <v>0</v>
          </cell>
          <cell r="DR477">
            <v>0</v>
          </cell>
          <cell r="DS477">
            <v>0</v>
          </cell>
          <cell r="DT477">
            <v>0</v>
          </cell>
          <cell r="DU477">
            <v>0</v>
          </cell>
          <cell r="DV477">
            <v>0</v>
          </cell>
          <cell r="DW477">
            <v>4.0949999999999993E-2</v>
          </cell>
          <cell r="DX477">
            <v>153.13</v>
          </cell>
          <cell r="DY477" t="str">
            <v/>
          </cell>
          <cell r="DZ477">
            <v>0</v>
          </cell>
          <cell r="EA477">
            <v>3739.4383394383399</v>
          </cell>
        </row>
        <row r="478">
          <cell r="B478">
            <v>65097</v>
          </cell>
          <cell r="C478" t="str">
            <v>RICHMOND YUMRU PIRINC_0.450 KG*20</v>
          </cell>
          <cell r="D478" t="str">
            <v>TON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8.9999999999999993E-3</v>
          </cell>
          <cell r="AJ478">
            <v>38.6</v>
          </cell>
          <cell r="AK478">
            <v>0</v>
          </cell>
          <cell r="AL478">
            <v>0</v>
          </cell>
          <cell r="AO478">
            <v>8.9999999999999993E-3</v>
          </cell>
          <cell r="AP478">
            <v>38.6</v>
          </cell>
          <cell r="AS478">
            <v>0</v>
          </cell>
          <cell r="AT478">
            <v>0</v>
          </cell>
          <cell r="AU478">
            <v>4.8599999999999997E-2</v>
          </cell>
          <cell r="AV478">
            <v>239.25</v>
          </cell>
          <cell r="AW478">
            <v>0</v>
          </cell>
          <cell r="AX478">
            <v>0</v>
          </cell>
          <cell r="AY478">
            <v>2.7000000000000001E-3</v>
          </cell>
          <cell r="AZ478">
            <v>11.58</v>
          </cell>
          <cell r="BA478">
            <v>0</v>
          </cell>
          <cell r="BB478">
            <v>0</v>
          </cell>
          <cell r="BC478">
            <v>8.9999999999999998E-4</v>
          </cell>
          <cell r="BD478">
            <v>3.59</v>
          </cell>
          <cell r="BE478">
            <v>3.5999999999999999E-3</v>
          </cell>
          <cell r="BF478">
            <v>15.17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8.9999999999999993E-3</v>
          </cell>
          <cell r="CD478">
            <v>47.6</v>
          </cell>
          <cell r="CE478">
            <v>1.7999999999999999E-2</v>
          </cell>
          <cell r="CF478">
            <v>95.2</v>
          </cell>
          <cell r="CG478">
            <v>0</v>
          </cell>
          <cell r="CH478">
            <v>0</v>
          </cell>
          <cell r="CI478">
            <v>2.7E-2</v>
          </cell>
          <cell r="CJ478">
            <v>142.80000000000001</v>
          </cell>
          <cell r="CK478">
            <v>2.7E-2</v>
          </cell>
          <cell r="CL478">
            <v>142.80000000000001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8.9999999999999993E-3</v>
          </cell>
          <cell r="DD478">
            <v>42.68</v>
          </cell>
          <cell r="DE478">
            <v>8.9999999999999993E-3</v>
          </cell>
          <cell r="DF478">
            <v>42.68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4.8599999999999997E-2</v>
          </cell>
          <cell r="DX478">
            <v>239.25</v>
          </cell>
          <cell r="DY478" t="str">
            <v/>
          </cell>
          <cell r="DZ478">
            <v>0</v>
          </cell>
          <cell r="EA478">
            <v>4922.8395061728397</v>
          </cell>
        </row>
        <row r="479">
          <cell r="B479">
            <v>353008</v>
          </cell>
          <cell r="C479" t="str">
            <v>ბრინჯი-რიჩმონდი-0.8კგ_11ც+1ც</v>
          </cell>
          <cell r="D479" t="str">
            <v>TON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O479">
            <v>0</v>
          </cell>
          <cell r="AP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  <cell r="DX479">
            <v>0</v>
          </cell>
          <cell r="DY479" t="str">
            <v/>
          </cell>
          <cell r="DZ479" t="str">
            <v>pasiv</v>
          </cell>
          <cell r="EA479" t="e">
            <v>#DIV/0!</v>
          </cell>
        </row>
        <row r="480">
          <cell r="B480">
            <v>353010</v>
          </cell>
          <cell r="C480" t="str">
            <v>წითელი ოსპი_რიჩმონდი_0.8კგ_11ც+1ც</v>
          </cell>
          <cell r="D480" t="str">
            <v>TON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O480">
            <v>0</v>
          </cell>
          <cell r="AP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  <cell r="DX480">
            <v>0</v>
          </cell>
          <cell r="DY480" t="str">
            <v/>
          </cell>
          <cell r="DZ480" t="str">
            <v>pasiv</v>
          </cell>
          <cell r="EA480" t="e">
            <v>#DIV/0!</v>
          </cell>
        </row>
        <row r="481">
          <cell r="B481">
            <v>353007</v>
          </cell>
          <cell r="C481" t="str">
            <v>ბრინჯი-რიჩმონდი_ორთქლ_800გ_11ც+1ც</v>
          </cell>
          <cell r="D481" t="str">
            <v>TON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O481">
            <v>0</v>
          </cell>
          <cell r="AP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  <cell r="DX481">
            <v>0</v>
          </cell>
          <cell r="DY481" t="str">
            <v/>
          </cell>
          <cell r="DZ481" t="str">
            <v>pasiv</v>
          </cell>
          <cell r="EA481" t="e">
            <v>#DIV/0!</v>
          </cell>
        </row>
        <row r="482">
          <cell r="B482">
            <v>353009</v>
          </cell>
          <cell r="C482" t="str">
            <v>ბრინჯი-რიჩმონდი მრგ-0.8კგ_11ც+1ც</v>
          </cell>
          <cell r="D482" t="str">
            <v>TON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O482">
            <v>0</v>
          </cell>
          <cell r="AP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  <cell r="DX482">
            <v>0</v>
          </cell>
          <cell r="DY482" t="str">
            <v/>
          </cell>
          <cell r="DZ482" t="str">
            <v>pasiv</v>
          </cell>
          <cell r="EA482" t="e">
            <v>#DIV/0!</v>
          </cell>
        </row>
        <row r="483">
          <cell r="B483">
            <v>277359</v>
          </cell>
          <cell r="C483" t="str">
            <v>ბრინჯი-რიჩმონდი_ორთქლში გატარებული_800გრ*12</v>
          </cell>
          <cell r="D483" t="str">
            <v>TON</v>
          </cell>
          <cell r="E483">
            <v>0</v>
          </cell>
          <cell r="F483">
            <v>0</v>
          </cell>
          <cell r="G483">
            <v>5.7599999999999998E-2</v>
          </cell>
          <cell r="H483">
            <v>157.99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O483">
            <v>5.7599999999999998E-2</v>
          </cell>
          <cell r="P483">
            <v>157.99</v>
          </cell>
          <cell r="Q483">
            <v>0</v>
          </cell>
          <cell r="R483">
            <v>0</v>
          </cell>
          <cell r="S483">
            <v>9.5999999999999992E-3</v>
          </cell>
          <cell r="T483">
            <v>26.15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9.5999999999999992E-3</v>
          </cell>
          <cell r="Z483">
            <v>26.15</v>
          </cell>
          <cell r="AA483">
            <v>0</v>
          </cell>
          <cell r="AB483">
            <v>0</v>
          </cell>
          <cell r="AC483">
            <v>2.3999999999999998E-3</v>
          </cell>
          <cell r="AD483">
            <v>8.3800000000000008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1.6799999999999999E-2</v>
          </cell>
          <cell r="AL483">
            <v>53.97</v>
          </cell>
          <cell r="AO483">
            <v>1.9199999999999998E-2</v>
          </cell>
          <cell r="AP483">
            <v>62.35</v>
          </cell>
          <cell r="AS483">
            <v>0</v>
          </cell>
          <cell r="AT483">
            <v>0</v>
          </cell>
          <cell r="AU483">
            <v>0.56720000000000004</v>
          </cell>
          <cell r="AV483">
            <v>1900.58</v>
          </cell>
          <cell r="AW483">
            <v>0</v>
          </cell>
          <cell r="AX483">
            <v>0</v>
          </cell>
          <cell r="AY483">
            <v>1.9199999999999998E-2</v>
          </cell>
          <cell r="AZ483">
            <v>71.28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1.9199999999999998E-2</v>
          </cell>
          <cell r="BF483">
            <v>71.28</v>
          </cell>
          <cell r="BG483">
            <v>0</v>
          </cell>
          <cell r="BH483">
            <v>0</v>
          </cell>
          <cell r="BI483">
            <v>9.5999999999999992E-3</v>
          </cell>
          <cell r="BJ483">
            <v>35.64</v>
          </cell>
          <cell r="BK483">
            <v>4.7999999999999996E-3</v>
          </cell>
          <cell r="BL483">
            <v>17.82</v>
          </cell>
          <cell r="BM483">
            <v>9.5999999999999992E-3</v>
          </cell>
          <cell r="BN483">
            <v>26.42</v>
          </cell>
          <cell r="BO483">
            <v>9.5999999999999992E-3</v>
          </cell>
          <cell r="BP483">
            <v>26.15</v>
          </cell>
          <cell r="BQ483">
            <v>0</v>
          </cell>
          <cell r="BR483">
            <v>0</v>
          </cell>
          <cell r="BS483">
            <v>3.3599999999999998E-2</v>
          </cell>
          <cell r="BT483">
            <v>106.03</v>
          </cell>
          <cell r="BU483">
            <v>4.7999999999999996E-3</v>
          </cell>
          <cell r="BV483">
            <v>13.21</v>
          </cell>
          <cell r="BW483">
            <v>1.3599999999999999E-2</v>
          </cell>
          <cell r="BX483">
            <v>37.43</v>
          </cell>
          <cell r="BY483">
            <v>9.5999999999999992E-3</v>
          </cell>
          <cell r="BZ483">
            <v>25.61</v>
          </cell>
          <cell r="CA483">
            <v>3.2800000000000003E-2</v>
          </cell>
          <cell r="CB483">
            <v>121.77</v>
          </cell>
          <cell r="CC483">
            <v>9.5999999999999992E-3</v>
          </cell>
          <cell r="CD483">
            <v>35.64</v>
          </cell>
          <cell r="CE483">
            <v>4.24E-2</v>
          </cell>
          <cell r="CF483">
            <v>155.38999999999999</v>
          </cell>
          <cell r="CG483">
            <v>0</v>
          </cell>
          <cell r="CH483">
            <v>0</v>
          </cell>
          <cell r="CI483">
            <v>0.1128</v>
          </cell>
          <cell r="CJ483">
            <v>389.05</v>
          </cell>
          <cell r="CK483">
            <v>0.1464</v>
          </cell>
          <cell r="CL483">
            <v>495.08000000000004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8.6400000000000005E-2</v>
          </cell>
          <cell r="CV483">
            <v>243.21</v>
          </cell>
          <cell r="CW483">
            <v>0</v>
          </cell>
          <cell r="CX483">
            <v>0</v>
          </cell>
          <cell r="CY483">
            <v>0.16320000000000001</v>
          </cell>
          <cell r="CZ483">
            <v>605.88</v>
          </cell>
          <cell r="DA483">
            <v>4.8000000000000001E-2</v>
          </cell>
          <cell r="DB483">
            <v>178.2</v>
          </cell>
          <cell r="DC483">
            <v>0</v>
          </cell>
          <cell r="DD483">
            <v>0</v>
          </cell>
          <cell r="DE483">
            <v>0.2112</v>
          </cell>
          <cell r="DF483">
            <v>784.07999999999993</v>
          </cell>
          <cell r="DG483">
            <v>9.5999999999999992E-3</v>
          </cell>
          <cell r="DH483">
            <v>35.64</v>
          </cell>
          <cell r="DI483">
            <v>6.4000000000000003E-3</v>
          </cell>
          <cell r="DJ483">
            <v>20.260000000000002</v>
          </cell>
          <cell r="DK483">
            <v>1.6000000000000001E-3</v>
          </cell>
          <cell r="DL483">
            <v>4.54</v>
          </cell>
          <cell r="DM483">
            <v>1.7600000000000001E-2</v>
          </cell>
          <cell r="DN483">
            <v>60.44</v>
          </cell>
          <cell r="DO483">
            <v>6.7199999999999996E-2</v>
          </cell>
          <cell r="DP483">
            <v>180.33</v>
          </cell>
          <cell r="DQ483">
            <v>9.5999999999999992E-3</v>
          </cell>
          <cell r="DR483">
            <v>35.64</v>
          </cell>
          <cell r="DS483">
            <v>9.5999999999999992E-3</v>
          </cell>
          <cell r="DT483">
            <v>27.24</v>
          </cell>
          <cell r="DU483">
            <v>8.6400000000000005E-2</v>
          </cell>
          <cell r="DV483">
            <v>243.21</v>
          </cell>
          <cell r="DW483">
            <v>0.56720000000000004</v>
          </cell>
          <cell r="DX483">
            <v>1900.58</v>
          </cell>
          <cell r="DY483" t="str">
            <v/>
          </cell>
          <cell r="DZ483">
            <v>0</v>
          </cell>
          <cell r="EA483">
            <v>3350.8110014104368</v>
          </cell>
        </row>
        <row r="484">
          <cell r="B484">
            <v>228005</v>
          </cell>
          <cell r="C484" t="str">
            <v>ბრინჯი-ზღაპარი_0.8კგ*12</v>
          </cell>
          <cell r="D484" t="str">
            <v>TON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O484">
            <v>0</v>
          </cell>
          <cell r="AP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  <cell r="DX484">
            <v>0</v>
          </cell>
          <cell r="DY484" t="str">
            <v/>
          </cell>
          <cell r="DZ484" t="str">
            <v>pasiv</v>
          </cell>
          <cell r="EA484" t="e">
            <v>#DIV/0!</v>
          </cell>
        </row>
        <row r="485">
          <cell r="B485">
            <v>228006</v>
          </cell>
          <cell r="C485" t="str">
            <v>წიწიბურა-ზღაპარი–0.8კგ*12</v>
          </cell>
          <cell r="D485" t="str">
            <v>TON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O485">
            <v>0</v>
          </cell>
          <cell r="AP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  <cell r="DX485">
            <v>0</v>
          </cell>
          <cell r="DY485" t="str">
            <v/>
          </cell>
          <cell r="DZ485" t="str">
            <v>pasiv</v>
          </cell>
          <cell r="EA485" t="e">
            <v>#DIV/0!</v>
          </cell>
        </row>
        <row r="486">
          <cell r="C486" t="str">
            <v>PAKETLI PIRINC</v>
          </cell>
          <cell r="D486" t="str">
            <v>TON</v>
          </cell>
          <cell r="E486">
            <v>0</v>
          </cell>
          <cell r="F486">
            <v>0</v>
          </cell>
          <cell r="G486">
            <v>9.6000000000000002E-2</v>
          </cell>
          <cell r="H486">
            <v>298.27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O486">
            <v>9.6000000000000002E-2</v>
          </cell>
          <cell r="P486">
            <v>298.27</v>
          </cell>
          <cell r="Q486">
            <v>0</v>
          </cell>
          <cell r="R486">
            <v>0</v>
          </cell>
          <cell r="S486">
            <v>3.9E-2</v>
          </cell>
          <cell r="T486">
            <v>128.32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3.9E-2</v>
          </cell>
          <cell r="Z486">
            <v>128.32</v>
          </cell>
          <cell r="AA486">
            <v>0</v>
          </cell>
          <cell r="AB486">
            <v>0</v>
          </cell>
          <cell r="AC486">
            <v>0.13270000000000001</v>
          </cell>
          <cell r="AD486">
            <v>507.01</v>
          </cell>
          <cell r="AE486">
            <v>0</v>
          </cell>
          <cell r="AF486">
            <v>0</v>
          </cell>
          <cell r="AG486">
            <v>1.44E-2</v>
          </cell>
          <cell r="AH486">
            <v>53.44</v>
          </cell>
          <cell r="AI486">
            <v>0.18800000000000003</v>
          </cell>
          <cell r="AJ486">
            <v>719.99000000000012</v>
          </cell>
          <cell r="AK486">
            <v>0.13930000000000001</v>
          </cell>
          <cell r="AL486">
            <v>483.19999999999993</v>
          </cell>
          <cell r="AO486">
            <v>0.47440000000000004</v>
          </cell>
          <cell r="AP486">
            <v>1763.6399999999999</v>
          </cell>
          <cell r="AS486">
            <v>0</v>
          </cell>
          <cell r="AT486">
            <v>0</v>
          </cell>
          <cell r="AU486">
            <v>3.3820500000000018</v>
          </cell>
          <cell r="AV486">
            <v>12315.67</v>
          </cell>
          <cell r="AW486">
            <v>0</v>
          </cell>
          <cell r="AX486">
            <v>0</v>
          </cell>
          <cell r="AY486">
            <v>8.3099999999999993E-2</v>
          </cell>
          <cell r="AZ486">
            <v>318.03000000000003</v>
          </cell>
          <cell r="BA486">
            <v>0</v>
          </cell>
          <cell r="BB486">
            <v>0</v>
          </cell>
          <cell r="BC486">
            <v>4.4699999999999997E-2</v>
          </cell>
          <cell r="BD486">
            <v>140.87</v>
          </cell>
          <cell r="BE486">
            <v>0.1278</v>
          </cell>
          <cell r="BF486">
            <v>458.90000000000009</v>
          </cell>
          <cell r="BG486">
            <v>2.7449999999999999E-2</v>
          </cell>
          <cell r="BH486">
            <v>104.88</v>
          </cell>
          <cell r="BI486">
            <v>0.1026</v>
          </cell>
          <cell r="BJ486">
            <v>367.03000000000003</v>
          </cell>
          <cell r="BK486">
            <v>6.1399999999999996E-2</v>
          </cell>
          <cell r="BL486">
            <v>214.19</v>
          </cell>
          <cell r="BM486">
            <v>1.8599999999999998E-2</v>
          </cell>
          <cell r="BN486">
            <v>59.82</v>
          </cell>
          <cell r="BO486">
            <v>8.43E-2</v>
          </cell>
          <cell r="BP486">
            <v>303.52999999999997</v>
          </cell>
          <cell r="BQ486">
            <v>0</v>
          </cell>
          <cell r="BR486">
            <v>0</v>
          </cell>
          <cell r="BS486">
            <v>0.29704999999999998</v>
          </cell>
          <cell r="BT486">
            <v>1059.47</v>
          </cell>
          <cell r="BU486">
            <v>0.12675</v>
          </cell>
          <cell r="BV486">
            <v>439.65</v>
          </cell>
          <cell r="BW486">
            <v>8.7399999999999992E-2</v>
          </cell>
          <cell r="BX486">
            <v>295.66000000000003</v>
          </cell>
          <cell r="BY486">
            <v>2.01E-2</v>
          </cell>
          <cell r="BZ486">
            <v>59.57</v>
          </cell>
          <cell r="CA486">
            <v>5.0799999999999998E-2</v>
          </cell>
          <cell r="CB486">
            <v>188.57</v>
          </cell>
          <cell r="CC486">
            <v>3.2199999999999999E-2</v>
          </cell>
          <cell r="CD486">
            <v>132.82</v>
          </cell>
          <cell r="CE486">
            <v>0.16045000000000001</v>
          </cell>
          <cell r="CF486">
            <v>653.64999999999986</v>
          </cell>
          <cell r="CG486">
            <v>1.2400000000000001E-2</v>
          </cell>
          <cell r="CH486">
            <v>44.35</v>
          </cell>
          <cell r="CI486">
            <v>0.49010000000000009</v>
          </cell>
          <cell r="CJ486">
            <v>1814.2699999999998</v>
          </cell>
          <cell r="CK486">
            <v>0.78714999999999991</v>
          </cell>
          <cell r="CL486">
            <v>2873.7400000000002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0.79909999999999992</v>
          </cell>
          <cell r="CV486">
            <v>2718.24</v>
          </cell>
          <cell r="CW486">
            <v>0</v>
          </cell>
          <cell r="CX486">
            <v>0</v>
          </cell>
          <cell r="CY486">
            <v>0.50780000000000003</v>
          </cell>
          <cell r="CZ486">
            <v>2035.85</v>
          </cell>
          <cell r="DA486">
            <v>6.7500000000000004E-2</v>
          </cell>
          <cell r="DB486">
            <v>265.33999999999997</v>
          </cell>
          <cell r="DC486">
            <v>0.22300000000000003</v>
          </cell>
          <cell r="DD486">
            <v>849.46999999999991</v>
          </cell>
          <cell r="DE486">
            <v>0.79830000000000001</v>
          </cell>
          <cell r="DF486">
            <v>3150.66</v>
          </cell>
          <cell r="DG486">
            <v>0.19929999999999998</v>
          </cell>
          <cell r="DH486">
            <v>694.74</v>
          </cell>
          <cell r="DI486">
            <v>3.9700000000000006E-2</v>
          </cell>
          <cell r="DJ486">
            <v>153.32</v>
          </cell>
          <cell r="DK486">
            <v>2.1299999999999999E-2</v>
          </cell>
          <cell r="DL486">
            <v>75.84</v>
          </cell>
          <cell r="DM486">
            <v>0.26029999999999998</v>
          </cell>
          <cell r="DN486">
            <v>923.90000000000009</v>
          </cell>
          <cell r="DO486">
            <v>0.45960000000000001</v>
          </cell>
          <cell r="DP486">
            <v>1502.99</v>
          </cell>
          <cell r="DQ486">
            <v>0.1983</v>
          </cell>
          <cell r="DR486">
            <v>696.61</v>
          </cell>
          <cell r="DS486">
            <v>0.14119999999999999</v>
          </cell>
          <cell r="DT486">
            <v>518.64</v>
          </cell>
          <cell r="DU486">
            <v>0.79909999999999992</v>
          </cell>
          <cell r="DV486">
            <v>2718.24</v>
          </cell>
          <cell r="DW486">
            <v>3.3820500000000009</v>
          </cell>
          <cell r="DX486">
            <v>12315.67</v>
          </cell>
          <cell r="DY486" t="str">
            <v/>
          </cell>
          <cell r="DZ486">
            <v>0</v>
          </cell>
          <cell r="EA486">
            <v>3641.4807587114315</v>
          </cell>
        </row>
        <row r="487">
          <cell r="B487">
            <v>275203</v>
          </cell>
          <cell r="C487" t="str">
            <v>M.DUYU_25KQ_1 KALITE</v>
          </cell>
          <cell r="D487" t="str">
            <v>TON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O487">
            <v>0</v>
          </cell>
          <cell r="AP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>
            <v>0</v>
          </cell>
          <cell r="DT487">
            <v>0</v>
          </cell>
          <cell r="DU487">
            <v>0</v>
          </cell>
          <cell r="DV487">
            <v>0</v>
          </cell>
          <cell r="DW487">
            <v>0</v>
          </cell>
          <cell r="DX487">
            <v>0</v>
          </cell>
          <cell r="DY487" t="str">
            <v/>
          </cell>
          <cell r="DZ487" t="str">
            <v>pasiv</v>
          </cell>
          <cell r="EA487" t="e">
            <v>#DIV/0!</v>
          </cell>
        </row>
        <row r="488">
          <cell r="B488">
            <v>125363</v>
          </cell>
          <cell r="C488" t="str">
            <v>DAPNA PARBOILED UZUN DUYU_25KQ_INDIA</v>
          </cell>
          <cell r="D488" t="str">
            <v>TON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O488">
            <v>0</v>
          </cell>
          <cell r="AP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  <cell r="DX488">
            <v>0</v>
          </cell>
          <cell r="DY488" t="str">
            <v/>
          </cell>
          <cell r="DZ488" t="str">
            <v>pasiv</v>
          </cell>
          <cell r="EA488" t="e">
            <v>#DIV/0!</v>
          </cell>
        </row>
        <row r="489">
          <cell r="B489">
            <v>290614</v>
          </cell>
          <cell r="C489" t="str">
            <v>ბრინჯი-სელა-25კგ-ინდური_აგრანტის</v>
          </cell>
          <cell r="D489" t="str">
            <v>TON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O489">
            <v>0</v>
          </cell>
          <cell r="AP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  <cell r="DX489">
            <v>0</v>
          </cell>
          <cell r="DY489" t="str">
            <v/>
          </cell>
          <cell r="DZ489" t="str">
            <v>pasiv</v>
          </cell>
          <cell r="EA489" t="e">
            <v>#DIV/0!</v>
          </cell>
        </row>
        <row r="490">
          <cell r="B490">
            <v>54497</v>
          </cell>
          <cell r="C490" t="str">
            <v>PIRINC_25 KG_PAKISTAN</v>
          </cell>
          <cell r="D490" t="str">
            <v>TON</v>
          </cell>
          <cell r="E490">
            <v>0</v>
          </cell>
          <cell r="F490">
            <v>0</v>
          </cell>
          <cell r="G490">
            <v>7.4999999999999997E-2</v>
          </cell>
          <cell r="H490">
            <v>156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O490">
            <v>7.4999999999999997E-2</v>
          </cell>
          <cell r="P490">
            <v>156</v>
          </cell>
          <cell r="Q490">
            <v>0.2</v>
          </cell>
          <cell r="R490">
            <v>403.52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0.2</v>
          </cell>
          <cell r="Z490">
            <v>403.52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O490">
            <v>0</v>
          </cell>
          <cell r="AP490">
            <v>0</v>
          </cell>
          <cell r="AS490">
            <v>0</v>
          </cell>
          <cell r="AT490">
            <v>0</v>
          </cell>
          <cell r="AU490">
            <v>0.625</v>
          </cell>
          <cell r="AV490">
            <v>1287.52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0.05</v>
          </cell>
          <cell r="BH490">
            <v>104</v>
          </cell>
          <cell r="BI490">
            <v>0</v>
          </cell>
          <cell r="BJ490">
            <v>0</v>
          </cell>
          <cell r="BK490">
            <v>0.05</v>
          </cell>
          <cell r="BL490">
            <v>104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0.1</v>
          </cell>
          <cell r="BT490">
            <v>208</v>
          </cell>
          <cell r="BU490">
            <v>0.1</v>
          </cell>
          <cell r="BV490">
            <v>208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0.1</v>
          </cell>
          <cell r="CJ490">
            <v>208</v>
          </cell>
          <cell r="CK490">
            <v>0.2</v>
          </cell>
          <cell r="CL490">
            <v>416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2.5000000000000001E-2</v>
          </cell>
          <cell r="DH490">
            <v>52</v>
          </cell>
          <cell r="DI490">
            <v>0.05</v>
          </cell>
          <cell r="DJ490">
            <v>104</v>
          </cell>
          <cell r="DK490">
            <v>7.4999999999999997E-2</v>
          </cell>
          <cell r="DL490">
            <v>156</v>
          </cell>
          <cell r="DM490">
            <v>0.15</v>
          </cell>
          <cell r="DN490">
            <v>312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0.625</v>
          </cell>
          <cell r="DX490">
            <v>1287.52</v>
          </cell>
          <cell r="DY490" t="str">
            <v/>
          </cell>
          <cell r="DZ490">
            <v>0</v>
          </cell>
          <cell r="EA490">
            <v>2060.0320000000002</v>
          </cell>
        </row>
        <row r="491">
          <cell r="B491">
            <v>101085</v>
          </cell>
          <cell r="C491" t="str">
            <v>ბრინჯი_მრგვალი_25კგ_ინდური</v>
          </cell>
          <cell r="D491" t="str">
            <v>TON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O491">
            <v>0</v>
          </cell>
          <cell r="AP491">
            <v>0</v>
          </cell>
          <cell r="AS491">
            <v>0</v>
          </cell>
          <cell r="AT491">
            <v>0</v>
          </cell>
          <cell r="AU491">
            <v>2.5000000000000001E-2</v>
          </cell>
          <cell r="AV491">
            <v>63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2.5000000000000001E-2</v>
          </cell>
          <cell r="DJ491">
            <v>63</v>
          </cell>
          <cell r="DK491">
            <v>0</v>
          </cell>
          <cell r="DL491">
            <v>0</v>
          </cell>
          <cell r="DM491">
            <v>2.5000000000000001E-2</v>
          </cell>
          <cell r="DN491">
            <v>63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2.5000000000000001E-2</v>
          </cell>
          <cell r="DX491">
            <v>63</v>
          </cell>
          <cell r="DY491" t="str">
            <v/>
          </cell>
          <cell r="DZ491">
            <v>0</v>
          </cell>
          <cell r="EA491">
            <v>2520</v>
          </cell>
        </row>
        <row r="492">
          <cell r="B492">
            <v>96561</v>
          </cell>
          <cell r="C492" t="str">
            <v>YUMRU DUYU_25 KG_RUSYA</v>
          </cell>
          <cell r="D492" t="str">
            <v>TON</v>
          </cell>
          <cell r="E492">
            <v>2.5000000000000001E-2</v>
          </cell>
          <cell r="F492">
            <v>86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O492">
            <v>2.5000000000000001E-2</v>
          </cell>
          <cell r="P492">
            <v>86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O492">
            <v>0</v>
          </cell>
          <cell r="AP492">
            <v>0</v>
          </cell>
          <cell r="AS492">
            <v>0</v>
          </cell>
          <cell r="AT492">
            <v>0</v>
          </cell>
          <cell r="AU492">
            <v>2.5000000000000001E-2</v>
          </cell>
          <cell r="AV492">
            <v>86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2.5000000000000001E-2</v>
          </cell>
          <cell r="DX492">
            <v>86</v>
          </cell>
          <cell r="DY492" t="str">
            <v/>
          </cell>
          <cell r="DZ492">
            <v>0</v>
          </cell>
          <cell r="EA492">
            <v>3440</v>
          </cell>
        </row>
        <row r="493">
          <cell r="C493" t="str">
            <v>CUVAL PIRINC</v>
          </cell>
          <cell r="D493" t="str">
            <v>TON</v>
          </cell>
          <cell r="E493">
            <v>2.5000000000000001E-2</v>
          </cell>
          <cell r="F493">
            <v>86</v>
          </cell>
          <cell r="G493">
            <v>7.4999999999999997E-2</v>
          </cell>
          <cell r="H493">
            <v>156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O493">
            <v>0.1</v>
          </cell>
          <cell r="P493">
            <v>242</v>
          </cell>
          <cell r="Q493">
            <v>0.2</v>
          </cell>
          <cell r="R493">
            <v>403.52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0.2</v>
          </cell>
          <cell r="Z493">
            <v>403.52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O493">
            <v>0</v>
          </cell>
          <cell r="AP493">
            <v>0</v>
          </cell>
          <cell r="AS493">
            <v>0</v>
          </cell>
          <cell r="AT493">
            <v>0</v>
          </cell>
          <cell r="AU493">
            <v>0.67500000000000004</v>
          </cell>
          <cell r="AV493">
            <v>1436.52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0.05</v>
          </cell>
          <cell r="BH493">
            <v>104</v>
          </cell>
          <cell r="BI493">
            <v>0</v>
          </cell>
          <cell r="BJ493">
            <v>0</v>
          </cell>
          <cell r="BK493">
            <v>0.05</v>
          </cell>
          <cell r="BL493">
            <v>104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0.1</v>
          </cell>
          <cell r="BT493">
            <v>208</v>
          </cell>
          <cell r="BU493">
            <v>0.1</v>
          </cell>
          <cell r="BV493">
            <v>208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0.1</v>
          </cell>
          <cell r="CJ493">
            <v>208</v>
          </cell>
          <cell r="CK493">
            <v>0.2</v>
          </cell>
          <cell r="CL493">
            <v>416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2.5000000000000001E-2</v>
          </cell>
          <cell r="DH493">
            <v>52</v>
          </cell>
          <cell r="DI493">
            <v>7.5000000000000011E-2</v>
          </cell>
          <cell r="DJ493">
            <v>167</v>
          </cell>
          <cell r="DK493">
            <v>7.4999999999999997E-2</v>
          </cell>
          <cell r="DL493">
            <v>156</v>
          </cell>
          <cell r="DM493">
            <v>0.17499999999999999</v>
          </cell>
          <cell r="DN493">
            <v>375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0.67500000000000004</v>
          </cell>
          <cell r="DX493">
            <v>1436.52</v>
          </cell>
          <cell r="DY493" t="str">
            <v/>
          </cell>
          <cell r="DZ493">
            <v>0</v>
          </cell>
          <cell r="EA493">
            <v>2128.1777777777775</v>
          </cell>
        </row>
        <row r="494">
          <cell r="C494" t="str">
            <v>PIRINC TOPLAMI</v>
          </cell>
          <cell r="D494" t="str">
            <v>TON</v>
          </cell>
          <cell r="E494">
            <v>2.5000000000000001E-2</v>
          </cell>
          <cell r="F494">
            <v>86</v>
          </cell>
          <cell r="G494">
            <v>0.17099999999999999</v>
          </cell>
          <cell r="H494">
            <v>454.27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O494">
            <v>0.19600000000000001</v>
          </cell>
          <cell r="P494">
            <v>540.27</v>
          </cell>
          <cell r="Q494">
            <v>0.2</v>
          </cell>
          <cell r="R494">
            <v>403.52</v>
          </cell>
          <cell r="S494">
            <v>3.9E-2</v>
          </cell>
          <cell r="T494">
            <v>128.32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0.23900000000000002</v>
          </cell>
          <cell r="Z494">
            <v>531.83999999999992</v>
          </cell>
          <cell r="AA494">
            <v>0</v>
          </cell>
          <cell r="AB494">
            <v>0</v>
          </cell>
          <cell r="AC494">
            <v>0.13270000000000001</v>
          </cell>
          <cell r="AD494">
            <v>507.01</v>
          </cell>
          <cell r="AE494">
            <v>0</v>
          </cell>
          <cell r="AF494">
            <v>0</v>
          </cell>
          <cell r="AG494">
            <v>1.44E-2</v>
          </cell>
          <cell r="AH494">
            <v>53.44</v>
          </cell>
          <cell r="AI494">
            <v>0.18800000000000003</v>
          </cell>
          <cell r="AJ494">
            <v>719.99000000000012</v>
          </cell>
          <cell r="AK494">
            <v>0.13930000000000001</v>
          </cell>
          <cell r="AL494">
            <v>483.19999999999993</v>
          </cell>
          <cell r="AO494">
            <v>0.47440000000000004</v>
          </cell>
          <cell r="AP494">
            <v>1763.6399999999999</v>
          </cell>
          <cell r="AS494">
            <v>0</v>
          </cell>
          <cell r="AT494">
            <v>0</v>
          </cell>
          <cell r="AU494">
            <v>4.057050000000002</v>
          </cell>
          <cell r="AV494">
            <v>13752.19</v>
          </cell>
          <cell r="AW494">
            <v>0</v>
          </cell>
          <cell r="AX494">
            <v>0</v>
          </cell>
          <cell r="AY494">
            <v>8.3099999999999993E-2</v>
          </cell>
          <cell r="AZ494">
            <v>318.03000000000003</v>
          </cell>
          <cell r="BA494">
            <v>0</v>
          </cell>
          <cell r="BB494">
            <v>0</v>
          </cell>
          <cell r="BC494">
            <v>4.4699999999999997E-2</v>
          </cell>
          <cell r="BD494">
            <v>140.87</v>
          </cell>
          <cell r="BE494">
            <v>0.1278</v>
          </cell>
          <cell r="BF494">
            <v>458.90000000000009</v>
          </cell>
          <cell r="BG494">
            <v>7.7450000000000005E-2</v>
          </cell>
          <cell r="BH494">
            <v>208.88</v>
          </cell>
          <cell r="BI494">
            <v>0.1026</v>
          </cell>
          <cell r="BJ494">
            <v>367.03000000000003</v>
          </cell>
          <cell r="BK494">
            <v>0.1114</v>
          </cell>
          <cell r="BL494">
            <v>318.19</v>
          </cell>
          <cell r="BM494">
            <v>1.8599999999999998E-2</v>
          </cell>
          <cell r="BN494">
            <v>59.82</v>
          </cell>
          <cell r="BO494">
            <v>8.43E-2</v>
          </cell>
          <cell r="BP494">
            <v>303.52999999999997</v>
          </cell>
          <cell r="BQ494">
            <v>0</v>
          </cell>
          <cell r="BR494">
            <v>0</v>
          </cell>
          <cell r="BS494">
            <v>0.39705000000000001</v>
          </cell>
          <cell r="BT494">
            <v>1267.47</v>
          </cell>
          <cell r="BU494">
            <v>0.22675000000000001</v>
          </cell>
          <cell r="BV494">
            <v>647.65</v>
          </cell>
          <cell r="BW494">
            <v>8.7399999999999992E-2</v>
          </cell>
          <cell r="BX494">
            <v>295.66000000000003</v>
          </cell>
          <cell r="BY494">
            <v>2.01E-2</v>
          </cell>
          <cell r="BZ494">
            <v>59.57</v>
          </cell>
          <cell r="CA494">
            <v>5.0799999999999998E-2</v>
          </cell>
          <cell r="CB494">
            <v>188.57</v>
          </cell>
          <cell r="CC494">
            <v>3.2199999999999999E-2</v>
          </cell>
          <cell r="CD494">
            <v>132.82</v>
          </cell>
          <cell r="CE494">
            <v>0.16045000000000001</v>
          </cell>
          <cell r="CF494">
            <v>653.64999999999986</v>
          </cell>
          <cell r="CG494">
            <v>1.2400000000000001E-2</v>
          </cell>
          <cell r="CH494">
            <v>44.35</v>
          </cell>
          <cell r="CI494">
            <v>0.59010000000000007</v>
          </cell>
          <cell r="CJ494">
            <v>2022.2699999999998</v>
          </cell>
          <cell r="CK494">
            <v>0.98714999999999997</v>
          </cell>
          <cell r="CL494">
            <v>3289.7400000000002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0.79909999999999992</v>
          </cell>
          <cell r="CV494">
            <v>2718.24</v>
          </cell>
          <cell r="CW494">
            <v>0</v>
          </cell>
          <cell r="CX494">
            <v>0</v>
          </cell>
          <cell r="CY494">
            <v>0.50780000000000003</v>
          </cell>
          <cell r="CZ494">
            <v>2035.85</v>
          </cell>
          <cell r="DA494">
            <v>6.7500000000000004E-2</v>
          </cell>
          <cell r="DB494">
            <v>265.33999999999997</v>
          </cell>
          <cell r="DC494">
            <v>0.22300000000000003</v>
          </cell>
          <cell r="DD494">
            <v>849.46999999999991</v>
          </cell>
          <cell r="DE494">
            <v>0.79830000000000001</v>
          </cell>
          <cell r="DF494">
            <v>3150.66</v>
          </cell>
          <cell r="DG494">
            <v>0.22429999999999997</v>
          </cell>
          <cell r="DH494">
            <v>746.74</v>
          </cell>
          <cell r="DI494">
            <v>0.11470000000000002</v>
          </cell>
          <cell r="DJ494">
            <v>320.32</v>
          </cell>
          <cell r="DK494">
            <v>9.6299999999999997E-2</v>
          </cell>
          <cell r="DL494">
            <v>231.84</v>
          </cell>
          <cell r="DM494">
            <v>0.43529999999999996</v>
          </cell>
          <cell r="DN494">
            <v>1298.9000000000001</v>
          </cell>
          <cell r="DO494">
            <v>0.45960000000000001</v>
          </cell>
          <cell r="DP494">
            <v>1502.99</v>
          </cell>
          <cell r="DQ494">
            <v>0.1983</v>
          </cell>
          <cell r="DR494">
            <v>696.61</v>
          </cell>
          <cell r="DS494">
            <v>0.14119999999999999</v>
          </cell>
          <cell r="DT494">
            <v>518.64</v>
          </cell>
          <cell r="DU494">
            <v>0.79909999999999992</v>
          </cell>
          <cell r="DV494">
            <v>2718.24</v>
          </cell>
          <cell r="DW494">
            <v>4.0570500000000012</v>
          </cell>
          <cell r="DX494">
            <v>13752.19</v>
          </cell>
          <cell r="DY494" t="str">
            <v/>
          </cell>
          <cell r="DZ494">
            <v>0</v>
          </cell>
          <cell r="EA494">
            <v>3389.7018769795777</v>
          </cell>
        </row>
        <row r="495">
          <cell r="B495">
            <v>17580</v>
          </cell>
          <cell r="C495" t="str">
            <v>შაქარი-რიჩმონდი-1*10</v>
          </cell>
          <cell r="D495" t="str">
            <v>TON</v>
          </cell>
          <cell r="E495">
            <v>0</v>
          </cell>
          <cell r="F495">
            <v>0</v>
          </cell>
          <cell r="G495">
            <v>0.75</v>
          </cell>
          <cell r="H495">
            <v>2485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O495">
            <v>0.75</v>
          </cell>
          <cell r="P495">
            <v>2485</v>
          </cell>
          <cell r="Q495">
            <v>0</v>
          </cell>
          <cell r="R495">
            <v>0</v>
          </cell>
          <cell r="S495">
            <v>0.01</v>
          </cell>
          <cell r="T495">
            <v>33.6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0.01</v>
          </cell>
          <cell r="Z495">
            <v>33.6</v>
          </cell>
          <cell r="AA495">
            <v>0</v>
          </cell>
          <cell r="AB495">
            <v>0</v>
          </cell>
          <cell r="AC495">
            <v>0.01</v>
          </cell>
          <cell r="AD495">
            <v>34.4</v>
          </cell>
          <cell r="AE495">
            <v>0</v>
          </cell>
          <cell r="AF495">
            <v>0</v>
          </cell>
          <cell r="AG495">
            <v>0.02</v>
          </cell>
          <cell r="AH495">
            <v>68</v>
          </cell>
          <cell r="AI495">
            <v>0.05</v>
          </cell>
          <cell r="AJ495">
            <v>172</v>
          </cell>
          <cell r="AK495">
            <v>0.09</v>
          </cell>
          <cell r="AL495">
            <v>308</v>
          </cell>
          <cell r="AO495">
            <v>0.16999999999999998</v>
          </cell>
          <cell r="AP495">
            <v>582.4</v>
          </cell>
          <cell r="AS495">
            <v>0</v>
          </cell>
          <cell r="AT495">
            <v>0</v>
          </cell>
          <cell r="AU495">
            <v>1.581</v>
          </cell>
          <cell r="AV495">
            <v>5319.59</v>
          </cell>
          <cell r="AW495">
            <v>0</v>
          </cell>
          <cell r="AX495">
            <v>0</v>
          </cell>
          <cell r="AY495">
            <v>0.04</v>
          </cell>
          <cell r="AZ495">
            <v>136.80000000000001</v>
          </cell>
          <cell r="BA495">
            <v>0</v>
          </cell>
          <cell r="BB495">
            <v>0</v>
          </cell>
          <cell r="BC495">
            <v>2.5999999999999999E-2</v>
          </cell>
          <cell r="BD495">
            <v>87.84</v>
          </cell>
          <cell r="BE495">
            <v>6.6000000000000003E-2</v>
          </cell>
          <cell r="BF495">
            <v>224.64000000000001</v>
          </cell>
          <cell r="BG495">
            <v>0.02</v>
          </cell>
          <cell r="BH495">
            <v>68.8</v>
          </cell>
          <cell r="BI495">
            <v>0.03</v>
          </cell>
          <cell r="BJ495">
            <v>103.2</v>
          </cell>
          <cell r="BK495">
            <v>0.01</v>
          </cell>
          <cell r="BL495">
            <v>34.4</v>
          </cell>
          <cell r="BM495">
            <v>0.04</v>
          </cell>
          <cell r="BN495">
            <v>137.6</v>
          </cell>
          <cell r="BO495">
            <v>0.02</v>
          </cell>
          <cell r="BP495">
            <v>68.8</v>
          </cell>
          <cell r="BQ495">
            <v>0</v>
          </cell>
          <cell r="BR495">
            <v>0</v>
          </cell>
          <cell r="BS495">
            <v>0.12</v>
          </cell>
          <cell r="BT495">
            <v>412.8</v>
          </cell>
          <cell r="BU495">
            <v>0.02</v>
          </cell>
          <cell r="BV495">
            <v>67.2</v>
          </cell>
          <cell r="BW495">
            <v>3.2000000000000001E-2</v>
          </cell>
          <cell r="BX495">
            <v>107.52</v>
          </cell>
          <cell r="BY495">
            <v>0</v>
          </cell>
          <cell r="BZ495">
            <v>0</v>
          </cell>
          <cell r="CA495">
            <v>0.01</v>
          </cell>
          <cell r="CB495">
            <v>34.4</v>
          </cell>
          <cell r="CC495">
            <v>0.03</v>
          </cell>
          <cell r="CD495">
            <v>103.2</v>
          </cell>
          <cell r="CE495">
            <v>0.02</v>
          </cell>
          <cell r="CF495">
            <v>68.8</v>
          </cell>
          <cell r="CG495">
            <v>0.01</v>
          </cell>
          <cell r="CH495">
            <v>33.6</v>
          </cell>
          <cell r="CI495">
            <v>0.122</v>
          </cell>
          <cell r="CJ495">
            <v>414.72</v>
          </cell>
          <cell r="CK495">
            <v>0.24199999999999999</v>
          </cell>
          <cell r="CL495">
            <v>827.52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7.0000000000000007E-2</v>
          </cell>
          <cell r="CV495">
            <v>240.8</v>
          </cell>
          <cell r="CW495">
            <v>0</v>
          </cell>
          <cell r="CX495">
            <v>0</v>
          </cell>
          <cell r="CY495">
            <v>0.21</v>
          </cell>
          <cell r="CZ495">
            <v>714</v>
          </cell>
          <cell r="DA495">
            <v>0</v>
          </cell>
          <cell r="DB495">
            <v>0</v>
          </cell>
          <cell r="DC495">
            <v>0.03</v>
          </cell>
          <cell r="DD495">
            <v>99</v>
          </cell>
          <cell r="DE495">
            <v>0.24</v>
          </cell>
          <cell r="DF495">
            <v>813</v>
          </cell>
          <cell r="DG495">
            <v>6.0000000000000001E-3</v>
          </cell>
          <cell r="DH495">
            <v>19.760000000000002</v>
          </cell>
          <cell r="DI495">
            <v>-2E-3</v>
          </cell>
          <cell r="DJ495">
            <v>-6.65</v>
          </cell>
          <cell r="DK495">
            <v>2.9000000000000001E-2</v>
          </cell>
          <cell r="DL495">
            <v>99.52</v>
          </cell>
          <cell r="DM495">
            <v>3.3000000000000002E-2</v>
          </cell>
          <cell r="DN495">
            <v>112.63</v>
          </cell>
          <cell r="DO495">
            <v>2.5000000000000001E-2</v>
          </cell>
          <cell r="DP495">
            <v>86</v>
          </cell>
          <cell r="DQ495">
            <v>0.01</v>
          </cell>
          <cell r="DR495">
            <v>34.4</v>
          </cell>
          <cell r="DS495">
            <v>3.5000000000000003E-2</v>
          </cell>
          <cell r="DT495">
            <v>120.4</v>
          </cell>
          <cell r="DU495">
            <v>7.0000000000000007E-2</v>
          </cell>
          <cell r="DV495">
            <v>240.8</v>
          </cell>
          <cell r="DW495">
            <v>1.581</v>
          </cell>
          <cell r="DX495">
            <v>5319.59</v>
          </cell>
          <cell r="DY495" t="str">
            <v/>
          </cell>
          <cell r="DZ495">
            <v>0</v>
          </cell>
          <cell r="EA495">
            <v>3364.699557242252</v>
          </cell>
        </row>
        <row r="496">
          <cell r="B496">
            <v>275196</v>
          </cell>
          <cell r="C496" t="str">
            <v>შაქარი-ჩვენი სუფრა-5*8</v>
          </cell>
          <cell r="D496" t="str">
            <v>TON</v>
          </cell>
          <cell r="E496">
            <v>0</v>
          </cell>
          <cell r="F496">
            <v>0</v>
          </cell>
          <cell r="G496">
            <v>0.36</v>
          </cell>
          <cell r="H496">
            <v>1145.92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O496">
            <v>0.36</v>
          </cell>
          <cell r="P496">
            <v>1145.92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O496">
            <v>0</v>
          </cell>
          <cell r="AP496">
            <v>0</v>
          </cell>
          <cell r="AS496">
            <v>0</v>
          </cell>
          <cell r="AT496">
            <v>0</v>
          </cell>
          <cell r="AU496">
            <v>1.0449999999999999</v>
          </cell>
          <cell r="AV496">
            <v>3387.64</v>
          </cell>
          <cell r="AW496">
            <v>0</v>
          </cell>
          <cell r="AX496">
            <v>0</v>
          </cell>
          <cell r="AY496">
            <v>0.04</v>
          </cell>
          <cell r="AZ496">
            <v>132.72</v>
          </cell>
          <cell r="BA496">
            <v>0</v>
          </cell>
          <cell r="BB496">
            <v>0</v>
          </cell>
          <cell r="BC496">
            <v>0.04</v>
          </cell>
          <cell r="BD496">
            <v>129.6</v>
          </cell>
          <cell r="BE496">
            <v>0.08</v>
          </cell>
          <cell r="BF496">
            <v>262.32</v>
          </cell>
          <cell r="BG496">
            <v>0</v>
          </cell>
          <cell r="BH496">
            <v>0</v>
          </cell>
          <cell r="BI496">
            <v>0.04</v>
          </cell>
          <cell r="BJ496">
            <v>132.72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0.04</v>
          </cell>
          <cell r="BT496">
            <v>132.72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0.04</v>
          </cell>
          <cell r="CD496">
            <v>132.72</v>
          </cell>
          <cell r="CE496">
            <v>4.4999999999999998E-2</v>
          </cell>
          <cell r="CF496">
            <v>148.91999999999999</v>
          </cell>
          <cell r="CG496">
            <v>0</v>
          </cell>
          <cell r="CH496">
            <v>0</v>
          </cell>
          <cell r="CI496">
            <v>8.5000000000000006E-2</v>
          </cell>
          <cell r="CJ496">
            <v>281.64</v>
          </cell>
          <cell r="CK496">
            <v>0.125</v>
          </cell>
          <cell r="CL496">
            <v>414.36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0.32</v>
          </cell>
          <cell r="CZ496">
            <v>1034.1600000000001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0.32</v>
          </cell>
          <cell r="DF496">
            <v>1034.1600000000001</v>
          </cell>
          <cell r="DG496">
            <v>0.16</v>
          </cell>
          <cell r="DH496">
            <v>530.88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0.16</v>
          </cell>
          <cell r="DN496">
            <v>530.88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1.0449999999999999</v>
          </cell>
          <cell r="DX496">
            <v>3387.6400000000003</v>
          </cell>
          <cell r="DY496" t="str">
            <v/>
          </cell>
          <cell r="DZ496">
            <v>0</v>
          </cell>
          <cell r="EA496">
            <v>3241.7607655502397</v>
          </cell>
        </row>
        <row r="497">
          <cell r="B497">
            <v>335103</v>
          </cell>
          <cell r="C497" t="str">
            <v>შაქარი-რიჩმონდი-400გ*20</v>
          </cell>
          <cell r="D497" t="str">
            <v>TON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1.6E-2</v>
          </cell>
          <cell r="AL497">
            <v>58.4</v>
          </cell>
          <cell r="AO497">
            <v>1.6E-2</v>
          </cell>
          <cell r="AP497">
            <v>58.4</v>
          </cell>
          <cell r="AS497">
            <v>0</v>
          </cell>
          <cell r="AT497">
            <v>0</v>
          </cell>
          <cell r="AU497">
            <v>0.13880000000000001</v>
          </cell>
          <cell r="AV497">
            <v>506.12</v>
          </cell>
          <cell r="AW497">
            <v>0</v>
          </cell>
          <cell r="AX497">
            <v>0</v>
          </cell>
          <cell r="AY497">
            <v>8.0000000000000002E-3</v>
          </cell>
          <cell r="AZ497">
            <v>29.2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8.0000000000000002E-3</v>
          </cell>
          <cell r="BF497">
            <v>29.2</v>
          </cell>
          <cell r="BG497">
            <v>0</v>
          </cell>
          <cell r="BH497">
            <v>0</v>
          </cell>
          <cell r="BI497">
            <v>1.6E-2</v>
          </cell>
          <cell r="BJ497">
            <v>60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4.0000000000000001E-3</v>
          </cell>
          <cell r="BP497">
            <v>15</v>
          </cell>
          <cell r="BQ497">
            <v>0</v>
          </cell>
          <cell r="BR497">
            <v>0</v>
          </cell>
          <cell r="BS497">
            <v>0.02</v>
          </cell>
          <cell r="BT497">
            <v>75</v>
          </cell>
          <cell r="BU497">
            <v>0</v>
          </cell>
          <cell r="BV497">
            <v>0</v>
          </cell>
          <cell r="BW497">
            <v>1.2E-2</v>
          </cell>
          <cell r="BX497">
            <v>43.8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4.0000000000000002E-4</v>
          </cell>
          <cell r="CF497">
            <v>1.46</v>
          </cell>
          <cell r="CG497">
            <v>0</v>
          </cell>
          <cell r="CH497">
            <v>0</v>
          </cell>
          <cell r="CI497">
            <v>1.24E-2</v>
          </cell>
          <cell r="CJ497">
            <v>45.26</v>
          </cell>
          <cell r="CK497">
            <v>3.2399999999999998E-2</v>
          </cell>
          <cell r="CL497">
            <v>120.25999999999999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3.2000000000000001E-2</v>
          </cell>
          <cell r="CZ497">
            <v>116.4</v>
          </cell>
          <cell r="DA497">
            <v>0</v>
          </cell>
          <cell r="DB497">
            <v>0</v>
          </cell>
          <cell r="DC497">
            <v>4.6800000000000001E-2</v>
          </cell>
          <cell r="DD497">
            <v>168.48</v>
          </cell>
          <cell r="DE497">
            <v>7.8800000000000009E-2</v>
          </cell>
          <cell r="DF497">
            <v>284.88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3.5999999999999999E-3</v>
          </cell>
          <cell r="DL497">
            <v>13.38</v>
          </cell>
          <cell r="DM497">
            <v>3.5999999999999999E-3</v>
          </cell>
          <cell r="DN497">
            <v>13.38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0.13880000000000003</v>
          </cell>
          <cell r="DX497">
            <v>506.11999999999995</v>
          </cell>
          <cell r="DY497" t="str">
            <v/>
          </cell>
          <cell r="DZ497">
            <v>0</v>
          </cell>
          <cell r="EA497">
            <v>3646.3976945244945</v>
          </cell>
        </row>
        <row r="498">
          <cell r="B498">
            <v>275197</v>
          </cell>
          <cell r="C498" t="str">
            <v>შაქარი ჩვენი სუფრა_800გრ*12</v>
          </cell>
          <cell r="D498" t="str">
            <v>TON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9.5999999999999992E-3</v>
          </cell>
          <cell r="T498">
            <v>33.6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9.5999999999999992E-3</v>
          </cell>
          <cell r="Z498">
            <v>33.6</v>
          </cell>
          <cell r="AA498">
            <v>0</v>
          </cell>
          <cell r="AB498">
            <v>0</v>
          </cell>
          <cell r="AC498">
            <v>0.11360000000000001</v>
          </cell>
          <cell r="AD498">
            <v>407.54</v>
          </cell>
          <cell r="AE498">
            <v>0</v>
          </cell>
          <cell r="AF498">
            <v>0</v>
          </cell>
          <cell r="AG498">
            <v>2.64E-2</v>
          </cell>
          <cell r="AH498">
            <v>94.71</v>
          </cell>
          <cell r="AI498">
            <v>8.5599999999999996E-2</v>
          </cell>
          <cell r="AJ498">
            <v>307.08999999999997</v>
          </cell>
          <cell r="AK498">
            <v>0.18160000000000001</v>
          </cell>
          <cell r="AL498">
            <v>648.97</v>
          </cell>
          <cell r="AO498">
            <v>0.40720000000000001</v>
          </cell>
          <cell r="AP498">
            <v>1458.31</v>
          </cell>
          <cell r="AS498">
            <v>0</v>
          </cell>
          <cell r="AT498">
            <v>0</v>
          </cell>
          <cell r="AU498">
            <v>2.0863999999999998</v>
          </cell>
          <cell r="AV498">
            <v>7466.2799999999897</v>
          </cell>
          <cell r="AW498">
            <v>0</v>
          </cell>
          <cell r="AX498">
            <v>0</v>
          </cell>
          <cell r="AY498">
            <v>3.8399999999999997E-2</v>
          </cell>
          <cell r="AZ498">
            <v>136.91999999999999</v>
          </cell>
          <cell r="BA498">
            <v>0</v>
          </cell>
          <cell r="BB498">
            <v>0</v>
          </cell>
          <cell r="BC498">
            <v>4.7999999999999996E-3</v>
          </cell>
          <cell r="BD498">
            <v>17.22</v>
          </cell>
          <cell r="BE498">
            <v>4.3199999999999995E-2</v>
          </cell>
          <cell r="BF498">
            <v>154.13999999999999</v>
          </cell>
          <cell r="BG498">
            <v>6.4799999999999996E-2</v>
          </cell>
          <cell r="BH498">
            <v>232.47</v>
          </cell>
          <cell r="BI498">
            <v>1.9199999999999998E-2</v>
          </cell>
          <cell r="BJ498">
            <v>68.88</v>
          </cell>
          <cell r="BK498">
            <v>7.3599999999999999E-2</v>
          </cell>
          <cell r="BL498">
            <v>264.04000000000002</v>
          </cell>
          <cell r="BM498">
            <v>8.9599999999999999E-2</v>
          </cell>
          <cell r="BN498">
            <v>321.44</v>
          </cell>
          <cell r="BO498">
            <v>0.12959999999999999</v>
          </cell>
          <cell r="BP498">
            <v>464.94</v>
          </cell>
          <cell r="BQ498">
            <v>0</v>
          </cell>
          <cell r="BR498">
            <v>0</v>
          </cell>
          <cell r="BS498">
            <v>0.37919999999999998</v>
          </cell>
          <cell r="BT498">
            <v>1360.38</v>
          </cell>
          <cell r="BU498">
            <v>6.2399999999999997E-2</v>
          </cell>
          <cell r="BV498">
            <v>218.4</v>
          </cell>
          <cell r="BW498">
            <v>4.7999999999999996E-3</v>
          </cell>
          <cell r="BX498">
            <v>16.8</v>
          </cell>
          <cell r="BY498">
            <v>2.7199999999999998E-2</v>
          </cell>
          <cell r="BZ498">
            <v>97.58</v>
          </cell>
          <cell r="CA498">
            <v>0.1888</v>
          </cell>
          <cell r="CB498">
            <v>677.32</v>
          </cell>
          <cell r="CC498">
            <v>4.0800000000000003E-2</v>
          </cell>
          <cell r="CD498">
            <v>146.37</v>
          </cell>
          <cell r="CE498">
            <v>4.24E-2</v>
          </cell>
          <cell r="CF498">
            <v>148.88</v>
          </cell>
          <cell r="CG498">
            <v>0</v>
          </cell>
          <cell r="CH498">
            <v>0</v>
          </cell>
          <cell r="CI498">
            <v>0.3664</v>
          </cell>
          <cell r="CJ498">
            <v>1305.3499999999999</v>
          </cell>
          <cell r="CK498">
            <v>0.74560000000000004</v>
          </cell>
          <cell r="CL498">
            <v>2665.73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0.22720000000000001</v>
          </cell>
          <cell r="CV498">
            <v>812.98</v>
          </cell>
          <cell r="CW498">
            <v>0</v>
          </cell>
          <cell r="CX498">
            <v>0</v>
          </cell>
          <cell r="CY498">
            <v>0.24959999999999999</v>
          </cell>
          <cell r="CZ498">
            <v>892.56</v>
          </cell>
          <cell r="DA498">
            <v>0.19520000000000001</v>
          </cell>
          <cell r="DB498">
            <v>700.28</v>
          </cell>
          <cell r="DC498">
            <v>7.5999999999999998E-2</v>
          </cell>
          <cell r="DD498">
            <v>272.64999999999998</v>
          </cell>
          <cell r="DE498">
            <v>0.52079999999999993</v>
          </cell>
          <cell r="DF498">
            <v>1865.4899999999998</v>
          </cell>
          <cell r="DG498">
            <v>5.7599999999999998E-2</v>
          </cell>
          <cell r="DH498">
            <v>206.64</v>
          </cell>
          <cell r="DI498">
            <v>2.4799999999999999E-2</v>
          </cell>
          <cell r="DJ498">
            <v>88.97</v>
          </cell>
          <cell r="DK498">
            <v>5.04E-2</v>
          </cell>
          <cell r="DL498">
            <v>180.42</v>
          </cell>
          <cell r="DM498">
            <v>0.1328</v>
          </cell>
          <cell r="DN498">
            <v>476.03</v>
          </cell>
          <cell r="DO498">
            <v>4.3200000000000002E-2</v>
          </cell>
          <cell r="DP498">
            <v>154.56</v>
          </cell>
          <cell r="DQ498">
            <v>4.9599999999999998E-2</v>
          </cell>
          <cell r="DR498">
            <v>176.26</v>
          </cell>
          <cell r="DS498">
            <v>0.13439999999999999</v>
          </cell>
          <cell r="DT498">
            <v>482.16</v>
          </cell>
          <cell r="DU498">
            <v>0.22720000000000001</v>
          </cell>
          <cell r="DV498">
            <v>812.98</v>
          </cell>
          <cell r="DW498">
            <v>2.0863999999999998</v>
          </cell>
          <cell r="DX498">
            <v>7466.2800000000007</v>
          </cell>
          <cell r="DY498" t="str">
            <v/>
          </cell>
          <cell r="DZ498">
            <v>0</v>
          </cell>
          <cell r="EA498">
            <v>3578.5467791411047</v>
          </cell>
        </row>
        <row r="499">
          <cell r="B499">
            <v>92543</v>
          </cell>
          <cell r="C499" t="str">
            <v>AGARA TOZ SEKER 1 KG*12</v>
          </cell>
          <cell r="D499" t="str">
            <v>TON</v>
          </cell>
          <cell r="E499">
            <v>0.18</v>
          </cell>
          <cell r="F499">
            <v>590.4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O499">
            <v>0.18</v>
          </cell>
          <cell r="P499">
            <v>590.4</v>
          </cell>
          <cell r="Q499">
            <v>0</v>
          </cell>
          <cell r="R499">
            <v>0</v>
          </cell>
          <cell r="S499">
            <v>1.2E-2</v>
          </cell>
          <cell r="T499">
            <v>39.36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1.2E-2</v>
          </cell>
          <cell r="Z499">
            <v>39.36</v>
          </cell>
          <cell r="AA499">
            <v>0</v>
          </cell>
          <cell r="AB499">
            <v>0</v>
          </cell>
          <cell r="AC499">
            <v>-1E-3</v>
          </cell>
          <cell r="AD499">
            <v>-3.44</v>
          </cell>
          <cell r="AE499">
            <v>0</v>
          </cell>
          <cell r="AF499">
            <v>0</v>
          </cell>
          <cell r="AG499">
            <v>1.2E-2</v>
          </cell>
          <cell r="AH499">
            <v>39.36</v>
          </cell>
          <cell r="AI499">
            <v>4.8000000000000001E-2</v>
          </cell>
          <cell r="AJ499">
            <v>165.12</v>
          </cell>
          <cell r="AK499">
            <v>0.13100000000000001</v>
          </cell>
          <cell r="AL499">
            <v>444.88</v>
          </cell>
          <cell r="AO499">
            <v>0.19</v>
          </cell>
          <cell r="AP499">
            <v>645.92000000000007</v>
          </cell>
          <cell r="AS499">
            <v>0</v>
          </cell>
          <cell r="AT499">
            <v>0</v>
          </cell>
          <cell r="AU499">
            <v>1.417</v>
          </cell>
          <cell r="AV499">
            <v>4807.1899999999996</v>
          </cell>
          <cell r="AW499">
            <v>0</v>
          </cell>
          <cell r="AX499">
            <v>0</v>
          </cell>
          <cell r="AY499">
            <v>0.06</v>
          </cell>
          <cell r="AZ499">
            <v>204.48</v>
          </cell>
          <cell r="BA499">
            <v>0</v>
          </cell>
          <cell r="BB499">
            <v>0</v>
          </cell>
          <cell r="BC499">
            <v>2.9000000000000001E-2</v>
          </cell>
          <cell r="BD499">
            <v>95.81</v>
          </cell>
          <cell r="BE499">
            <v>8.8999999999999996E-2</v>
          </cell>
          <cell r="BF499">
            <v>300.28999999999996</v>
          </cell>
          <cell r="BG499">
            <v>3.5999999999999997E-2</v>
          </cell>
          <cell r="BH499">
            <v>123.84</v>
          </cell>
          <cell r="BI499">
            <v>7.1999999999999995E-2</v>
          </cell>
          <cell r="BJ499">
            <v>247.68</v>
          </cell>
          <cell r="BK499">
            <v>1.2E-2</v>
          </cell>
          <cell r="BL499">
            <v>41.28</v>
          </cell>
          <cell r="BM499">
            <v>3.5999999999999997E-2</v>
          </cell>
          <cell r="BN499">
            <v>123.84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0.156</v>
          </cell>
          <cell r="BT499">
            <v>536.64</v>
          </cell>
          <cell r="BU499">
            <v>2.4E-2</v>
          </cell>
          <cell r="BV499">
            <v>78.72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0.05</v>
          </cell>
          <cell r="CD499">
            <v>172</v>
          </cell>
          <cell r="CE499">
            <v>5.0999999999999997E-2</v>
          </cell>
          <cell r="CF499">
            <v>171.6</v>
          </cell>
          <cell r="CG499">
            <v>0</v>
          </cell>
          <cell r="CH499">
            <v>0</v>
          </cell>
          <cell r="CI499">
            <v>0.125</v>
          </cell>
          <cell r="CJ499">
            <v>422.32</v>
          </cell>
          <cell r="CK499">
            <v>0.28100000000000003</v>
          </cell>
          <cell r="CL499">
            <v>958.96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2.4E-2</v>
          </cell>
          <cell r="CV499">
            <v>82.56</v>
          </cell>
          <cell r="CW499">
            <v>0</v>
          </cell>
          <cell r="CX499">
            <v>0</v>
          </cell>
          <cell r="CY499">
            <v>0.44400000000000001</v>
          </cell>
          <cell r="CZ499">
            <v>1524</v>
          </cell>
          <cell r="DA499">
            <v>1.2E-2</v>
          </cell>
          <cell r="DB499">
            <v>41.28</v>
          </cell>
          <cell r="DC499">
            <v>0.108</v>
          </cell>
          <cell r="DD499">
            <v>359.76</v>
          </cell>
          <cell r="DE499">
            <v>0.56400000000000006</v>
          </cell>
          <cell r="DF499">
            <v>1925.04</v>
          </cell>
          <cell r="DG499">
            <v>4.7E-2</v>
          </cell>
          <cell r="DH499">
            <v>161.46</v>
          </cell>
          <cell r="DI499">
            <v>1.7999999999999999E-2</v>
          </cell>
          <cell r="DJ499">
            <v>61.92</v>
          </cell>
          <cell r="DK499">
            <v>1.2E-2</v>
          </cell>
          <cell r="DL499">
            <v>41.28</v>
          </cell>
          <cell r="DM499">
            <v>7.6999999999999999E-2</v>
          </cell>
          <cell r="DN499">
            <v>264.66000000000003</v>
          </cell>
          <cell r="DO499">
            <v>0</v>
          </cell>
          <cell r="DP499">
            <v>0</v>
          </cell>
          <cell r="DQ499">
            <v>1.2E-2</v>
          </cell>
          <cell r="DR499">
            <v>41.28</v>
          </cell>
          <cell r="DS499">
            <v>1.2E-2</v>
          </cell>
          <cell r="DT499">
            <v>41.28</v>
          </cell>
          <cell r="DU499">
            <v>2.4E-2</v>
          </cell>
          <cell r="DV499">
            <v>82.56</v>
          </cell>
          <cell r="DW499">
            <v>1.417</v>
          </cell>
          <cell r="DX499">
            <v>4807.1899999999996</v>
          </cell>
          <cell r="DY499" t="str">
            <v/>
          </cell>
          <cell r="DZ499">
            <v>0</v>
          </cell>
          <cell r="EA499">
            <v>3392.5123500352856</v>
          </cell>
        </row>
        <row r="500">
          <cell r="B500">
            <v>98094</v>
          </cell>
          <cell r="C500" t="str">
            <v>AGARA TOZ SEKER_5 KG*8</v>
          </cell>
          <cell r="D500" t="str">
            <v>TON</v>
          </cell>
          <cell r="E500">
            <v>0.01</v>
          </cell>
          <cell r="F500">
            <v>31.8</v>
          </cell>
          <cell r="G500">
            <v>0.02</v>
          </cell>
          <cell r="H500">
            <v>63.6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O500">
            <v>0.03</v>
          </cell>
          <cell r="P500">
            <v>95.4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O500">
            <v>0</v>
          </cell>
          <cell r="AP500">
            <v>0</v>
          </cell>
          <cell r="AS500">
            <v>0</v>
          </cell>
          <cell r="AT500">
            <v>0</v>
          </cell>
          <cell r="AU500">
            <v>0.46500000000000002</v>
          </cell>
          <cell r="AV500">
            <v>1528.38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0.08</v>
          </cell>
          <cell r="BJ500">
            <v>265.44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0.08</v>
          </cell>
          <cell r="BT500">
            <v>265.44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0.04</v>
          </cell>
          <cell r="CF500">
            <v>132.72</v>
          </cell>
          <cell r="CG500">
            <v>0.02</v>
          </cell>
          <cell r="CH500">
            <v>63.6</v>
          </cell>
          <cell r="CI500">
            <v>0.06</v>
          </cell>
          <cell r="CJ500">
            <v>196.32</v>
          </cell>
          <cell r="CK500">
            <v>0.14000000000000001</v>
          </cell>
          <cell r="CL500">
            <v>461.76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0.2</v>
          </cell>
          <cell r="CZ500">
            <v>663.6</v>
          </cell>
          <cell r="DA500">
            <v>0.04</v>
          </cell>
          <cell r="DB500">
            <v>132.72</v>
          </cell>
          <cell r="DC500">
            <v>5.5E-2</v>
          </cell>
          <cell r="DD500">
            <v>174.9</v>
          </cell>
          <cell r="DE500">
            <v>0.29500000000000004</v>
          </cell>
          <cell r="DF500">
            <v>971.22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0.46500000000000008</v>
          </cell>
          <cell r="DX500">
            <v>1528.38</v>
          </cell>
          <cell r="DY500" t="str">
            <v/>
          </cell>
          <cell r="DZ500">
            <v>0</v>
          </cell>
          <cell r="EA500">
            <v>3286.838709677419</v>
          </cell>
        </row>
        <row r="501">
          <cell r="A501">
            <v>6000</v>
          </cell>
          <cell r="C501" t="str">
            <v>PAKETLI SEKER</v>
          </cell>
          <cell r="D501" t="str">
            <v>TON</v>
          </cell>
          <cell r="E501">
            <v>0.19</v>
          </cell>
          <cell r="F501">
            <v>622.19999999999993</v>
          </cell>
          <cell r="G501">
            <v>1.1299999999999999</v>
          </cell>
          <cell r="H501">
            <v>3694.52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O501">
            <v>1.3199999999999998</v>
          </cell>
          <cell r="P501">
            <v>4316.7199999999993</v>
          </cell>
          <cell r="Q501">
            <v>0</v>
          </cell>
          <cell r="R501">
            <v>0</v>
          </cell>
          <cell r="S501">
            <v>3.1600000000000003E-2</v>
          </cell>
          <cell r="T501">
            <v>106.56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3.1600000000000003E-2</v>
          </cell>
          <cell r="Z501">
            <v>106.56</v>
          </cell>
          <cell r="AA501">
            <v>0</v>
          </cell>
          <cell r="AB501">
            <v>0</v>
          </cell>
          <cell r="AC501">
            <v>0.1226</v>
          </cell>
          <cell r="AD501">
            <v>438.5</v>
          </cell>
          <cell r="AE501">
            <v>0</v>
          </cell>
          <cell r="AF501">
            <v>0</v>
          </cell>
          <cell r="AG501">
            <v>5.8399999999999994E-2</v>
          </cell>
          <cell r="AH501">
            <v>202.07</v>
          </cell>
          <cell r="AI501">
            <v>0.18359999999999999</v>
          </cell>
          <cell r="AJ501">
            <v>644.21</v>
          </cell>
          <cell r="AK501">
            <v>0.41860000000000003</v>
          </cell>
          <cell r="AL501">
            <v>1460.25</v>
          </cell>
          <cell r="AO501">
            <v>0.78320000000000001</v>
          </cell>
          <cell r="AP501">
            <v>2745.0299999999997</v>
          </cell>
          <cell r="AS501">
            <v>0</v>
          </cell>
          <cell r="AT501">
            <v>0</v>
          </cell>
          <cell r="AU501">
            <v>6.7331999999999992</v>
          </cell>
          <cell r="AV501">
            <v>23015.19999999999</v>
          </cell>
          <cell r="AW501">
            <v>0</v>
          </cell>
          <cell r="AX501">
            <v>0</v>
          </cell>
          <cell r="AY501">
            <v>0.18639999999999998</v>
          </cell>
          <cell r="AZ501">
            <v>640.12</v>
          </cell>
          <cell r="BA501">
            <v>0</v>
          </cell>
          <cell r="BB501">
            <v>0</v>
          </cell>
          <cell r="BC501">
            <v>9.98E-2</v>
          </cell>
          <cell r="BD501">
            <v>330.47</v>
          </cell>
          <cell r="BE501">
            <v>0.28620000000000001</v>
          </cell>
          <cell r="BF501">
            <v>970.59</v>
          </cell>
          <cell r="BG501">
            <v>0.12079999999999999</v>
          </cell>
          <cell r="BH501">
            <v>425.11</v>
          </cell>
          <cell r="BI501">
            <v>0.25719999999999998</v>
          </cell>
          <cell r="BJ501">
            <v>877.92000000000007</v>
          </cell>
          <cell r="BK501">
            <v>9.5599999999999991E-2</v>
          </cell>
          <cell r="BL501">
            <v>339.72</v>
          </cell>
          <cell r="BM501">
            <v>0.1656</v>
          </cell>
          <cell r="BN501">
            <v>582.88</v>
          </cell>
          <cell r="BO501">
            <v>0.15359999999999999</v>
          </cell>
          <cell r="BP501">
            <v>548.74</v>
          </cell>
          <cell r="BQ501">
            <v>0</v>
          </cell>
          <cell r="BR501">
            <v>0</v>
          </cell>
          <cell r="BS501">
            <v>0.79519999999999991</v>
          </cell>
          <cell r="BT501">
            <v>2782.98</v>
          </cell>
          <cell r="BU501">
            <v>0.10639999999999999</v>
          </cell>
          <cell r="BV501">
            <v>364.32000000000005</v>
          </cell>
          <cell r="BW501">
            <v>4.8799999999999996E-2</v>
          </cell>
          <cell r="BX501">
            <v>168.12</v>
          </cell>
          <cell r="BY501">
            <v>2.7199999999999998E-2</v>
          </cell>
          <cell r="BZ501">
            <v>97.58</v>
          </cell>
          <cell r="CA501">
            <v>0.1988</v>
          </cell>
          <cell r="CB501">
            <v>711.72</v>
          </cell>
          <cell r="CC501">
            <v>0.1608</v>
          </cell>
          <cell r="CD501">
            <v>554.29</v>
          </cell>
          <cell r="CE501">
            <v>0.1988</v>
          </cell>
          <cell r="CF501">
            <v>672.38</v>
          </cell>
          <cell r="CG501">
            <v>0.03</v>
          </cell>
          <cell r="CH501">
            <v>97.2</v>
          </cell>
          <cell r="CI501">
            <v>0.77079999999999993</v>
          </cell>
          <cell r="CJ501">
            <v>2665.61</v>
          </cell>
          <cell r="CK501">
            <v>1.5660000000000003</v>
          </cell>
          <cell r="CL501">
            <v>5448.59</v>
          </cell>
          <cell r="CO501">
            <v>0</v>
          </cell>
          <cell r="CP501">
            <v>0</v>
          </cell>
          <cell r="CQ501">
            <v>0</v>
          </cell>
          <cell r="CR501">
            <v>0</v>
          </cell>
          <cell r="CS501">
            <v>0</v>
          </cell>
          <cell r="CT501">
            <v>0</v>
          </cell>
          <cell r="CU501">
            <v>0.32120000000000004</v>
          </cell>
          <cell r="CV501">
            <v>1136.3399999999999</v>
          </cell>
          <cell r="CW501">
            <v>0</v>
          </cell>
          <cell r="CX501">
            <v>0</v>
          </cell>
          <cell r="CY501">
            <v>1.4556</v>
          </cell>
          <cell r="CZ501">
            <v>4944.72</v>
          </cell>
          <cell r="DA501">
            <v>0.24720000000000003</v>
          </cell>
          <cell r="DB501">
            <v>874.28</v>
          </cell>
          <cell r="DC501">
            <v>0.31579999999999997</v>
          </cell>
          <cell r="DD501">
            <v>1074.79</v>
          </cell>
          <cell r="DE501">
            <v>2.0186000000000002</v>
          </cell>
          <cell r="DF501">
            <v>6893.79</v>
          </cell>
          <cell r="DG501">
            <v>0.27060000000000001</v>
          </cell>
          <cell r="DH501">
            <v>918.74</v>
          </cell>
          <cell r="DI501">
            <v>4.0800000000000003E-2</v>
          </cell>
          <cell r="DJ501">
            <v>144.24</v>
          </cell>
          <cell r="DK501">
            <v>9.5000000000000001E-2</v>
          </cell>
          <cell r="DL501">
            <v>334.6</v>
          </cell>
          <cell r="DM501">
            <v>0.40640000000000004</v>
          </cell>
          <cell r="DN501">
            <v>1397.5800000000002</v>
          </cell>
          <cell r="DO501">
            <v>6.8200000000000011E-2</v>
          </cell>
          <cell r="DP501">
            <v>240.56</v>
          </cell>
          <cell r="DQ501">
            <v>7.1599999999999997E-2</v>
          </cell>
          <cell r="DR501">
            <v>251.94</v>
          </cell>
          <cell r="DS501">
            <v>0.18140000000000001</v>
          </cell>
          <cell r="DT501">
            <v>643.84</v>
          </cell>
          <cell r="DU501">
            <v>0.32120000000000004</v>
          </cell>
          <cell r="DV501">
            <v>1136.3399999999999</v>
          </cell>
          <cell r="DW501">
            <v>6.7332000000000001</v>
          </cell>
          <cell r="DX501">
            <v>23015.200000000001</v>
          </cell>
          <cell r="DY501" t="str">
            <v/>
          </cell>
          <cell r="DZ501">
            <v>0</v>
          </cell>
          <cell r="EA501">
            <v>3418.1666963702251</v>
          </cell>
        </row>
        <row r="502">
          <cell r="B502">
            <v>30497</v>
          </cell>
          <cell r="C502" t="str">
            <v>SEKER  GEO 50 *1</v>
          </cell>
          <cell r="D502" t="str">
            <v>TON</v>
          </cell>
          <cell r="E502">
            <v>0</v>
          </cell>
          <cell r="F502">
            <v>0</v>
          </cell>
          <cell r="G502">
            <v>0.1</v>
          </cell>
          <cell r="H502">
            <v>237.8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O502">
            <v>0.1</v>
          </cell>
          <cell r="P502">
            <v>237.8</v>
          </cell>
          <cell r="Q502">
            <v>0.25</v>
          </cell>
          <cell r="R502">
            <v>594.5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0.25</v>
          </cell>
          <cell r="Z502">
            <v>594.5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O502">
            <v>0</v>
          </cell>
          <cell r="AP502">
            <v>0</v>
          </cell>
          <cell r="AS502">
            <v>0</v>
          </cell>
          <cell r="AT502">
            <v>0</v>
          </cell>
          <cell r="AU502">
            <v>4.3499999999999996</v>
          </cell>
          <cell r="AV502">
            <v>10168.299999999999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0.35</v>
          </cell>
          <cell r="DX502">
            <v>832.3</v>
          </cell>
          <cell r="DY502" t="str">
            <v/>
          </cell>
          <cell r="DZ502">
            <v>0</v>
          </cell>
          <cell r="EA502">
            <v>2378</v>
          </cell>
        </row>
        <row r="503">
          <cell r="C503" t="str">
            <v>CUVAL SEKER</v>
          </cell>
          <cell r="D503" t="str">
            <v>TON</v>
          </cell>
          <cell r="E503">
            <v>0</v>
          </cell>
          <cell r="F503">
            <v>0</v>
          </cell>
          <cell r="G503">
            <v>0.1</v>
          </cell>
          <cell r="H503">
            <v>237.8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O503">
            <v>0.1</v>
          </cell>
          <cell r="P503">
            <v>237.8</v>
          </cell>
          <cell r="Q503">
            <v>0.25</v>
          </cell>
          <cell r="R503">
            <v>594.5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0.25</v>
          </cell>
          <cell r="Z503">
            <v>594.5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O503">
            <v>0</v>
          </cell>
          <cell r="AP503">
            <v>0</v>
          </cell>
          <cell r="AS503">
            <v>0</v>
          </cell>
          <cell r="AT503">
            <v>0</v>
          </cell>
          <cell r="AU503">
            <v>4.3499999999999996</v>
          </cell>
          <cell r="AV503">
            <v>10168.299999999999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0.35</v>
          </cell>
          <cell r="DX503">
            <v>832.3</v>
          </cell>
          <cell r="DY503" t="str">
            <v/>
          </cell>
          <cell r="DZ503">
            <v>0</v>
          </cell>
          <cell r="EA503">
            <v>2378</v>
          </cell>
        </row>
        <row r="504">
          <cell r="B504">
            <v>56401</v>
          </cell>
          <cell r="C504" t="str">
            <v>AZER SEKER SARMA_500QR*20</v>
          </cell>
          <cell r="D504" t="str">
            <v>TON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O504">
            <v>0</v>
          </cell>
          <cell r="AP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  <cell r="DX504">
            <v>0</v>
          </cell>
          <cell r="DY504" t="str">
            <v/>
          </cell>
          <cell r="DZ504" t="str">
            <v>pasiv</v>
          </cell>
          <cell r="EA504" t="e">
            <v>#DIV/0!</v>
          </cell>
        </row>
        <row r="505">
          <cell r="B505">
            <v>316308</v>
          </cell>
          <cell r="C505" t="str">
            <v>შაქარი ყავისფერი_აზერშექერ_500გ*12</v>
          </cell>
          <cell r="D505" t="str">
            <v>TON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O505">
            <v>0</v>
          </cell>
          <cell r="AP505">
            <v>0</v>
          </cell>
          <cell r="AS505">
            <v>0</v>
          </cell>
          <cell r="AT505">
            <v>0</v>
          </cell>
          <cell r="AU505">
            <v>1.2E-2</v>
          </cell>
          <cell r="AV505">
            <v>115.06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1.2E-2</v>
          </cell>
          <cell r="DD505">
            <v>115.06</v>
          </cell>
          <cell r="DE505">
            <v>1.2E-2</v>
          </cell>
          <cell r="DF505">
            <v>115.06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1.2E-2</v>
          </cell>
          <cell r="DX505">
            <v>115.06</v>
          </cell>
          <cell r="DY505" t="str">
            <v/>
          </cell>
          <cell r="DZ505">
            <v>0</v>
          </cell>
          <cell r="EA505">
            <v>9588.3333333333339</v>
          </cell>
        </row>
        <row r="506">
          <cell r="B506">
            <v>294118</v>
          </cell>
          <cell r="C506" t="str">
            <v>ნატ.შაქარი_აზერი_ 150გ*27</v>
          </cell>
          <cell r="D506" t="str">
            <v>TON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O506">
            <v>0</v>
          </cell>
          <cell r="AP506">
            <v>0</v>
          </cell>
          <cell r="AS506">
            <v>0</v>
          </cell>
          <cell r="AT506">
            <v>0</v>
          </cell>
          <cell r="AU506">
            <v>1.7999999999999999E-2</v>
          </cell>
          <cell r="AV506">
            <v>149.97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4.0499999999999998E-3</v>
          </cell>
          <cell r="BP506">
            <v>34.56</v>
          </cell>
          <cell r="BQ506">
            <v>0</v>
          </cell>
          <cell r="BR506">
            <v>0</v>
          </cell>
          <cell r="BS506">
            <v>4.0499999999999998E-3</v>
          </cell>
          <cell r="BT506">
            <v>34.56</v>
          </cell>
          <cell r="BU506">
            <v>8.9999999999999998E-4</v>
          </cell>
          <cell r="BV506">
            <v>7.32</v>
          </cell>
          <cell r="BW506">
            <v>0</v>
          </cell>
          <cell r="BX506">
            <v>0</v>
          </cell>
          <cell r="BY506">
            <v>1.5E-3</v>
          </cell>
          <cell r="BZ506">
            <v>11.83</v>
          </cell>
          <cell r="CA506">
            <v>4.0499999999999998E-3</v>
          </cell>
          <cell r="CB506">
            <v>34.56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6.45E-3</v>
          </cell>
          <cell r="CJ506">
            <v>53.71</v>
          </cell>
          <cell r="CK506">
            <v>1.0499999999999999E-2</v>
          </cell>
          <cell r="CL506">
            <v>88.27000000000001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4.7999999999999996E-3</v>
          </cell>
          <cell r="CV506">
            <v>40.659999999999997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4.4999999999999999E-4</v>
          </cell>
          <cell r="DB506">
            <v>3.84</v>
          </cell>
          <cell r="DC506">
            <v>2.2499999999999998E-3</v>
          </cell>
          <cell r="DD506">
            <v>17.2</v>
          </cell>
          <cell r="DE506">
            <v>2.6999999999999997E-3</v>
          </cell>
          <cell r="DF506">
            <v>21.04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4.0499999999999998E-3</v>
          </cell>
          <cell r="DP506">
            <v>34.56</v>
          </cell>
          <cell r="DQ506">
            <v>7.5000000000000002E-4</v>
          </cell>
          <cell r="DR506">
            <v>6.1</v>
          </cell>
          <cell r="DS506">
            <v>0</v>
          </cell>
          <cell r="DT506">
            <v>0</v>
          </cell>
          <cell r="DU506">
            <v>4.7999999999999996E-3</v>
          </cell>
          <cell r="DV506">
            <v>40.659999999999997</v>
          </cell>
          <cell r="DW506">
            <v>1.7999999999999999E-2</v>
          </cell>
          <cell r="DX506">
            <v>149.97</v>
          </cell>
          <cell r="DY506" t="str">
            <v/>
          </cell>
          <cell r="DZ506">
            <v>0</v>
          </cell>
          <cell r="EA506">
            <v>8331.6666666666679</v>
          </cell>
        </row>
        <row r="507">
          <cell r="B507">
            <v>363368</v>
          </cell>
          <cell r="C507" t="str">
            <v>ნატეხი შაქარი_ჩვენი სუფრა_5კგ</v>
          </cell>
          <cell r="D507" t="str">
            <v>TON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0.03</v>
          </cell>
          <cell r="T507">
            <v>110.4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0.03</v>
          </cell>
          <cell r="Z507">
            <v>110.4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O507">
            <v>0</v>
          </cell>
          <cell r="AP507">
            <v>0</v>
          </cell>
          <cell r="AS507">
            <v>0</v>
          </cell>
          <cell r="AT507">
            <v>0</v>
          </cell>
          <cell r="AU507">
            <v>4.4999999999999998E-2</v>
          </cell>
          <cell r="AV507">
            <v>165.6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1.4999999999999999E-2</v>
          </cell>
          <cell r="BV507">
            <v>55.2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1.4999999999999999E-2</v>
          </cell>
          <cell r="CJ507">
            <v>55.2</v>
          </cell>
          <cell r="CK507">
            <v>1.4999999999999999E-2</v>
          </cell>
          <cell r="CL507">
            <v>55.2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4.4999999999999998E-2</v>
          </cell>
          <cell r="DX507">
            <v>165.60000000000002</v>
          </cell>
          <cell r="DY507" t="str">
            <v/>
          </cell>
          <cell r="DZ507">
            <v>0</v>
          </cell>
          <cell r="EA507">
            <v>3680.0000000000005</v>
          </cell>
        </row>
        <row r="508">
          <cell r="B508">
            <v>363385</v>
          </cell>
          <cell r="C508" t="str">
            <v>ნატეხი შაქარი_ჩვენი სუფრა_10კგ</v>
          </cell>
          <cell r="D508" t="str">
            <v>TON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O508">
            <v>0</v>
          </cell>
          <cell r="AP508">
            <v>0</v>
          </cell>
          <cell r="AS508">
            <v>0</v>
          </cell>
          <cell r="AT508">
            <v>0</v>
          </cell>
          <cell r="AU508">
            <v>0.04</v>
          </cell>
          <cell r="AV508">
            <v>146.6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0.01</v>
          </cell>
          <cell r="BJ508">
            <v>36.65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0.01</v>
          </cell>
          <cell r="BT508">
            <v>36.65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0.01</v>
          </cell>
          <cell r="CL508">
            <v>36.65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0.03</v>
          </cell>
          <cell r="CV508">
            <v>109.95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  <cell r="DF508">
            <v>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0.03</v>
          </cell>
          <cell r="DP508">
            <v>109.95</v>
          </cell>
          <cell r="DQ508">
            <v>0</v>
          </cell>
          <cell r="DR508">
            <v>0</v>
          </cell>
          <cell r="DS508">
            <v>0</v>
          </cell>
          <cell r="DT508">
            <v>0</v>
          </cell>
          <cell r="DU508">
            <v>0.03</v>
          </cell>
          <cell r="DV508">
            <v>109.95</v>
          </cell>
          <cell r="DW508">
            <v>0.04</v>
          </cell>
          <cell r="DX508">
            <v>146.6</v>
          </cell>
          <cell r="DY508" t="str">
            <v/>
          </cell>
          <cell r="DZ508">
            <v>0</v>
          </cell>
          <cell r="EA508">
            <v>3665</v>
          </cell>
        </row>
        <row r="509">
          <cell r="B509">
            <v>127114</v>
          </cell>
          <cell r="C509" t="str">
            <v>ნატ.შაქარი_აზერშექერ_0.8კგ*10_სხვ.ფორმის_PP</v>
          </cell>
          <cell r="D509" t="str">
            <v>TON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O509">
            <v>0</v>
          </cell>
          <cell r="AP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O509">
            <v>0</v>
          </cell>
          <cell r="CP509">
            <v>0</v>
          </cell>
          <cell r="CQ509">
            <v>0</v>
          </cell>
          <cell r="CR509">
            <v>0</v>
          </cell>
          <cell r="CS509">
            <v>0</v>
          </cell>
          <cell r="CT509">
            <v>0</v>
          </cell>
          <cell r="CU509">
            <v>0</v>
          </cell>
          <cell r="CV509">
            <v>0</v>
          </cell>
          <cell r="CW509">
            <v>0</v>
          </cell>
          <cell r="CX509">
            <v>0</v>
          </cell>
          <cell r="CY509">
            <v>0</v>
          </cell>
          <cell r="CZ509">
            <v>0</v>
          </cell>
          <cell r="DA509">
            <v>0</v>
          </cell>
          <cell r="DB509">
            <v>0</v>
          </cell>
          <cell r="DC509">
            <v>0</v>
          </cell>
          <cell r="DD509">
            <v>0</v>
          </cell>
          <cell r="DE509">
            <v>0</v>
          </cell>
          <cell r="DF509">
            <v>0</v>
          </cell>
          <cell r="DG509">
            <v>0</v>
          </cell>
          <cell r="DH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  <cell r="DX509">
            <v>0</v>
          </cell>
          <cell r="DY509" t="str">
            <v/>
          </cell>
          <cell r="DZ509" t="str">
            <v>pasiv</v>
          </cell>
          <cell r="EA509" t="e">
            <v>#DIV/0!</v>
          </cell>
        </row>
        <row r="510">
          <cell r="B510">
            <v>138359</v>
          </cell>
          <cell r="C510" t="str">
            <v>ნატ.შაქარი_აზერშექერ LAVAS_5კგ_სხვ.ფორმის</v>
          </cell>
          <cell r="D510" t="str">
            <v>TON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O510">
            <v>0</v>
          </cell>
          <cell r="AP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  <cell r="DX510">
            <v>0</v>
          </cell>
          <cell r="DY510" t="str">
            <v/>
          </cell>
          <cell r="DZ510" t="str">
            <v>pasiv</v>
          </cell>
          <cell r="EA510" t="e">
            <v>#DIV/0!</v>
          </cell>
        </row>
        <row r="511">
          <cell r="B511">
            <v>350313</v>
          </cell>
          <cell r="C511" t="str">
            <v>ნატ.შაქარი_აზერშექერ PRM_0.75კგ*10_სხვ.ფ</v>
          </cell>
          <cell r="D511" t="str">
            <v>TON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O511">
            <v>0</v>
          </cell>
          <cell r="AP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  <cell r="DX511">
            <v>0</v>
          </cell>
          <cell r="DY511" t="str">
            <v/>
          </cell>
          <cell r="DZ511" t="str">
            <v>pasiv</v>
          </cell>
          <cell r="EA511" t="e">
            <v>#DIV/0!</v>
          </cell>
        </row>
        <row r="512">
          <cell r="B512">
            <v>350402</v>
          </cell>
          <cell r="C512" t="str">
            <v>ნატ.შაქარი ყავისფერი_აზერშექერ PRM_0.75კგ*10_სხვ.ფ</v>
          </cell>
          <cell r="D512" t="str">
            <v>TON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O512">
            <v>0</v>
          </cell>
          <cell r="P512">
            <v>0</v>
          </cell>
          <cell r="Q512">
            <v>7.4999999999999997E-3</v>
          </cell>
          <cell r="R512">
            <v>60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7.4999999999999997E-3</v>
          </cell>
          <cell r="Z512">
            <v>60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O512">
            <v>0</v>
          </cell>
          <cell r="AP512">
            <v>0</v>
          </cell>
          <cell r="AS512">
            <v>0</v>
          </cell>
          <cell r="AT512">
            <v>0</v>
          </cell>
          <cell r="AU512">
            <v>7.4999999999999997E-3</v>
          </cell>
          <cell r="AV512">
            <v>60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7.4999999999999997E-3</v>
          </cell>
          <cell r="DX512">
            <v>60</v>
          </cell>
          <cell r="DY512" t="str">
            <v/>
          </cell>
          <cell r="DZ512">
            <v>0</v>
          </cell>
          <cell r="EA512">
            <v>8000</v>
          </cell>
        </row>
        <row r="513">
          <cell r="B513">
            <v>219446</v>
          </cell>
          <cell r="C513" t="str">
            <v>ნატ.შაქარი-აზერშექერ_სარმა-10კგ</v>
          </cell>
          <cell r="D513" t="str">
            <v>TON</v>
          </cell>
          <cell r="E513">
            <v>0.5</v>
          </cell>
          <cell r="F513">
            <v>2773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O513">
            <v>0.5</v>
          </cell>
          <cell r="P513">
            <v>2773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O513">
            <v>0</v>
          </cell>
          <cell r="AP513">
            <v>0</v>
          </cell>
          <cell r="AS513">
            <v>0</v>
          </cell>
          <cell r="AT513">
            <v>0</v>
          </cell>
          <cell r="AU513">
            <v>0.52</v>
          </cell>
          <cell r="AV513">
            <v>2891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0.02</v>
          </cell>
          <cell r="BD513">
            <v>118</v>
          </cell>
          <cell r="BE513">
            <v>0.02</v>
          </cell>
          <cell r="BF513">
            <v>118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0.52</v>
          </cell>
          <cell r="DX513">
            <v>2891</v>
          </cell>
          <cell r="DY513" t="str">
            <v/>
          </cell>
          <cell r="DZ513">
            <v>0</v>
          </cell>
          <cell r="EA513">
            <v>5559.6153846153848</v>
          </cell>
        </row>
        <row r="514">
          <cell r="B514">
            <v>227000</v>
          </cell>
          <cell r="C514" t="str">
            <v>ნატეხი შაქარი_აზერშექერ სარმა_350გ*20</v>
          </cell>
          <cell r="D514" t="str">
            <v>TON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1.75E-3</v>
          </cell>
          <cell r="AL514">
            <v>12</v>
          </cell>
          <cell r="AO514">
            <v>1.75E-3</v>
          </cell>
          <cell r="AP514">
            <v>12</v>
          </cell>
          <cell r="AS514">
            <v>0</v>
          </cell>
          <cell r="AT514">
            <v>0</v>
          </cell>
          <cell r="AU514">
            <v>8.7500000000000008E-3</v>
          </cell>
          <cell r="AV514">
            <v>57.12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0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7.0000000000000001E-3</v>
          </cell>
          <cell r="DD514">
            <v>45.12</v>
          </cell>
          <cell r="DE514">
            <v>7.0000000000000001E-3</v>
          </cell>
          <cell r="DF514">
            <v>45.12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8.7500000000000008E-3</v>
          </cell>
          <cell r="DX514">
            <v>57.12</v>
          </cell>
          <cell r="DY514" t="str">
            <v/>
          </cell>
          <cell r="DZ514">
            <v>0</v>
          </cell>
          <cell r="EA514">
            <v>6527.9999999999991</v>
          </cell>
        </row>
        <row r="515">
          <cell r="B515">
            <v>363386</v>
          </cell>
          <cell r="C515" t="str">
            <v>ნატეხი შაქარი_ჩვენი სუფრა_20კგ</v>
          </cell>
          <cell r="D515" t="str">
            <v>TON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O515">
            <v>0</v>
          </cell>
          <cell r="P515">
            <v>0</v>
          </cell>
          <cell r="Q515">
            <v>0.02</v>
          </cell>
          <cell r="R515">
            <v>72.95</v>
          </cell>
          <cell r="S515">
            <v>0.02</v>
          </cell>
          <cell r="T515">
            <v>72.95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0.04</v>
          </cell>
          <cell r="Z515">
            <v>145.9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0.02</v>
          </cell>
          <cell r="AL515">
            <v>72.95</v>
          </cell>
          <cell r="AO515">
            <v>0.02</v>
          </cell>
          <cell r="AP515">
            <v>72.95</v>
          </cell>
          <cell r="AS515">
            <v>0</v>
          </cell>
          <cell r="AT515">
            <v>0</v>
          </cell>
          <cell r="AU515">
            <v>0.1</v>
          </cell>
          <cell r="AV515">
            <v>364.75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0.02</v>
          </cell>
          <cell r="CH515">
            <v>72.95</v>
          </cell>
          <cell r="CI515">
            <v>0.02</v>
          </cell>
          <cell r="CJ515">
            <v>72.95</v>
          </cell>
          <cell r="CK515">
            <v>0.02</v>
          </cell>
          <cell r="CL515">
            <v>72.95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0.02</v>
          </cell>
          <cell r="CV515">
            <v>72.95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O515">
            <v>0.02</v>
          </cell>
          <cell r="DP515">
            <v>72.95</v>
          </cell>
          <cell r="DQ515">
            <v>0</v>
          </cell>
          <cell r="DR515">
            <v>0</v>
          </cell>
          <cell r="DS515">
            <v>0</v>
          </cell>
          <cell r="DT515">
            <v>0</v>
          </cell>
          <cell r="DU515">
            <v>0.02</v>
          </cell>
          <cell r="DV515">
            <v>72.95</v>
          </cell>
          <cell r="DW515">
            <v>0.1</v>
          </cell>
          <cell r="DX515">
            <v>364.75</v>
          </cell>
          <cell r="DY515" t="str">
            <v/>
          </cell>
          <cell r="DZ515">
            <v>0</v>
          </cell>
          <cell r="EA515">
            <v>3647.5</v>
          </cell>
        </row>
        <row r="516">
          <cell r="B516">
            <v>321855</v>
          </cell>
          <cell r="C516" t="str">
            <v>ნატ.შაქარი_აზერშექერ_0.5კგ*10_სხვ.ფორმის_PP</v>
          </cell>
          <cell r="D516" t="str">
            <v>TON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O516">
            <v>0</v>
          </cell>
          <cell r="AP516">
            <v>0</v>
          </cell>
          <cell r="AS516">
            <v>0</v>
          </cell>
          <cell r="AT516">
            <v>0</v>
          </cell>
          <cell r="AU516">
            <v>3.0000000000000001E-3</v>
          </cell>
          <cell r="AV516">
            <v>18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3.0000000000000001E-3</v>
          </cell>
          <cell r="DJ516">
            <v>18</v>
          </cell>
          <cell r="DK516">
            <v>0</v>
          </cell>
          <cell r="DL516">
            <v>0</v>
          </cell>
          <cell r="DM516">
            <v>3.0000000000000001E-3</v>
          </cell>
          <cell r="DN516">
            <v>18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3.0000000000000001E-3</v>
          </cell>
          <cell r="DX516">
            <v>18</v>
          </cell>
          <cell r="DY516" t="str">
            <v/>
          </cell>
          <cell r="DZ516">
            <v>0</v>
          </cell>
          <cell r="EA516">
            <v>6000</v>
          </cell>
        </row>
        <row r="517">
          <cell r="B517">
            <v>316997</v>
          </cell>
          <cell r="C517" t="str">
            <v>შაქრის პუდრა_აზერშექერ_300გ*12</v>
          </cell>
          <cell r="D517" t="str">
            <v>TON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O517">
            <v>0</v>
          </cell>
          <cell r="AP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  <cell r="DX517">
            <v>0</v>
          </cell>
          <cell r="DY517" t="str">
            <v/>
          </cell>
          <cell r="DZ517" t="str">
            <v>pasiv</v>
          </cell>
          <cell r="EA517" t="e">
            <v>#DIV/0!</v>
          </cell>
        </row>
        <row r="518">
          <cell r="B518">
            <v>147010</v>
          </cell>
          <cell r="C518" t="str">
            <v>ნატ.შაქარი_აზერშექერ_3კგ_სხვ.ფორმის</v>
          </cell>
          <cell r="D518" t="str">
            <v>TON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O518">
            <v>0</v>
          </cell>
          <cell r="AP518">
            <v>0</v>
          </cell>
          <cell r="AS518">
            <v>0</v>
          </cell>
          <cell r="AT518">
            <v>0</v>
          </cell>
          <cell r="AU518">
            <v>1.4999999999999999E-2</v>
          </cell>
          <cell r="AV518">
            <v>72.5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1.4999999999999999E-2</v>
          </cell>
          <cell r="BD518">
            <v>72.5</v>
          </cell>
          <cell r="BE518">
            <v>1.4999999999999999E-2</v>
          </cell>
          <cell r="BF518">
            <v>72.5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1.4999999999999999E-2</v>
          </cell>
          <cell r="DX518">
            <v>72.5</v>
          </cell>
          <cell r="DY518" t="str">
            <v/>
          </cell>
          <cell r="DZ518">
            <v>0</v>
          </cell>
          <cell r="EA518">
            <v>4833.3333333333339</v>
          </cell>
        </row>
        <row r="519">
          <cell r="B519">
            <v>145881</v>
          </cell>
          <cell r="C519" t="str">
            <v>ნატ.შაქარი_აზერშექერ_5კგ_სხვ.ფორმის</v>
          </cell>
          <cell r="D519" t="str">
            <v>TON</v>
          </cell>
          <cell r="E519">
            <v>0.01</v>
          </cell>
          <cell r="F519">
            <v>47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O519">
            <v>0.01</v>
          </cell>
          <cell r="P519">
            <v>47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O519">
            <v>0</v>
          </cell>
          <cell r="AP519">
            <v>0</v>
          </cell>
          <cell r="AS519">
            <v>0</v>
          </cell>
          <cell r="AT519">
            <v>0</v>
          </cell>
          <cell r="AU519">
            <v>4.4999999999999998E-2</v>
          </cell>
          <cell r="AV519">
            <v>211.5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3.5000000000000003E-2</v>
          </cell>
          <cell r="BD519">
            <v>164.5</v>
          </cell>
          <cell r="BE519">
            <v>3.5000000000000003E-2</v>
          </cell>
          <cell r="BF519">
            <v>164.5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4.5000000000000005E-2</v>
          </cell>
          <cell r="DX519">
            <v>211.5</v>
          </cell>
          <cell r="DY519" t="str">
            <v/>
          </cell>
          <cell r="DZ519">
            <v>0</v>
          </cell>
          <cell r="EA519">
            <v>4699.9999999999991</v>
          </cell>
        </row>
        <row r="520">
          <cell r="B520">
            <v>68648</v>
          </cell>
          <cell r="C520" t="str">
            <v>AZER KESME SEKER 0.85*16</v>
          </cell>
          <cell r="D520" t="str">
            <v>TON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1.3599999999999999E-2</v>
          </cell>
          <cell r="AD520">
            <v>76.8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5.1000000000000004E-3</v>
          </cell>
          <cell r="AJ520">
            <v>28.8</v>
          </cell>
          <cell r="AK520">
            <v>1.3599999999999999E-2</v>
          </cell>
          <cell r="AL520">
            <v>75.099999999999994</v>
          </cell>
          <cell r="AO520">
            <v>3.2300000000000002E-2</v>
          </cell>
          <cell r="AP520">
            <v>180.7</v>
          </cell>
          <cell r="AS520">
            <v>0</v>
          </cell>
          <cell r="AT520">
            <v>0</v>
          </cell>
          <cell r="AU520">
            <v>0.29325000000000001</v>
          </cell>
          <cell r="AV520">
            <v>1586.23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2.5500000000000002E-3</v>
          </cell>
          <cell r="BD520">
            <v>14.38</v>
          </cell>
          <cell r="BE520">
            <v>2.5500000000000002E-3</v>
          </cell>
          <cell r="BF520">
            <v>14.38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4.4200000000000003E-2</v>
          </cell>
          <cell r="BL520">
            <v>238.56</v>
          </cell>
          <cell r="BM520">
            <v>6.7999999999999996E-3</v>
          </cell>
          <cell r="BN520">
            <v>38.4</v>
          </cell>
          <cell r="BO520">
            <v>5.9500000000000004E-3</v>
          </cell>
          <cell r="BP520">
            <v>33.6</v>
          </cell>
          <cell r="BQ520">
            <v>0</v>
          </cell>
          <cell r="BR520">
            <v>0</v>
          </cell>
          <cell r="BS520">
            <v>5.6950000000000001E-2</v>
          </cell>
          <cell r="BT520">
            <v>310.56</v>
          </cell>
          <cell r="BU520">
            <v>2.5499999999999998E-2</v>
          </cell>
          <cell r="BV520">
            <v>134.91</v>
          </cell>
          <cell r="BW520">
            <v>0</v>
          </cell>
          <cell r="BX520">
            <v>0</v>
          </cell>
          <cell r="BY520">
            <v>8.5000000000000006E-3</v>
          </cell>
          <cell r="BZ520">
            <v>44.33</v>
          </cell>
          <cell r="CA520">
            <v>4.2500000000000003E-3</v>
          </cell>
          <cell r="CB520">
            <v>24</v>
          </cell>
          <cell r="CC520">
            <v>0</v>
          </cell>
          <cell r="CD520">
            <v>0</v>
          </cell>
          <cell r="CE520">
            <v>1.8700000000000001E-2</v>
          </cell>
          <cell r="CF520">
            <v>105.6</v>
          </cell>
          <cell r="CG520">
            <v>4.2500000000000003E-3</v>
          </cell>
          <cell r="CH520">
            <v>22.85</v>
          </cell>
          <cell r="CI520">
            <v>6.1199999999999997E-2</v>
          </cell>
          <cell r="CJ520">
            <v>331.69</v>
          </cell>
          <cell r="CK520">
            <v>0.11815000000000001</v>
          </cell>
          <cell r="CL520">
            <v>642.25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1.3599999999999999E-2</v>
          </cell>
          <cell r="CV520">
            <v>75.650000000000006</v>
          </cell>
          <cell r="CW520">
            <v>0</v>
          </cell>
          <cell r="CX520">
            <v>0</v>
          </cell>
          <cell r="CY520">
            <v>6.8000000000000005E-2</v>
          </cell>
          <cell r="CZ520">
            <v>369.28</v>
          </cell>
          <cell r="DA520">
            <v>5.1000000000000004E-3</v>
          </cell>
          <cell r="DB520">
            <v>28.8</v>
          </cell>
          <cell r="DC520">
            <v>4.5900000000000003E-2</v>
          </cell>
          <cell r="DD520">
            <v>231.97</v>
          </cell>
          <cell r="DE520">
            <v>0.11899999999999999</v>
          </cell>
          <cell r="DF520">
            <v>630.04999999999995</v>
          </cell>
          <cell r="DG520">
            <v>0</v>
          </cell>
          <cell r="DH520">
            <v>0</v>
          </cell>
          <cell r="DI520">
            <v>5.1000000000000004E-3</v>
          </cell>
          <cell r="DJ520">
            <v>28.8</v>
          </cell>
          <cell r="DK520">
            <v>2.5500000000000002E-3</v>
          </cell>
          <cell r="DL520">
            <v>14.4</v>
          </cell>
          <cell r="DM520">
            <v>7.6499999999999997E-3</v>
          </cell>
          <cell r="DN520">
            <v>43.2</v>
          </cell>
          <cell r="DO520">
            <v>1.6999999999999999E-3</v>
          </cell>
          <cell r="DP520">
            <v>9.6</v>
          </cell>
          <cell r="DQ520">
            <v>4.2500000000000003E-3</v>
          </cell>
          <cell r="DR520">
            <v>22.85</v>
          </cell>
          <cell r="DS520">
            <v>7.6499999999999997E-3</v>
          </cell>
          <cell r="DT520">
            <v>43.2</v>
          </cell>
          <cell r="DU520">
            <v>1.3599999999999999E-2</v>
          </cell>
          <cell r="DV520">
            <v>75.650000000000006</v>
          </cell>
          <cell r="DW520">
            <v>0.29324999999999996</v>
          </cell>
          <cell r="DX520">
            <v>1586.2300000000002</v>
          </cell>
          <cell r="DY520" t="str">
            <v/>
          </cell>
          <cell r="DZ520">
            <v>0</v>
          </cell>
          <cell r="EA520">
            <v>5409.1389599318009</v>
          </cell>
        </row>
        <row r="521">
          <cell r="B521">
            <v>184874</v>
          </cell>
          <cell r="C521" t="str">
            <v>ნატეხი შაქარი 4 კგ სარმო</v>
          </cell>
          <cell r="D521" t="str">
            <v>TON</v>
          </cell>
          <cell r="E521">
            <v>0</v>
          </cell>
          <cell r="F521">
            <v>0</v>
          </cell>
          <cell r="G521">
            <v>8.0000000000000002E-3</v>
          </cell>
          <cell r="H521">
            <v>52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O521">
            <v>8.0000000000000002E-3</v>
          </cell>
          <cell r="P521">
            <v>52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O521">
            <v>0</v>
          </cell>
          <cell r="AP521">
            <v>0</v>
          </cell>
          <cell r="AS521">
            <v>0</v>
          </cell>
          <cell r="AT521">
            <v>0</v>
          </cell>
          <cell r="AU521">
            <v>8.0000000000000002E-3</v>
          </cell>
          <cell r="AV521">
            <v>52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O521">
            <v>0</v>
          </cell>
          <cell r="CP521">
            <v>0</v>
          </cell>
          <cell r="CQ521">
            <v>0</v>
          </cell>
          <cell r="CR521">
            <v>0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8.0000000000000002E-3</v>
          </cell>
          <cell r="DX521">
            <v>52</v>
          </cell>
          <cell r="DY521" t="str">
            <v/>
          </cell>
          <cell r="DZ521">
            <v>0</v>
          </cell>
          <cell r="EA521">
            <v>6500</v>
          </cell>
        </row>
        <row r="522">
          <cell r="B522">
            <v>147117</v>
          </cell>
          <cell r="C522" t="str">
            <v>FINAL K.QEND_500QR*10</v>
          </cell>
          <cell r="D522" t="str">
            <v>TON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O522">
            <v>0</v>
          </cell>
          <cell r="AP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O522">
            <v>0</v>
          </cell>
          <cell r="CP522">
            <v>0</v>
          </cell>
          <cell r="CQ522">
            <v>0</v>
          </cell>
          <cell r="CR522">
            <v>0</v>
          </cell>
          <cell r="CS522">
            <v>0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 t="str">
            <v/>
          </cell>
          <cell r="DZ522" t="str">
            <v>pasiv</v>
          </cell>
          <cell r="EA522" t="e">
            <v>#DIV/0!</v>
          </cell>
        </row>
        <row r="523">
          <cell r="B523">
            <v>157754</v>
          </cell>
          <cell r="C523" t="str">
            <v>A.SEKER K.QEND_600QR*10</v>
          </cell>
          <cell r="D523" t="str">
            <v>TON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5.4000000000000003E-3</v>
          </cell>
          <cell r="AH523">
            <v>26.85</v>
          </cell>
          <cell r="AI523">
            <v>0</v>
          </cell>
          <cell r="AJ523">
            <v>0</v>
          </cell>
          <cell r="AK523">
            <v>8.9999999999999993E-3</v>
          </cell>
          <cell r="AL523">
            <v>46.5</v>
          </cell>
          <cell r="AO523">
            <v>1.44E-2</v>
          </cell>
          <cell r="AP523">
            <v>73.349999999999994</v>
          </cell>
          <cell r="AS523">
            <v>0</v>
          </cell>
          <cell r="AT523">
            <v>0</v>
          </cell>
          <cell r="AU523">
            <v>0.1242</v>
          </cell>
          <cell r="AV523">
            <v>642.6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1.2E-2</v>
          </cell>
          <cell r="BN523">
            <v>58.2</v>
          </cell>
          <cell r="BO523">
            <v>3.5999999999999999E-3</v>
          </cell>
          <cell r="BP523">
            <v>18.899999999999999</v>
          </cell>
          <cell r="BQ523">
            <v>0</v>
          </cell>
          <cell r="BR523">
            <v>0</v>
          </cell>
          <cell r="BS523">
            <v>1.5599999999999999E-2</v>
          </cell>
          <cell r="BT523">
            <v>77.099999999999994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1.2E-2</v>
          </cell>
          <cell r="CB523">
            <v>63</v>
          </cell>
          <cell r="CC523">
            <v>1.2E-2</v>
          </cell>
          <cell r="CD523">
            <v>63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2.4E-2</v>
          </cell>
          <cell r="CJ523">
            <v>126</v>
          </cell>
          <cell r="CK523">
            <v>3.9599999999999996E-2</v>
          </cell>
          <cell r="CL523">
            <v>203.1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8.9999999999999993E-3</v>
          </cell>
          <cell r="CV523">
            <v>47.25</v>
          </cell>
          <cell r="CW523">
            <v>0</v>
          </cell>
          <cell r="CX523">
            <v>0</v>
          </cell>
          <cell r="CY523">
            <v>1.2E-2</v>
          </cell>
          <cell r="CZ523">
            <v>63</v>
          </cell>
          <cell r="DA523">
            <v>1.7999999999999999E-2</v>
          </cell>
          <cell r="DB523">
            <v>94.5</v>
          </cell>
          <cell r="DC523">
            <v>9.5999999999999992E-3</v>
          </cell>
          <cell r="DD523">
            <v>50.4</v>
          </cell>
          <cell r="DE523">
            <v>3.9599999999999996E-2</v>
          </cell>
          <cell r="DF523">
            <v>207.9</v>
          </cell>
          <cell r="DG523">
            <v>1.2E-2</v>
          </cell>
          <cell r="DH523">
            <v>63</v>
          </cell>
          <cell r="DI523">
            <v>6.0000000000000001E-3</v>
          </cell>
          <cell r="DJ523">
            <v>30</v>
          </cell>
          <cell r="DK523">
            <v>3.5999999999999999E-3</v>
          </cell>
          <cell r="DL523">
            <v>18</v>
          </cell>
          <cell r="DM523">
            <v>2.1600000000000001E-2</v>
          </cell>
          <cell r="DN523">
            <v>111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8.9999999999999993E-3</v>
          </cell>
          <cell r="DT523">
            <v>47.25</v>
          </cell>
          <cell r="DU523">
            <v>8.9999999999999993E-3</v>
          </cell>
          <cell r="DV523">
            <v>47.25</v>
          </cell>
          <cell r="DW523">
            <v>0.12419999999999999</v>
          </cell>
          <cell r="DX523">
            <v>642.6</v>
          </cell>
          <cell r="DY523" t="str">
            <v/>
          </cell>
          <cell r="DZ523">
            <v>0</v>
          </cell>
          <cell r="EA523">
            <v>5173.913043478261</v>
          </cell>
        </row>
        <row r="524">
          <cell r="A524">
            <v>12</v>
          </cell>
          <cell r="C524" t="str">
            <v>KESME SEKER</v>
          </cell>
          <cell r="D524" t="str">
            <v>TON</v>
          </cell>
          <cell r="E524">
            <v>0.51</v>
          </cell>
          <cell r="F524">
            <v>2820</v>
          </cell>
          <cell r="G524">
            <v>8.0000000000000002E-3</v>
          </cell>
          <cell r="H524">
            <v>52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O524">
            <v>0.51800000000000002</v>
          </cell>
          <cell r="P524">
            <v>2872</v>
          </cell>
          <cell r="Q524">
            <v>2.75E-2</v>
          </cell>
          <cell r="R524">
            <v>132.94999999999999</v>
          </cell>
          <cell r="S524">
            <v>0.05</v>
          </cell>
          <cell r="T524">
            <v>183.35000000000002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7.7499999999999999E-2</v>
          </cell>
          <cell r="Z524">
            <v>316.3</v>
          </cell>
          <cell r="AA524">
            <v>0</v>
          </cell>
          <cell r="AB524">
            <v>0</v>
          </cell>
          <cell r="AC524">
            <v>1.3599999999999999E-2</v>
          </cell>
          <cell r="AD524">
            <v>76.8</v>
          </cell>
          <cell r="AE524">
            <v>0</v>
          </cell>
          <cell r="AF524">
            <v>0</v>
          </cell>
          <cell r="AG524">
            <v>5.4000000000000003E-3</v>
          </cell>
          <cell r="AH524">
            <v>26.85</v>
          </cell>
          <cell r="AI524">
            <v>5.1000000000000004E-3</v>
          </cell>
          <cell r="AJ524">
            <v>28.8</v>
          </cell>
          <cell r="AK524">
            <v>4.4350000000000001E-2</v>
          </cell>
          <cell r="AL524">
            <v>206.55</v>
          </cell>
          <cell r="AO524">
            <v>6.8449999999999997E-2</v>
          </cell>
          <cell r="AP524">
            <v>339</v>
          </cell>
          <cell r="AS524">
            <v>0</v>
          </cell>
          <cell r="AT524">
            <v>0</v>
          </cell>
          <cell r="AU524">
            <v>1.2397000000000002</v>
          </cell>
          <cell r="AV524">
            <v>6532.93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7.2550000000000003E-2</v>
          </cell>
          <cell r="BD524">
            <v>369.38</v>
          </cell>
          <cell r="BE524">
            <v>7.2550000000000003E-2</v>
          </cell>
          <cell r="BF524">
            <v>369.38</v>
          </cell>
          <cell r="BG524">
            <v>0</v>
          </cell>
          <cell r="BH524">
            <v>0</v>
          </cell>
          <cell r="BI524">
            <v>0.01</v>
          </cell>
          <cell r="BJ524">
            <v>36.65</v>
          </cell>
          <cell r="BK524">
            <v>4.4200000000000003E-2</v>
          </cell>
          <cell r="BL524">
            <v>238.56</v>
          </cell>
          <cell r="BM524">
            <v>1.8800000000000001E-2</v>
          </cell>
          <cell r="BN524">
            <v>96.6</v>
          </cell>
          <cell r="BO524">
            <v>1.3600000000000001E-2</v>
          </cell>
          <cell r="BP524">
            <v>87.06</v>
          </cell>
          <cell r="BQ524">
            <v>0</v>
          </cell>
          <cell r="BR524">
            <v>0</v>
          </cell>
          <cell r="BS524">
            <v>8.660000000000001E-2</v>
          </cell>
          <cell r="BT524">
            <v>458.87</v>
          </cell>
          <cell r="BU524">
            <v>4.1399999999999999E-2</v>
          </cell>
          <cell r="BV524">
            <v>197.43</v>
          </cell>
          <cell r="BW524">
            <v>0</v>
          </cell>
          <cell r="BX524">
            <v>0</v>
          </cell>
          <cell r="BY524">
            <v>0.01</v>
          </cell>
          <cell r="BZ524">
            <v>56.16</v>
          </cell>
          <cell r="CA524">
            <v>2.0299999999999999E-2</v>
          </cell>
          <cell r="CB524">
            <v>121.56</v>
          </cell>
          <cell r="CC524">
            <v>1.2E-2</v>
          </cell>
          <cell r="CD524">
            <v>63</v>
          </cell>
          <cell r="CE524">
            <v>1.8700000000000001E-2</v>
          </cell>
          <cell r="CF524">
            <v>105.6</v>
          </cell>
          <cell r="CG524">
            <v>2.4250000000000001E-2</v>
          </cell>
          <cell r="CH524">
            <v>95.800000000000011</v>
          </cell>
          <cell r="CI524">
            <v>0.12664999999999998</v>
          </cell>
          <cell r="CJ524">
            <v>639.54999999999995</v>
          </cell>
          <cell r="CK524">
            <v>0.21325</v>
          </cell>
          <cell r="CL524">
            <v>1098.42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7.7399999999999997E-2</v>
          </cell>
          <cell r="CV524">
            <v>346.46000000000004</v>
          </cell>
          <cell r="CW524">
            <v>0</v>
          </cell>
          <cell r="CX524">
            <v>0</v>
          </cell>
          <cell r="CY524">
            <v>0.08</v>
          </cell>
          <cell r="CZ524">
            <v>432.28</v>
          </cell>
          <cell r="DA524">
            <v>2.3549999999999998E-2</v>
          </cell>
          <cell r="DB524">
            <v>127.14</v>
          </cell>
          <cell r="DC524">
            <v>7.6749999999999999E-2</v>
          </cell>
          <cell r="DD524">
            <v>459.75</v>
          </cell>
          <cell r="DE524">
            <v>0.18029999999999999</v>
          </cell>
          <cell r="DF524">
            <v>1019.17</v>
          </cell>
          <cell r="DG524">
            <v>1.2E-2</v>
          </cell>
          <cell r="DH524">
            <v>63</v>
          </cell>
          <cell r="DI524">
            <v>1.41E-2</v>
          </cell>
          <cell r="DJ524">
            <v>76.8</v>
          </cell>
          <cell r="DK524">
            <v>6.1500000000000001E-3</v>
          </cell>
          <cell r="DL524">
            <v>32.4</v>
          </cell>
          <cell r="DM524">
            <v>3.2250000000000001E-2</v>
          </cell>
          <cell r="DN524">
            <v>172.2</v>
          </cell>
          <cell r="DO524">
            <v>5.5750000000000001E-2</v>
          </cell>
          <cell r="DP524">
            <v>227.05999999999997</v>
          </cell>
          <cell r="DQ524">
            <v>5.0000000000000001E-3</v>
          </cell>
          <cell r="DR524">
            <v>28.950000000000003</v>
          </cell>
          <cell r="DS524">
            <v>1.6649999999999998E-2</v>
          </cell>
          <cell r="DT524">
            <v>90.45</v>
          </cell>
          <cell r="DU524">
            <v>7.7399999999999997E-2</v>
          </cell>
          <cell r="DV524">
            <v>346.46000000000004</v>
          </cell>
          <cell r="DW524">
            <v>1.2397000000000002</v>
          </cell>
          <cell r="DX524">
            <v>6532.9300000000012</v>
          </cell>
          <cell r="DY524" t="str">
            <v>Hedef</v>
          </cell>
          <cell r="DZ524">
            <v>0</v>
          </cell>
          <cell r="EA524">
            <v>5269.7668790836487</v>
          </cell>
        </row>
        <row r="525">
          <cell r="C525" t="str">
            <v>SEKER TOPLAMI</v>
          </cell>
          <cell r="D525" t="str">
            <v>TON</v>
          </cell>
          <cell r="E525">
            <v>0.7</v>
          </cell>
          <cell r="F525">
            <v>3442.2</v>
          </cell>
          <cell r="G525">
            <v>1.238</v>
          </cell>
          <cell r="H525">
            <v>3984.32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O525">
            <v>1.9379999999999997</v>
          </cell>
          <cell r="P525">
            <v>7426.5199999999995</v>
          </cell>
          <cell r="Q525">
            <v>0.27750000000000002</v>
          </cell>
          <cell r="R525">
            <v>727.45</v>
          </cell>
          <cell r="S525">
            <v>8.1600000000000006E-2</v>
          </cell>
          <cell r="T525">
            <v>289.91000000000003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0.35910000000000003</v>
          </cell>
          <cell r="Z525">
            <v>1017.3599999999999</v>
          </cell>
          <cell r="AA525">
            <v>0</v>
          </cell>
          <cell r="AB525">
            <v>0</v>
          </cell>
          <cell r="AC525">
            <v>0.13619999999999999</v>
          </cell>
          <cell r="AD525">
            <v>515.29999999999995</v>
          </cell>
          <cell r="AE525">
            <v>0</v>
          </cell>
          <cell r="AF525">
            <v>0</v>
          </cell>
          <cell r="AG525">
            <v>6.3799999999999996E-2</v>
          </cell>
          <cell r="AH525">
            <v>228.92</v>
          </cell>
          <cell r="AI525">
            <v>0.18869999999999998</v>
          </cell>
          <cell r="AJ525">
            <v>673.01</v>
          </cell>
          <cell r="AK525">
            <v>0.46295000000000003</v>
          </cell>
          <cell r="AL525">
            <v>1666.8</v>
          </cell>
          <cell r="AO525">
            <v>0.85165000000000002</v>
          </cell>
          <cell r="AP525">
            <v>3084.0299999999997</v>
          </cell>
          <cell r="AS525">
            <v>0</v>
          </cell>
          <cell r="AT525">
            <v>0</v>
          </cell>
          <cell r="AU525">
            <v>12.322899999999999</v>
          </cell>
          <cell r="AV525">
            <v>39716.429999999993</v>
          </cell>
          <cell r="AW525">
            <v>0</v>
          </cell>
          <cell r="AX525">
            <v>0</v>
          </cell>
          <cell r="AY525">
            <v>0.18639999999999998</v>
          </cell>
          <cell r="AZ525">
            <v>640.12</v>
          </cell>
          <cell r="BA525">
            <v>0</v>
          </cell>
          <cell r="BB525">
            <v>0</v>
          </cell>
          <cell r="BC525">
            <v>0.17235</v>
          </cell>
          <cell r="BD525">
            <v>699.85</v>
          </cell>
          <cell r="BE525">
            <v>0.35875000000000001</v>
          </cell>
          <cell r="BF525">
            <v>1339.97</v>
          </cell>
          <cell r="BG525">
            <v>0.12079999999999999</v>
          </cell>
          <cell r="BH525">
            <v>425.11</v>
          </cell>
          <cell r="BI525">
            <v>0.26719999999999999</v>
          </cell>
          <cell r="BJ525">
            <v>914.57</v>
          </cell>
          <cell r="BK525">
            <v>0.13979999999999998</v>
          </cell>
          <cell r="BL525">
            <v>578.28</v>
          </cell>
          <cell r="BM525">
            <v>0.18440000000000001</v>
          </cell>
          <cell r="BN525">
            <v>679.48</v>
          </cell>
          <cell r="BO525">
            <v>0.16719999999999999</v>
          </cell>
          <cell r="BP525">
            <v>635.79999999999995</v>
          </cell>
          <cell r="BQ525">
            <v>0</v>
          </cell>
          <cell r="BR525">
            <v>0</v>
          </cell>
          <cell r="BS525">
            <v>0.88179999999999992</v>
          </cell>
          <cell r="BT525">
            <v>3241.85</v>
          </cell>
          <cell r="BU525">
            <v>0.14779999999999999</v>
          </cell>
          <cell r="BV525">
            <v>561.75</v>
          </cell>
          <cell r="BW525">
            <v>4.8799999999999996E-2</v>
          </cell>
          <cell r="BX525">
            <v>168.12</v>
          </cell>
          <cell r="BY525">
            <v>3.7199999999999997E-2</v>
          </cell>
          <cell r="BZ525">
            <v>153.74</v>
          </cell>
          <cell r="CA525">
            <v>0.21910000000000002</v>
          </cell>
          <cell r="CB525">
            <v>833.28</v>
          </cell>
          <cell r="CC525">
            <v>0.17280000000000001</v>
          </cell>
          <cell r="CD525">
            <v>617.29</v>
          </cell>
          <cell r="CE525">
            <v>0.2175</v>
          </cell>
          <cell r="CF525">
            <v>777.98</v>
          </cell>
          <cell r="CG525">
            <v>5.425E-2</v>
          </cell>
          <cell r="CH525">
            <v>193</v>
          </cell>
          <cell r="CI525">
            <v>0.89744999999999986</v>
          </cell>
          <cell r="CJ525">
            <v>3305.16</v>
          </cell>
          <cell r="CK525">
            <v>1.7792500000000002</v>
          </cell>
          <cell r="CL525">
            <v>6547.01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0.39860000000000007</v>
          </cell>
          <cell r="CV525">
            <v>1482.8</v>
          </cell>
          <cell r="CW525">
            <v>0</v>
          </cell>
          <cell r="CX525">
            <v>0</v>
          </cell>
          <cell r="CY525">
            <v>1.5356000000000001</v>
          </cell>
          <cell r="CZ525">
            <v>5377</v>
          </cell>
          <cell r="DA525">
            <v>0.27075000000000005</v>
          </cell>
          <cell r="DB525">
            <v>1001.42</v>
          </cell>
          <cell r="DC525">
            <v>0.39254999999999995</v>
          </cell>
          <cell r="DD525">
            <v>1534.54</v>
          </cell>
          <cell r="DE525">
            <v>2.1989000000000001</v>
          </cell>
          <cell r="DF525">
            <v>7912.96</v>
          </cell>
          <cell r="DG525">
            <v>0.28260000000000002</v>
          </cell>
          <cell r="DH525">
            <v>981.74</v>
          </cell>
          <cell r="DI525">
            <v>5.4900000000000004E-2</v>
          </cell>
          <cell r="DJ525">
            <v>221.04000000000002</v>
          </cell>
          <cell r="DK525">
            <v>0.10115</v>
          </cell>
          <cell r="DL525">
            <v>367</v>
          </cell>
          <cell r="DM525">
            <v>0.43865000000000004</v>
          </cell>
          <cell r="DN525">
            <v>1569.7800000000002</v>
          </cell>
          <cell r="DO525">
            <v>0.12395</v>
          </cell>
          <cell r="DP525">
            <v>467.62</v>
          </cell>
          <cell r="DQ525">
            <v>7.6600000000000001E-2</v>
          </cell>
          <cell r="DR525">
            <v>280.89</v>
          </cell>
          <cell r="DS525">
            <v>0.19805</v>
          </cell>
          <cell r="DT525">
            <v>734.29000000000008</v>
          </cell>
          <cell r="DU525">
            <v>0.39860000000000007</v>
          </cell>
          <cell r="DV525">
            <v>1482.8</v>
          </cell>
          <cell r="DW525">
            <v>8.3229000000000006</v>
          </cell>
          <cell r="DX525">
            <v>30380.43</v>
          </cell>
          <cell r="DY525" t="str">
            <v/>
          </cell>
          <cell r="DZ525">
            <v>0</v>
          </cell>
          <cell r="EA525">
            <v>3650.2216775402803</v>
          </cell>
        </row>
        <row r="526">
          <cell r="B526">
            <v>297920</v>
          </cell>
          <cell r="C526" t="str">
            <v>მარილი_სალუტი_1კგ*12_სუფრის_იოდირებული</v>
          </cell>
          <cell r="D526" t="str">
            <v>TON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O526">
            <v>0</v>
          </cell>
          <cell r="AP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  <cell r="DL526">
            <v>0</v>
          </cell>
          <cell r="DM526">
            <v>0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  <cell r="DX526">
            <v>0</v>
          </cell>
          <cell r="DY526" t="str">
            <v/>
          </cell>
          <cell r="DZ526" t="str">
            <v>pasiv</v>
          </cell>
          <cell r="EA526" t="e">
            <v>#DIV/0!</v>
          </cell>
        </row>
        <row r="527">
          <cell r="B527">
            <v>186223</v>
          </cell>
          <cell r="C527" t="str">
            <v>C.SUPRA X.DUZU_750QR*14_PST</v>
          </cell>
          <cell r="D527" t="str">
            <v>TON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O527">
            <v>0</v>
          </cell>
          <cell r="AP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 t="str">
            <v/>
          </cell>
          <cell r="DZ527" t="str">
            <v>pasiv</v>
          </cell>
          <cell r="EA527" t="e">
            <v>#DIV/0!</v>
          </cell>
        </row>
        <row r="528">
          <cell r="B528">
            <v>179313</v>
          </cell>
          <cell r="C528" t="str">
            <v>C.SUPRA_1KQ*10_XOREK DUZU_KT</v>
          </cell>
          <cell r="D528" t="str">
            <v>TON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O528">
            <v>0</v>
          </cell>
          <cell r="AP528">
            <v>0</v>
          </cell>
          <cell r="AS528">
            <v>0</v>
          </cell>
          <cell r="AT528">
            <v>0</v>
          </cell>
          <cell r="AU528">
            <v>1.0669999999999999</v>
          </cell>
          <cell r="AV528">
            <v>883.41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0.11</v>
          </cell>
          <cell r="BV528">
            <v>89.31</v>
          </cell>
          <cell r="BW528">
            <v>0</v>
          </cell>
          <cell r="BX528">
            <v>0</v>
          </cell>
          <cell r="BY528">
            <v>0.114</v>
          </cell>
          <cell r="BZ528">
            <v>93.68</v>
          </cell>
          <cell r="CA528">
            <v>4.4999999999999998E-2</v>
          </cell>
          <cell r="CB528">
            <v>39.15</v>
          </cell>
          <cell r="CC528">
            <v>0.09</v>
          </cell>
          <cell r="CD528">
            <v>75.06</v>
          </cell>
          <cell r="CE528">
            <v>6.8000000000000005E-2</v>
          </cell>
          <cell r="CF528">
            <v>56.05</v>
          </cell>
          <cell r="CG528">
            <v>0.03</v>
          </cell>
          <cell r="CH528">
            <v>23.9</v>
          </cell>
          <cell r="CI528">
            <v>0.45700000000000002</v>
          </cell>
          <cell r="CJ528">
            <v>377.15</v>
          </cell>
          <cell r="CK528">
            <v>0.45700000000000002</v>
          </cell>
          <cell r="CL528">
            <v>377.15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0.37</v>
          </cell>
          <cell r="CV528">
            <v>305.79000000000002</v>
          </cell>
          <cell r="CW528">
            <v>0</v>
          </cell>
          <cell r="CX528">
            <v>0</v>
          </cell>
          <cell r="CY528">
            <v>0.01</v>
          </cell>
          <cell r="CZ528">
            <v>8.6999999999999993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0.01</v>
          </cell>
          <cell r="DF528">
            <v>8.6999999999999993</v>
          </cell>
          <cell r="DG528">
            <v>0.02</v>
          </cell>
          <cell r="DH528">
            <v>17.399999999999999</v>
          </cell>
          <cell r="DI528">
            <v>0.14000000000000001</v>
          </cell>
          <cell r="DJ528">
            <v>114.67</v>
          </cell>
          <cell r="DK528">
            <v>7.0000000000000007E-2</v>
          </cell>
          <cell r="DL528">
            <v>59.7</v>
          </cell>
          <cell r="DM528">
            <v>0.23</v>
          </cell>
          <cell r="DN528">
            <v>191.77</v>
          </cell>
          <cell r="DO528">
            <v>0.31</v>
          </cell>
          <cell r="DP528">
            <v>254.24</v>
          </cell>
          <cell r="DQ528">
            <v>0</v>
          </cell>
          <cell r="DR528">
            <v>0</v>
          </cell>
          <cell r="DS528">
            <v>0.06</v>
          </cell>
          <cell r="DT528">
            <v>51.55</v>
          </cell>
          <cell r="DU528">
            <v>0.37</v>
          </cell>
          <cell r="DV528">
            <v>305.79000000000002</v>
          </cell>
          <cell r="DW528">
            <v>1.0669999999999999</v>
          </cell>
          <cell r="DX528">
            <v>883.41</v>
          </cell>
          <cell r="DY528" t="str">
            <v/>
          </cell>
          <cell r="DZ528">
            <v>0</v>
          </cell>
          <cell r="EA528">
            <v>827.93814432989689</v>
          </cell>
        </row>
        <row r="529">
          <cell r="B529">
            <v>110433</v>
          </cell>
          <cell r="C529" t="str">
            <v>CHVENI SUPRA_750 GR*14_POSET_GR</v>
          </cell>
          <cell r="D529" t="str">
            <v>TON</v>
          </cell>
          <cell r="E529">
            <v>2.1000000000000001E-2</v>
          </cell>
          <cell r="F529">
            <v>20.37</v>
          </cell>
          <cell r="G529">
            <v>2.1000000000000001E-2</v>
          </cell>
          <cell r="H529">
            <v>20.48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O529">
            <v>4.2000000000000003E-2</v>
          </cell>
          <cell r="P529">
            <v>40.85</v>
          </cell>
          <cell r="Q529">
            <v>4.2000000000000003E-2</v>
          </cell>
          <cell r="R529">
            <v>42</v>
          </cell>
          <cell r="S529">
            <v>0.40949999999999998</v>
          </cell>
          <cell r="T529">
            <v>393.44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0.45149999999999996</v>
          </cell>
          <cell r="Z529">
            <v>435.44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4.2000000000000003E-2</v>
          </cell>
          <cell r="AH529">
            <v>43.37</v>
          </cell>
          <cell r="AI529">
            <v>6.3E-2</v>
          </cell>
          <cell r="AJ529">
            <v>66.36</v>
          </cell>
          <cell r="AK529">
            <v>4.2000000000000003E-2</v>
          </cell>
          <cell r="AL529">
            <v>42.5</v>
          </cell>
          <cell r="AO529">
            <v>0.14700000000000002</v>
          </cell>
          <cell r="AP529">
            <v>152.22999999999999</v>
          </cell>
          <cell r="AS529">
            <v>0</v>
          </cell>
          <cell r="AT529">
            <v>0</v>
          </cell>
          <cell r="AU529">
            <v>1.8105</v>
          </cell>
          <cell r="AV529">
            <v>1819.7</v>
          </cell>
          <cell r="AW529">
            <v>0</v>
          </cell>
          <cell r="AX529">
            <v>0</v>
          </cell>
          <cell r="AY529">
            <v>4.2000000000000003E-2</v>
          </cell>
          <cell r="AZ529">
            <v>42.7</v>
          </cell>
          <cell r="BA529">
            <v>0</v>
          </cell>
          <cell r="BB529">
            <v>0</v>
          </cell>
          <cell r="BC529">
            <v>2.1000000000000001E-2</v>
          </cell>
          <cell r="BD529">
            <v>21.25</v>
          </cell>
          <cell r="BE529">
            <v>6.3E-2</v>
          </cell>
          <cell r="BF529">
            <v>63.95</v>
          </cell>
          <cell r="BG529">
            <v>1.0500000000000001E-2</v>
          </cell>
          <cell r="BH529">
            <v>11.06</v>
          </cell>
          <cell r="BI529">
            <v>6.3E-2</v>
          </cell>
          <cell r="BJ529">
            <v>62.76</v>
          </cell>
          <cell r="BK529">
            <v>4.65E-2</v>
          </cell>
          <cell r="BL529">
            <v>47.86</v>
          </cell>
          <cell r="BM529">
            <v>0.1095</v>
          </cell>
          <cell r="BN529">
            <v>109.23</v>
          </cell>
          <cell r="BO529">
            <v>5.2499999999999998E-2</v>
          </cell>
          <cell r="BP529">
            <v>54.32</v>
          </cell>
          <cell r="BQ529">
            <v>0</v>
          </cell>
          <cell r="BR529">
            <v>0</v>
          </cell>
          <cell r="BS529">
            <v>0.28199999999999997</v>
          </cell>
          <cell r="BT529">
            <v>285.23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2.1000000000000001E-2</v>
          </cell>
          <cell r="BZ529">
            <v>20.37</v>
          </cell>
          <cell r="CA529">
            <v>2.1000000000000001E-2</v>
          </cell>
          <cell r="CB529">
            <v>22.12</v>
          </cell>
          <cell r="CC529">
            <v>0</v>
          </cell>
          <cell r="CD529">
            <v>0</v>
          </cell>
          <cell r="CE529">
            <v>0.03</v>
          </cell>
          <cell r="CF529">
            <v>29.39</v>
          </cell>
          <cell r="CG529">
            <v>3.15E-2</v>
          </cell>
          <cell r="CH529">
            <v>30.24</v>
          </cell>
          <cell r="CI529">
            <v>0.10349999999999999</v>
          </cell>
          <cell r="CJ529">
            <v>102.12</v>
          </cell>
          <cell r="CK529">
            <v>0.38549999999999995</v>
          </cell>
          <cell r="CL529">
            <v>387.35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0.42</v>
          </cell>
          <cell r="CV529">
            <v>424.94</v>
          </cell>
          <cell r="CW529">
            <v>0</v>
          </cell>
          <cell r="CX529">
            <v>0</v>
          </cell>
          <cell r="CY529">
            <v>0.19950000000000001</v>
          </cell>
          <cell r="CZ529">
            <v>210.28</v>
          </cell>
          <cell r="DA529">
            <v>1.7999999999999999E-2</v>
          </cell>
          <cell r="DB529">
            <v>18.96</v>
          </cell>
          <cell r="DC529">
            <v>4.2000000000000003E-2</v>
          </cell>
          <cell r="DD529">
            <v>41.46</v>
          </cell>
          <cell r="DE529">
            <v>0.25950000000000001</v>
          </cell>
          <cell r="DF529">
            <v>270.7</v>
          </cell>
          <cell r="DG529">
            <v>2.1000000000000001E-2</v>
          </cell>
          <cell r="DH529">
            <v>22.12</v>
          </cell>
          <cell r="DI529">
            <v>1.0500000000000001E-2</v>
          </cell>
          <cell r="DJ529">
            <v>11.06</v>
          </cell>
          <cell r="DK529">
            <v>1.0500000000000001E-2</v>
          </cell>
          <cell r="DL529">
            <v>11.06</v>
          </cell>
          <cell r="DM529">
            <v>4.2000000000000003E-2</v>
          </cell>
          <cell r="DN529">
            <v>44.24</v>
          </cell>
          <cell r="DO529">
            <v>9.4500000000000001E-2</v>
          </cell>
          <cell r="DP529">
            <v>94.4</v>
          </cell>
          <cell r="DQ529">
            <v>3.15E-2</v>
          </cell>
          <cell r="DR529">
            <v>32.06</v>
          </cell>
          <cell r="DS529">
            <v>0.29399999999999998</v>
          </cell>
          <cell r="DT529">
            <v>298.48</v>
          </cell>
          <cell r="DU529">
            <v>0.42</v>
          </cell>
          <cell r="DV529">
            <v>424.94</v>
          </cell>
          <cell r="DW529">
            <v>1.8105</v>
          </cell>
          <cell r="DX529">
            <v>1819.7</v>
          </cell>
          <cell r="DY529" t="str">
            <v/>
          </cell>
          <cell r="DZ529">
            <v>0</v>
          </cell>
          <cell r="EA529">
            <v>1005.0814692074013</v>
          </cell>
        </row>
        <row r="530">
          <cell r="B530">
            <v>116088</v>
          </cell>
          <cell r="C530" t="str">
            <v>SALUTE DUZ_1KG*10_XOREK DUZU_KARTON KUTU</v>
          </cell>
          <cell r="D530" t="str">
            <v>TON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O530">
            <v>0</v>
          </cell>
          <cell r="AP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  <cell r="DX530">
            <v>0</v>
          </cell>
          <cell r="DY530" t="str">
            <v/>
          </cell>
          <cell r="DZ530" t="str">
            <v>pasiv</v>
          </cell>
          <cell r="EA530" t="e">
            <v>#DIV/0!</v>
          </cell>
        </row>
        <row r="531">
          <cell r="B531">
            <v>324581</v>
          </cell>
          <cell r="C531" t="str">
            <v>მარილი-ჩვ.სუფრა-330გ_40</v>
          </cell>
          <cell r="D531" t="str">
            <v>TON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1.5180000000000001E-2</v>
          </cell>
          <cell r="AH531">
            <v>71.930000000000007</v>
          </cell>
          <cell r="AI531">
            <v>5.28E-3</v>
          </cell>
          <cell r="AJ531">
            <v>25.28</v>
          </cell>
          <cell r="AK531">
            <v>2.64E-2</v>
          </cell>
          <cell r="AL531">
            <v>125.15</v>
          </cell>
          <cell r="AO531">
            <v>4.6859999999999999E-2</v>
          </cell>
          <cell r="AP531">
            <v>222.36</v>
          </cell>
          <cell r="AS531">
            <v>0</v>
          </cell>
          <cell r="AT531">
            <v>0</v>
          </cell>
          <cell r="AU531">
            <v>0.26036999999999999</v>
          </cell>
          <cell r="AV531">
            <v>1212.76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1.98E-3</v>
          </cell>
          <cell r="BD531">
            <v>8.73</v>
          </cell>
          <cell r="BE531">
            <v>1.98E-3</v>
          </cell>
          <cell r="BF531">
            <v>8.73</v>
          </cell>
          <cell r="BG531">
            <v>8.2500000000000004E-3</v>
          </cell>
          <cell r="BH531">
            <v>38.700000000000003</v>
          </cell>
          <cell r="BI531">
            <v>3.9600000000000003E-2</v>
          </cell>
          <cell r="BJ531">
            <v>189.6</v>
          </cell>
          <cell r="BK531">
            <v>3.96E-3</v>
          </cell>
          <cell r="BL531">
            <v>18.96</v>
          </cell>
          <cell r="BM531">
            <v>1.6830000000000001E-2</v>
          </cell>
          <cell r="BN531">
            <v>76.13</v>
          </cell>
          <cell r="BO531">
            <v>9.9000000000000008E-3</v>
          </cell>
          <cell r="BP531">
            <v>47.4</v>
          </cell>
          <cell r="BQ531">
            <v>0</v>
          </cell>
          <cell r="BR531">
            <v>0</v>
          </cell>
          <cell r="BS531">
            <v>7.8539999999999999E-2</v>
          </cell>
          <cell r="BT531">
            <v>370.79</v>
          </cell>
          <cell r="BU531">
            <v>1.2540000000000001E-2</v>
          </cell>
          <cell r="BV531">
            <v>55.56</v>
          </cell>
          <cell r="BW531">
            <v>6.9300000000000004E-3</v>
          </cell>
          <cell r="BX531">
            <v>30.56</v>
          </cell>
          <cell r="BY531">
            <v>0</v>
          </cell>
          <cell r="BZ531">
            <v>0</v>
          </cell>
          <cell r="CA531">
            <v>1.188E-2</v>
          </cell>
          <cell r="CB531">
            <v>56.88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3.1350000000000003E-2</v>
          </cell>
          <cell r="CJ531">
            <v>143</v>
          </cell>
          <cell r="CK531">
            <v>0.10989</v>
          </cell>
          <cell r="CL531">
            <v>513.79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2.145E-2</v>
          </cell>
          <cell r="CV531">
            <v>100.48</v>
          </cell>
          <cell r="CW531">
            <v>0</v>
          </cell>
          <cell r="CX531">
            <v>0</v>
          </cell>
          <cell r="CY531">
            <v>3.9600000000000003E-2</v>
          </cell>
          <cell r="CZ531">
            <v>174</v>
          </cell>
          <cell r="DA531">
            <v>2.112E-2</v>
          </cell>
          <cell r="DB531">
            <v>101.12</v>
          </cell>
          <cell r="DC531">
            <v>1.452E-2</v>
          </cell>
          <cell r="DD531">
            <v>69.52</v>
          </cell>
          <cell r="DE531">
            <v>7.5240000000000001E-2</v>
          </cell>
          <cell r="DF531">
            <v>344.64</v>
          </cell>
          <cell r="DG531">
            <v>0</v>
          </cell>
          <cell r="DH531">
            <v>0</v>
          </cell>
          <cell r="DI531">
            <v>9.8999999999999999E-4</v>
          </cell>
          <cell r="DJ531">
            <v>4.5</v>
          </cell>
          <cell r="DK531">
            <v>3.96E-3</v>
          </cell>
          <cell r="DL531">
            <v>18.260000000000002</v>
          </cell>
          <cell r="DM531">
            <v>4.9500000000000004E-3</v>
          </cell>
          <cell r="DN531">
            <v>22.76</v>
          </cell>
          <cell r="DO531">
            <v>1.65E-3</v>
          </cell>
          <cell r="DP531">
            <v>7.28</v>
          </cell>
          <cell r="DQ531">
            <v>0</v>
          </cell>
          <cell r="DR531">
            <v>0</v>
          </cell>
          <cell r="DS531">
            <v>1.9800000000000002E-2</v>
          </cell>
          <cell r="DT531">
            <v>93.2</v>
          </cell>
          <cell r="DU531">
            <v>2.145E-2</v>
          </cell>
          <cell r="DV531">
            <v>100.48</v>
          </cell>
          <cell r="DW531">
            <v>0.26036999999999999</v>
          </cell>
          <cell r="DX531">
            <v>1212.76</v>
          </cell>
          <cell r="DY531" t="str">
            <v/>
          </cell>
          <cell r="DZ531">
            <v>0</v>
          </cell>
          <cell r="EA531">
            <v>4657.8330836885971</v>
          </cell>
        </row>
        <row r="532">
          <cell r="B532">
            <v>313641</v>
          </cell>
          <cell r="C532" t="str">
            <v>მარილი_აზერდუზი_750გ_13ც+1ც</v>
          </cell>
          <cell r="D532" t="str">
            <v>TON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O532">
            <v>0</v>
          </cell>
          <cell r="AP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  <cell r="DX532">
            <v>0</v>
          </cell>
          <cell r="DY532" t="str">
            <v/>
          </cell>
          <cell r="DZ532" t="str">
            <v>pasiv</v>
          </cell>
          <cell r="EA532" t="e">
            <v>#DIV/0!</v>
          </cell>
        </row>
        <row r="533">
          <cell r="B533">
            <v>371897</v>
          </cell>
          <cell r="C533" t="str">
            <v>მარილი_SAYDAM_1კგ*18_იოდირებული_თურქეთი</v>
          </cell>
          <cell r="D533" t="str">
            <v>TON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O533">
            <v>0</v>
          </cell>
          <cell r="AP533">
            <v>0</v>
          </cell>
          <cell r="AS533">
            <v>0</v>
          </cell>
          <cell r="AT533">
            <v>0</v>
          </cell>
          <cell r="AU533">
            <v>0.24</v>
          </cell>
          <cell r="AV533">
            <v>203.2</v>
          </cell>
          <cell r="AW533">
            <v>0</v>
          </cell>
          <cell r="AX533">
            <v>0</v>
          </cell>
          <cell r="AY533">
            <v>0.02</v>
          </cell>
          <cell r="AZ533">
            <v>17.600000000000001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0.02</v>
          </cell>
          <cell r="BF533">
            <v>17.600000000000001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0.22</v>
          </cell>
          <cell r="CZ533">
            <v>185.6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0.22</v>
          </cell>
          <cell r="DF533">
            <v>185.6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0.24</v>
          </cell>
          <cell r="DX533">
            <v>203.2</v>
          </cell>
          <cell r="DY533" t="str">
            <v/>
          </cell>
          <cell r="DZ533">
            <v>0</v>
          </cell>
          <cell r="EA533">
            <v>846.66666666666663</v>
          </cell>
        </row>
        <row r="534">
          <cell r="B534">
            <v>174725</v>
          </cell>
          <cell r="C534" t="str">
            <v xml:space="preserve">SALUTE DUZ_1KQ*10_XOREK_QRMZ_EXP </v>
          </cell>
          <cell r="D534" t="str">
            <v>TON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O534">
            <v>0</v>
          </cell>
          <cell r="AP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  <cell r="DX534">
            <v>0</v>
          </cell>
          <cell r="DY534" t="str">
            <v/>
          </cell>
          <cell r="DZ534" t="str">
            <v>pasiv</v>
          </cell>
          <cell r="EA534" t="e">
            <v>#DIV/0!</v>
          </cell>
        </row>
        <row r="535">
          <cell r="B535">
            <v>174726</v>
          </cell>
          <cell r="C535" t="str">
            <v xml:space="preserve">SALUTE DUZ_1KQ*10_XOREK_MV_KT_EXP </v>
          </cell>
          <cell r="D535" t="str">
            <v>TON</v>
          </cell>
          <cell r="E535">
            <v>0.03</v>
          </cell>
          <cell r="F535">
            <v>24.77</v>
          </cell>
          <cell r="G535">
            <v>1E-3</v>
          </cell>
          <cell r="H535">
            <v>0.83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O535">
            <v>3.1E-2</v>
          </cell>
          <cell r="P535">
            <v>25.599999999999998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0.01</v>
          </cell>
          <cell r="AD535">
            <v>9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0.06</v>
          </cell>
          <cell r="AL535">
            <v>54</v>
          </cell>
          <cell r="AO535">
            <v>6.9999999999999993E-2</v>
          </cell>
          <cell r="AP535">
            <v>63</v>
          </cell>
          <cell r="AS535">
            <v>0</v>
          </cell>
          <cell r="AT535">
            <v>0</v>
          </cell>
          <cell r="AU535">
            <v>23.58</v>
          </cell>
          <cell r="AV535">
            <v>21103.89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0.1</v>
          </cell>
          <cell r="BD535">
            <v>83.42</v>
          </cell>
          <cell r="BE535">
            <v>0.1</v>
          </cell>
          <cell r="BF535">
            <v>83.42</v>
          </cell>
          <cell r="BG535">
            <v>0.19</v>
          </cell>
          <cell r="BH535">
            <v>169.8</v>
          </cell>
          <cell r="BI535">
            <v>0.41</v>
          </cell>
          <cell r="BJ535">
            <v>340.99</v>
          </cell>
          <cell r="BK535">
            <v>0.2</v>
          </cell>
          <cell r="BL535">
            <v>177.74</v>
          </cell>
          <cell r="BM535">
            <v>0.19</v>
          </cell>
          <cell r="BN535">
            <v>162.44</v>
          </cell>
          <cell r="BO535">
            <v>0.23</v>
          </cell>
          <cell r="BP535">
            <v>206.6</v>
          </cell>
          <cell r="BQ535">
            <v>0</v>
          </cell>
          <cell r="BR535">
            <v>0</v>
          </cell>
          <cell r="BS535">
            <v>1.22</v>
          </cell>
          <cell r="BT535">
            <v>1057.57</v>
          </cell>
          <cell r="BU535">
            <v>0.13</v>
          </cell>
          <cell r="BV535">
            <v>108.96</v>
          </cell>
          <cell r="BW535">
            <v>0.01</v>
          </cell>
          <cell r="BX535">
            <v>8.34</v>
          </cell>
          <cell r="BY535">
            <v>0.53</v>
          </cell>
          <cell r="BZ535">
            <v>449.61</v>
          </cell>
          <cell r="CA535">
            <v>4.5999999999999999E-2</v>
          </cell>
          <cell r="CB535">
            <v>41.4</v>
          </cell>
          <cell r="CC535">
            <v>0.04</v>
          </cell>
          <cell r="CD535">
            <v>36</v>
          </cell>
          <cell r="CE535">
            <v>0.161</v>
          </cell>
          <cell r="CF535">
            <v>141.74</v>
          </cell>
          <cell r="CG535">
            <v>0</v>
          </cell>
          <cell r="CH535">
            <v>0</v>
          </cell>
          <cell r="CI535">
            <v>0.91700000000000004</v>
          </cell>
          <cell r="CJ535">
            <v>786.05</v>
          </cell>
          <cell r="CK535">
            <v>2.137</v>
          </cell>
          <cell r="CL535">
            <v>1843.62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0.63</v>
          </cell>
          <cell r="CV535">
            <v>544.48</v>
          </cell>
          <cell r="CW535">
            <v>0</v>
          </cell>
          <cell r="CX535">
            <v>0</v>
          </cell>
          <cell r="CY535">
            <v>2E-3</v>
          </cell>
          <cell r="CZ535">
            <v>1.8</v>
          </cell>
          <cell r="DA535">
            <v>0</v>
          </cell>
          <cell r="DB535">
            <v>0</v>
          </cell>
          <cell r="DC535">
            <v>0.02</v>
          </cell>
          <cell r="DD535">
            <v>18</v>
          </cell>
          <cell r="DE535">
            <v>2.1999999999999999E-2</v>
          </cell>
          <cell r="DF535">
            <v>19.8</v>
          </cell>
          <cell r="DG535">
            <v>0.1</v>
          </cell>
          <cell r="DH535">
            <v>89.34</v>
          </cell>
          <cell r="DI535">
            <v>0.1</v>
          </cell>
          <cell r="DJ535">
            <v>90</v>
          </cell>
          <cell r="DK535">
            <v>0.23</v>
          </cell>
          <cell r="DL535">
            <v>200.63</v>
          </cell>
          <cell r="DM535">
            <v>0.43</v>
          </cell>
          <cell r="DN535">
            <v>379.97</v>
          </cell>
          <cell r="DO535">
            <v>0.37</v>
          </cell>
          <cell r="DP535">
            <v>315.66000000000003</v>
          </cell>
          <cell r="DQ535">
            <v>0.12</v>
          </cell>
          <cell r="DR535">
            <v>103.48</v>
          </cell>
          <cell r="DS535">
            <v>0.14000000000000001</v>
          </cell>
          <cell r="DT535">
            <v>125.34</v>
          </cell>
          <cell r="DU535">
            <v>0.63</v>
          </cell>
          <cell r="DV535">
            <v>544.48</v>
          </cell>
          <cell r="DW535">
            <v>3.4200000000000004</v>
          </cell>
          <cell r="DX535">
            <v>2959.89</v>
          </cell>
          <cell r="DY535" t="str">
            <v/>
          </cell>
          <cell r="DZ535">
            <v>0</v>
          </cell>
          <cell r="EA535">
            <v>865.46491228070158</v>
          </cell>
        </row>
        <row r="536">
          <cell r="B536">
            <v>320926</v>
          </cell>
          <cell r="C536" t="str">
            <v>მარილი-ჩვ.სუფრა-550გ*20_იოდიზირებულ</v>
          </cell>
          <cell r="D536" t="str">
            <v>TON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O536">
            <v>0</v>
          </cell>
          <cell r="AP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 t="str">
            <v/>
          </cell>
          <cell r="DZ536" t="str">
            <v>pasiv</v>
          </cell>
          <cell r="EA536" t="e">
            <v>#DIV/0!</v>
          </cell>
        </row>
        <row r="537">
          <cell r="B537">
            <v>317551</v>
          </cell>
          <cell r="C537" t="str">
            <v>C.SUPRA X.DUZU_200Q*50</v>
          </cell>
          <cell r="D537" t="str">
            <v>TON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3.0000000000000001E-3</v>
          </cell>
          <cell r="T537">
            <v>19.73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3.0000000000000001E-3</v>
          </cell>
          <cell r="Z537">
            <v>19.73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1.1999999999999999E-3</v>
          </cell>
          <cell r="AH537">
            <v>7.97</v>
          </cell>
          <cell r="AI537">
            <v>4.4000000000000003E-3</v>
          </cell>
          <cell r="AJ537">
            <v>31.68</v>
          </cell>
          <cell r="AK537">
            <v>4.5999999999999999E-3</v>
          </cell>
          <cell r="AL537">
            <v>32.01</v>
          </cell>
          <cell r="AO537">
            <v>1.0200000000000001E-2</v>
          </cell>
          <cell r="AP537">
            <v>71.66</v>
          </cell>
          <cell r="AS537">
            <v>0</v>
          </cell>
          <cell r="AT537">
            <v>0</v>
          </cell>
          <cell r="AU537">
            <v>0.157</v>
          </cell>
          <cell r="AV537">
            <v>1092.5999999999999</v>
          </cell>
          <cell r="AW537">
            <v>0</v>
          </cell>
          <cell r="AX537">
            <v>0</v>
          </cell>
          <cell r="AY537">
            <v>2.3999999999999998E-3</v>
          </cell>
          <cell r="AZ537">
            <v>15.78</v>
          </cell>
          <cell r="BA537">
            <v>0</v>
          </cell>
          <cell r="BB537">
            <v>0</v>
          </cell>
          <cell r="BC537">
            <v>6.1999999999999998E-3</v>
          </cell>
          <cell r="BD537">
            <v>43.97</v>
          </cell>
          <cell r="BE537">
            <v>8.6E-3</v>
          </cell>
          <cell r="BF537">
            <v>59.75</v>
          </cell>
          <cell r="BG537">
            <v>2E-3</v>
          </cell>
          <cell r="BH537">
            <v>13.7</v>
          </cell>
          <cell r="BI537">
            <v>1.6E-2</v>
          </cell>
          <cell r="BJ537">
            <v>115.2</v>
          </cell>
          <cell r="BK537">
            <v>0</v>
          </cell>
          <cell r="BL537">
            <v>0</v>
          </cell>
          <cell r="BM537">
            <v>3.0000000000000001E-3</v>
          </cell>
          <cell r="BN537">
            <v>19.87</v>
          </cell>
          <cell r="BO537">
            <v>4.1999999999999997E-3</v>
          </cell>
          <cell r="BP537">
            <v>30.24</v>
          </cell>
          <cell r="BQ537">
            <v>0</v>
          </cell>
          <cell r="BR537">
            <v>0</v>
          </cell>
          <cell r="BS537">
            <v>2.52E-2</v>
          </cell>
          <cell r="BT537">
            <v>179.01</v>
          </cell>
          <cell r="BU537">
            <v>1.4200000000000001E-2</v>
          </cell>
          <cell r="BV537">
            <v>95.17</v>
          </cell>
          <cell r="BW537">
            <v>6.1999999999999998E-3</v>
          </cell>
          <cell r="BX537">
            <v>41.6</v>
          </cell>
          <cell r="BY537">
            <v>1.8E-3</v>
          </cell>
          <cell r="BZ537">
            <v>11.59</v>
          </cell>
          <cell r="CA537">
            <v>2E-3</v>
          </cell>
          <cell r="CB537">
            <v>14.4</v>
          </cell>
          <cell r="CC537">
            <v>0</v>
          </cell>
          <cell r="CD537">
            <v>0</v>
          </cell>
          <cell r="CE537">
            <v>1.66E-2</v>
          </cell>
          <cell r="CF537">
            <v>116.02</v>
          </cell>
          <cell r="CG537">
            <v>0</v>
          </cell>
          <cell r="CH537">
            <v>0</v>
          </cell>
          <cell r="CI537">
            <v>4.0800000000000003E-2</v>
          </cell>
          <cell r="CJ537">
            <v>278.77999999999997</v>
          </cell>
          <cell r="CK537">
            <v>6.6000000000000003E-2</v>
          </cell>
          <cell r="CL537">
            <v>457.78999999999996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0.03</v>
          </cell>
          <cell r="CV537">
            <v>204.42</v>
          </cell>
          <cell r="CW537">
            <v>0</v>
          </cell>
          <cell r="CX537">
            <v>0</v>
          </cell>
          <cell r="CY537">
            <v>1.6E-2</v>
          </cell>
          <cell r="CZ537">
            <v>115.2</v>
          </cell>
          <cell r="DA537">
            <v>6.0000000000000001E-3</v>
          </cell>
          <cell r="DB537">
            <v>43.2</v>
          </cell>
          <cell r="DC537">
            <v>8.2000000000000007E-3</v>
          </cell>
          <cell r="DD537">
            <v>57.45</v>
          </cell>
          <cell r="DE537">
            <v>3.0199999999999998E-2</v>
          </cell>
          <cell r="DF537">
            <v>215.85000000000002</v>
          </cell>
          <cell r="DG537">
            <v>5.0000000000000001E-3</v>
          </cell>
          <cell r="DH537">
            <v>36</v>
          </cell>
          <cell r="DI537">
            <v>1E-3</v>
          </cell>
          <cell r="DJ537">
            <v>6.85</v>
          </cell>
          <cell r="DK537">
            <v>3.0000000000000001E-3</v>
          </cell>
          <cell r="DL537">
            <v>20.55</v>
          </cell>
          <cell r="DM537">
            <v>8.9999999999999993E-3</v>
          </cell>
          <cell r="DN537">
            <v>63.4</v>
          </cell>
          <cell r="DO537">
            <v>5.0000000000000001E-3</v>
          </cell>
          <cell r="DP537">
            <v>34.54</v>
          </cell>
          <cell r="DQ537">
            <v>6.0000000000000001E-3</v>
          </cell>
          <cell r="DR537">
            <v>41.39</v>
          </cell>
          <cell r="DS537">
            <v>1.9E-2</v>
          </cell>
          <cell r="DT537">
            <v>128.49</v>
          </cell>
          <cell r="DU537">
            <v>0.03</v>
          </cell>
          <cell r="DV537">
            <v>204.42</v>
          </cell>
          <cell r="DW537">
            <v>0.15699999999999997</v>
          </cell>
          <cell r="DX537">
            <v>1092.5999999999999</v>
          </cell>
          <cell r="DY537" t="str">
            <v/>
          </cell>
          <cell r="DZ537">
            <v>0</v>
          </cell>
          <cell r="EA537">
            <v>6959.2356687898091</v>
          </cell>
        </row>
        <row r="538">
          <cell r="B538">
            <v>182947</v>
          </cell>
          <cell r="C538" t="str">
            <v>C.SUPRA DUZ_500QR*20_SLND.QUTU</v>
          </cell>
          <cell r="D538" t="str">
            <v>TON</v>
          </cell>
          <cell r="E538">
            <v>0.01</v>
          </cell>
          <cell r="F538">
            <v>36.479999999999997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O538">
            <v>0.01</v>
          </cell>
          <cell r="P538">
            <v>36.479999999999997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3.0000000000000001E-3</v>
          </cell>
          <cell r="AH538">
            <v>11.06</v>
          </cell>
          <cell r="AI538">
            <v>0</v>
          </cell>
          <cell r="AJ538">
            <v>0</v>
          </cell>
          <cell r="AK538">
            <v>1.7999999999999999E-2</v>
          </cell>
          <cell r="AL538">
            <v>70.430000000000007</v>
          </cell>
          <cell r="AO538">
            <v>2.0999999999999998E-2</v>
          </cell>
          <cell r="AP538">
            <v>81.490000000000009</v>
          </cell>
          <cell r="AS538">
            <v>0</v>
          </cell>
          <cell r="AT538">
            <v>0</v>
          </cell>
          <cell r="AU538">
            <v>0.39550000000000002</v>
          </cell>
          <cell r="AV538">
            <v>1536</v>
          </cell>
          <cell r="AW538">
            <v>0</v>
          </cell>
          <cell r="AX538">
            <v>0</v>
          </cell>
          <cell r="AY538">
            <v>6.0000000000000001E-3</v>
          </cell>
          <cell r="AZ538">
            <v>21.89</v>
          </cell>
          <cell r="BA538">
            <v>0</v>
          </cell>
          <cell r="BB538">
            <v>0</v>
          </cell>
          <cell r="BC538">
            <v>3.0000000000000001E-3</v>
          </cell>
          <cell r="BD538">
            <v>11.06</v>
          </cell>
          <cell r="BE538">
            <v>9.0000000000000011E-3</v>
          </cell>
          <cell r="BF538">
            <v>32.950000000000003</v>
          </cell>
          <cell r="BG538">
            <v>5.0000000000000001E-3</v>
          </cell>
          <cell r="BH538">
            <v>19</v>
          </cell>
          <cell r="BI538">
            <v>0.05</v>
          </cell>
          <cell r="BJ538">
            <v>200</v>
          </cell>
          <cell r="BK538">
            <v>0.02</v>
          </cell>
          <cell r="BL538">
            <v>80</v>
          </cell>
          <cell r="BM538">
            <v>2.5000000000000001E-3</v>
          </cell>
          <cell r="BN538">
            <v>9.1199999999999992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7.7499999999999999E-2</v>
          </cell>
          <cell r="BT538">
            <v>308.12</v>
          </cell>
          <cell r="BU538">
            <v>3.0000000000000001E-3</v>
          </cell>
          <cell r="BV538">
            <v>11.4</v>
          </cell>
          <cell r="BW538">
            <v>1.35E-2</v>
          </cell>
          <cell r="BX538">
            <v>50.11</v>
          </cell>
          <cell r="BY538">
            <v>0</v>
          </cell>
          <cell r="BZ538">
            <v>0</v>
          </cell>
          <cell r="CA538">
            <v>2.8000000000000001E-2</v>
          </cell>
          <cell r="CB538">
            <v>112</v>
          </cell>
          <cell r="CC538">
            <v>0</v>
          </cell>
          <cell r="CD538">
            <v>0</v>
          </cell>
          <cell r="CE538">
            <v>3.3000000000000002E-2</v>
          </cell>
          <cell r="CF538">
            <v>128.12</v>
          </cell>
          <cell r="CG538">
            <v>0</v>
          </cell>
          <cell r="CH538">
            <v>0</v>
          </cell>
          <cell r="CI538">
            <v>7.7499999999999999E-2</v>
          </cell>
          <cell r="CJ538">
            <v>301.63</v>
          </cell>
          <cell r="CK538">
            <v>0.155</v>
          </cell>
          <cell r="CL538">
            <v>609.75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4.4999999999999998E-2</v>
          </cell>
          <cell r="CV538">
            <v>173.94</v>
          </cell>
          <cell r="CW538">
            <v>0</v>
          </cell>
          <cell r="CX538">
            <v>0</v>
          </cell>
          <cell r="CY538">
            <v>0.06</v>
          </cell>
          <cell r="CZ538">
            <v>232.2</v>
          </cell>
          <cell r="DA538">
            <v>0.05</v>
          </cell>
          <cell r="DB538">
            <v>200</v>
          </cell>
          <cell r="DC538">
            <v>0.04</v>
          </cell>
          <cell r="DD538">
            <v>147.69</v>
          </cell>
          <cell r="DE538">
            <v>0.15</v>
          </cell>
          <cell r="DF538">
            <v>579.89</v>
          </cell>
          <cell r="DG538">
            <v>0</v>
          </cell>
          <cell r="DH538">
            <v>0</v>
          </cell>
          <cell r="DI538">
            <v>2.5000000000000001E-3</v>
          </cell>
          <cell r="DJ538">
            <v>9.5</v>
          </cell>
          <cell r="DK538">
            <v>3.0000000000000001E-3</v>
          </cell>
          <cell r="DL538">
            <v>12</v>
          </cell>
          <cell r="DM538">
            <v>5.4999999999999997E-3</v>
          </cell>
          <cell r="DN538">
            <v>21.5</v>
          </cell>
          <cell r="DO538">
            <v>5.0000000000000001E-3</v>
          </cell>
          <cell r="DP538">
            <v>20</v>
          </cell>
          <cell r="DQ538">
            <v>2.5000000000000001E-3</v>
          </cell>
          <cell r="DR538">
            <v>9.2200000000000006</v>
          </cell>
          <cell r="DS538">
            <v>3.7499999999999999E-2</v>
          </cell>
          <cell r="DT538">
            <v>144.72</v>
          </cell>
          <cell r="DU538">
            <v>4.4999999999999998E-2</v>
          </cell>
          <cell r="DV538">
            <v>173.94</v>
          </cell>
          <cell r="DW538">
            <v>0.39550000000000007</v>
          </cell>
          <cell r="DX538">
            <v>1536</v>
          </cell>
          <cell r="DY538" t="str">
            <v/>
          </cell>
          <cell r="DZ538">
            <v>0</v>
          </cell>
          <cell r="EA538">
            <v>3883.6915297092282</v>
          </cell>
        </row>
        <row r="539">
          <cell r="B539">
            <v>219491</v>
          </cell>
          <cell r="C539" t="str">
            <v>C.SUPRA DUZ_300QR*40</v>
          </cell>
          <cell r="D539" t="str">
            <v>TON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O539">
            <v>0</v>
          </cell>
          <cell r="AP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  <cell r="DX539">
            <v>0</v>
          </cell>
          <cell r="DY539" t="str">
            <v/>
          </cell>
          <cell r="DZ539" t="str">
            <v>pasiv</v>
          </cell>
          <cell r="EA539" t="e">
            <v>#DIV/0!</v>
          </cell>
        </row>
        <row r="540">
          <cell r="B540">
            <v>387114</v>
          </cell>
          <cell r="C540" t="str">
            <v>მარილი_SAYDAM_1_კგ_16ც+2ც</v>
          </cell>
          <cell r="D540" t="str">
            <v>TON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0.27</v>
          </cell>
          <cell r="AL540">
            <v>184.32</v>
          </cell>
          <cell r="AO540">
            <v>0.27</v>
          </cell>
          <cell r="AP540">
            <v>184.32</v>
          </cell>
          <cell r="AS540">
            <v>0</v>
          </cell>
          <cell r="AT540">
            <v>0</v>
          </cell>
          <cell r="AU540">
            <v>0.28799999999999998</v>
          </cell>
          <cell r="AV540">
            <v>196.61</v>
          </cell>
          <cell r="AW540">
            <v>0</v>
          </cell>
          <cell r="AX540">
            <v>0</v>
          </cell>
          <cell r="AY540">
            <v>1.7999999999999999E-2</v>
          </cell>
          <cell r="AZ540">
            <v>12.29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1.7999999999999999E-2</v>
          </cell>
          <cell r="BF540">
            <v>12.29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0.28800000000000003</v>
          </cell>
          <cell r="DX540">
            <v>196.60999999999999</v>
          </cell>
          <cell r="DY540" t="str">
            <v/>
          </cell>
          <cell r="DZ540">
            <v>0</v>
          </cell>
          <cell r="EA540">
            <v>682.67361111111097</v>
          </cell>
        </row>
        <row r="541">
          <cell r="B541">
            <v>175515</v>
          </cell>
          <cell r="C541" t="str">
            <v>AZERDUZ_750QR*14_PST_EXP</v>
          </cell>
          <cell r="D541" t="str">
            <v>TON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O541">
            <v>0</v>
          </cell>
          <cell r="AP541">
            <v>0</v>
          </cell>
          <cell r="AS541">
            <v>0</v>
          </cell>
          <cell r="AT541">
            <v>0</v>
          </cell>
          <cell r="AU541">
            <v>8.9999999999999993E-3</v>
          </cell>
          <cell r="AV541">
            <v>8.44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-1.5E-3</v>
          </cell>
          <cell r="BJ541">
            <v>-1.64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-1.5E-3</v>
          </cell>
          <cell r="BT541">
            <v>-1.64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-1.5E-3</v>
          </cell>
          <cell r="CL541">
            <v>-1.64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1.0500000000000001E-2</v>
          </cell>
          <cell r="CV541">
            <v>10.08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1.0500000000000001E-2</v>
          </cell>
          <cell r="DP541">
            <v>10.08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1.0500000000000001E-2</v>
          </cell>
          <cell r="DV541">
            <v>10.08</v>
          </cell>
          <cell r="DW541">
            <v>9.0000000000000011E-3</v>
          </cell>
          <cell r="DX541">
            <v>8.44</v>
          </cell>
          <cell r="DY541" t="str">
            <v/>
          </cell>
          <cell r="DZ541">
            <v>0</v>
          </cell>
          <cell r="EA541">
            <v>937.7777777777776</v>
          </cell>
        </row>
        <row r="542">
          <cell r="A542">
            <v>13</v>
          </cell>
          <cell r="B542">
            <v>0</v>
          </cell>
          <cell r="C542" t="str">
            <v>PAKETLI  DUZ</v>
          </cell>
          <cell r="D542" t="str">
            <v>TON</v>
          </cell>
          <cell r="E542">
            <v>6.1000000000000006E-2</v>
          </cell>
          <cell r="F542">
            <v>81.62</v>
          </cell>
          <cell r="G542">
            <v>2.2000000000000002E-2</v>
          </cell>
          <cell r="H542">
            <v>21.31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O542">
            <v>8.3000000000000004E-2</v>
          </cell>
          <cell r="P542">
            <v>102.93</v>
          </cell>
          <cell r="Q542">
            <v>4.2000000000000003E-2</v>
          </cell>
          <cell r="R542">
            <v>42</v>
          </cell>
          <cell r="S542">
            <v>0.41249999999999998</v>
          </cell>
          <cell r="T542">
            <v>413.17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0.45449999999999996</v>
          </cell>
          <cell r="Z542">
            <v>455.17</v>
          </cell>
          <cell r="AA542">
            <v>0</v>
          </cell>
          <cell r="AB542">
            <v>0</v>
          </cell>
          <cell r="AC542">
            <v>0.01</v>
          </cell>
          <cell r="AD542">
            <v>9</v>
          </cell>
          <cell r="AE542">
            <v>0</v>
          </cell>
          <cell r="AF542">
            <v>0</v>
          </cell>
          <cell r="AG542">
            <v>6.1380000000000004E-2</v>
          </cell>
          <cell r="AH542">
            <v>134.33000000000001</v>
          </cell>
          <cell r="AI542">
            <v>7.2680000000000008E-2</v>
          </cell>
          <cell r="AJ542">
            <v>123.32</v>
          </cell>
          <cell r="AK542">
            <v>0.42100000000000004</v>
          </cell>
          <cell r="AL542">
            <v>508.41</v>
          </cell>
          <cell r="AO542">
            <v>0.56506000000000012</v>
          </cell>
          <cell r="AP542">
            <v>775.06</v>
          </cell>
          <cell r="AS542">
            <v>0</v>
          </cell>
          <cell r="AT542">
            <v>0</v>
          </cell>
          <cell r="AU542">
            <v>27.807369999999999</v>
          </cell>
          <cell r="AV542">
            <v>28056.609999999997</v>
          </cell>
          <cell r="AW542">
            <v>0</v>
          </cell>
          <cell r="AX542">
            <v>0</v>
          </cell>
          <cell r="AY542">
            <v>8.8400000000000006E-2</v>
          </cell>
          <cell r="AZ542">
            <v>110.25999999999999</v>
          </cell>
          <cell r="BA542">
            <v>0</v>
          </cell>
          <cell r="BB542">
            <v>0</v>
          </cell>
          <cell r="BC542">
            <v>0.13218000000000002</v>
          </cell>
          <cell r="BD542">
            <v>168.43</v>
          </cell>
          <cell r="BE542">
            <v>0.22058</v>
          </cell>
          <cell r="BF542">
            <v>278.69</v>
          </cell>
          <cell r="BG542">
            <v>0.21575</v>
          </cell>
          <cell r="BH542">
            <v>252.26</v>
          </cell>
          <cell r="BI542">
            <v>0.57710000000000006</v>
          </cell>
          <cell r="BJ542">
            <v>906.91000000000008</v>
          </cell>
          <cell r="BK542">
            <v>0.27046000000000003</v>
          </cell>
          <cell r="BL542">
            <v>324.56</v>
          </cell>
          <cell r="BM542">
            <v>0.32183</v>
          </cell>
          <cell r="BN542">
            <v>376.79</v>
          </cell>
          <cell r="BO542">
            <v>0.29659999999999997</v>
          </cell>
          <cell r="BP542">
            <v>338.56</v>
          </cell>
          <cell r="BQ542">
            <v>0</v>
          </cell>
          <cell r="BR542">
            <v>0</v>
          </cell>
          <cell r="BS542">
            <v>1.6817399999999998</v>
          </cell>
          <cell r="BT542">
            <v>2199.08</v>
          </cell>
          <cell r="BU542">
            <v>0.26973999999999998</v>
          </cell>
          <cell r="BV542">
            <v>360.4</v>
          </cell>
          <cell r="BW542">
            <v>3.6630000000000003E-2</v>
          </cell>
          <cell r="BX542">
            <v>130.61000000000001</v>
          </cell>
          <cell r="BY542">
            <v>0.66680000000000006</v>
          </cell>
          <cell r="BZ542">
            <v>575.25000000000011</v>
          </cell>
          <cell r="CA542">
            <v>0.15387999999999999</v>
          </cell>
          <cell r="CB542">
            <v>285.95000000000005</v>
          </cell>
          <cell r="CC542">
            <v>0.13</v>
          </cell>
          <cell r="CD542">
            <v>111.06</v>
          </cell>
          <cell r="CE542">
            <v>0.30859999999999999</v>
          </cell>
          <cell r="CF542">
            <v>471.32</v>
          </cell>
          <cell r="CG542">
            <v>6.1499999999999999E-2</v>
          </cell>
          <cell r="CH542">
            <v>54.14</v>
          </cell>
          <cell r="CI542">
            <v>1.6271499999999999</v>
          </cell>
          <cell r="CJ542">
            <v>1988.73</v>
          </cell>
          <cell r="CK542">
            <v>3.3088899999999994</v>
          </cell>
          <cell r="CL542">
            <v>4187.8099999999995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S542">
            <v>0</v>
          </cell>
          <cell r="CT542">
            <v>0</v>
          </cell>
          <cell r="CU542">
            <v>1.52695</v>
          </cell>
          <cell r="CV542">
            <v>1764.13</v>
          </cell>
          <cell r="CW542">
            <v>0</v>
          </cell>
          <cell r="CX542">
            <v>0</v>
          </cell>
          <cell r="CY542">
            <v>0.54710000000000003</v>
          </cell>
          <cell r="CZ542">
            <v>927.78</v>
          </cell>
          <cell r="DA542">
            <v>9.512000000000001E-2</v>
          </cell>
          <cell r="DB542">
            <v>363.28000000000003</v>
          </cell>
          <cell r="DC542">
            <v>0.12472</v>
          </cell>
          <cell r="DD542">
            <v>334.12</v>
          </cell>
          <cell r="DE542">
            <v>0.76694000000000007</v>
          </cell>
          <cell r="DF542">
            <v>1625.1799999999998</v>
          </cell>
          <cell r="DG542">
            <v>0.14600000000000002</v>
          </cell>
          <cell r="DH542">
            <v>164.86</v>
          </cell>
          <cell r="DI542">
            <v>0.25498999999999999</v>
          </cell>
          <cell r="DJ542">
            <v>236.58</v>
          </cell>
          <cell r="DK542">
            <v>0.32046000000000002</v>
          </cell>
          <cell r="DL542">
            <v>322.2</v>
          </cell>
          <cell r="DM542">
            <v>0.72144999999999992</v>
          </cell>
          <cell r="DN542">
            <v>723.64</v>
          </cell>
          <cell r="DO542">
            <v>0.79664999999999986</v>
          </cell>
          <cell r="DP542">
            <v>736.19999999999993</v>
          </cell>
          <cell r="DQ542">
            <v>0.16</v>
          </cell>
          <cell r="DR542">
            <v>186.15</v>
          </cell>
          <cell r="DS542">
            <v>0.57030000000000003</v>
          </cell>
          <cell r="DT542">
            <v>841.78000000000009</v>
          </cell>
          <cell r="DU542">
            <v>1.52695</v>
          </cell>
          <cell r="DV542">
            <v>1764.13</v>
          </cell>
          <cell r="DW542">
            <v>7.6473700000000004</v>
          </cell>
          <cell r="DX542">
            <v>9912.61</v>
          </cell>
          <cell r="DY542" t="str">
            <v>Hedef</v>
          </cell>
          <cell r="DZ542">
            <v>0</v>
          </cell>
          <cell r="EA542">
            <v>1296.2116387725453</v>
          </cell>
        </row>
        <row r="543">
          <cell r="B543">
            <v>176306</v>
          </cell>
          <cell r="C543" t="str">
            <v>TEHNIKI DUZ_20KQ_TR</v>
          </cell>
          <cell r="D543" t="str">
            <v>TON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O543">
            <v>0</v>
          </cell>
          <cell r="AP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  <cell r="DX543">
            <v>0</v>
          </cell>
          <cell r="DZ543" t="str">
            <v>pasiv</v>
          </cell>
          <cell r="EA543" t="e">
            <v>#DIV/0!</v>
          </cell>
        </row>
        <row r="544">
          <cell r="B544">
            <v>176308</v>
          </cell>
          <cell r="C544" t="str">
            <v>ტექნიკური მარილი 25კგ</v>
          </cell>
          <cell r="D544" t="str">
            <v>TON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O544">
            <v>0</v>
          </cell>
          <cell r="AP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  <cell r="DX544">
            <v>0</v>
          </cell>
          <cell r="DZ544" t="str">
            <v>pasiv</v>
          </cell>
          <cell r="EA544" t="e">
            <v>#DIV/0!</v>
          </cell>
        </row>
        <row r="545">
          <cell r="B545">
            <v>320971</v>
          </cell>
          <cell r="C545" t="str">
            <v>მარილი ტაბლეტი ალფა_25კგ</v>
          </cell>
          <cell r="D545" t="str">
            <v>TON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O545">
            <v>0</v>
          </cell>
          <cell r="AP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0</v>
          </cell>
          <cell r="CY545">
            <v>0</v>
          </cell>
          <cell r="CZ545">
            <v>0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  <cell r="DX545">
            <v>0</v>
          </cell>
          <cell r="DZ545" t="str">
            <v>pasiv</v>
          </cell>
          <cell r="EA545" t="e">
            <v>#DIV/0!</v>
          </cell>
        </row>
        <row r="546">
          <cell r="B546">
            <v>277805</v>
          </cell>
          <cell r="C546" t="str">
            <v>ტექნიკური მარილი_ნაყარი</v>
          </cell>
          <cell r="D546" t="str">
            <v>TON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O546">
            <v>0</v>
          </cell>
          <cell r="AP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Z546" t="str">
            <v>pasiv</v>
          </cell>
          <cell r="EA546" t="e">
            <v>#DIV/0!</v>
          </cell>
        </row>
        <row r="547">
          <cell r="B547">
            <v>372154</v>
          </cell>
          <cell r="C547" t="str">
            <v>მარილი_ქვის_25კგ_იოდირებული_თურქეთი</v>
          </cell>
          <cell r="D547" t="str">
            <v>TON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O547">
            <v>0</v>
          </cell>
          <cell r="AP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  <cell r="DX547">
            <v>0</v>
          </cell>
          <cell r="DZ547" t="str">
            <v>pasiv</v>
          </cell>
          <cell r="EA547" t="e">
            <v>#DIV/0!</v>
          </cell>
        </row>
        <row r="548">
          <cell r="B548">
            <v>374383</v>
          </cell>
          <cell r="C548" t="str">
            <v>მარილი_ტაბლეტი_რაფინირებული_25კგ</v>
          </cell>
          <cell r="D548" t="str">
            <v>TON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O548">
            <v>0</v>
          </cell>
          <cell r="AP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Z548" t="str">
            <v>pasiv</v>
          </cell>
          <cell r="EA548" t="e">
            <v>#DIV/0!</v>
          </cell>
        </row>
        <row r="549">
          <cell r="B549">
            <v>175189</v>
          </cell>
          <cell r="C549" t="str">
            <v>DUZ_EKSTRA_25KQ_NO1_EXP</v>
          </cell>
          <cell r="D549" t="str">
            <v>TON</v>
          </cell>
          <cell r="E549">
            <v>0</v>
          </cell>
          <cell r="F549">
            <v>0</v>
          </cell>
          <cell r="G549">
            <v>2.5</v>
          </cell>
          <cell r="H549">
            <v>1262.5999999999999</v>
          </cell>
          <cell r="I549">
            <v>0.22500000000000001</v>
          </cell>
          <cell r="J549">
            <v>118.17</v>
          </cell>
          <cell r="K549">
            <v>0</v>
          </cell>
          <cell r="L549">
            <v>0</v>
          </cell>
          <cell r="O549">
            <v>2.7250000000000001</v>
          </cell>
          <cell r="P549">
            <v>1380.77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2.5000000000000001E-2</v>
          </cell>
          <cell r="AF549">
            <v>12.5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O549">
            <v>2.5000000000000001E-2</v>
          </cell>
          <cell r="AP549">
            <v>12.5</v>
          </cell>
          <cell r="AS549">
            <v>0</v>
          </cell>
          <cell r="AT549">
            <v>0</v>
          </cell>
          <cell r="AU549">
            <v>4.7</v>
          </cell>
          <cell r="AV549">
            <v>2368.27</v>
          </cell>
          <cell r="AW549">
            <v>0</v>
          </cell>
          <cell r="AX549">
            <v>0</v>
          </cell>
          <cell r="AY549">
            <v>7.4999999999999997E-2</v>
          </cell>
          <cell r="AZ549">
            <v>37.5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7.4999999999999997E-2</v>
          </cell>
          <cell r="BF549">
            <v>37.5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0.125</v>
          </cell>
          <cell r="BL549">
            <v>62.5</v>
          </cell>
          <cell r="BM549">
            <v>0.27500000000000002</v>
          </cell>
          <cell r="BN549">
            <v>137.5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0.4</v>
          </cell>
          <cell r="BT549">
            <v>200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1.3</v>
          </cell>
          <cell r="CD549">
            <v>650</v>
          </cell>
          <cell r="CE549">
            <v>0</v>
          </cell>
          <cell r="CF549">
            <v>0</v>
          </cell>
          <cell r="CG549">
            <v>2.5000000000000001E-2</v>
          </cell>
          <cell r="CH549">
            <v>12.5</v>
          </cell>
          <cell r="CI549">
            <v>1.325</v>
          </cell>
          <cell r="CJ549">
            <v>662.5</v>
          </cell>
          <cell r="CK549">
            <v>1.7250000000000001</v>
          </cell>
          <cell r="CL549">
            <v>862.5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0.15</v>
          </cell>
          <cell r="CV549">
            <v>75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2.5000000000000001E-2</v>
          </cell>
          <cell r="DP549">
            <v>12.5</v>
          </cell>
          <cell r="DQ549">
            <v>0.125</v>
          </cell>
          <cell r="DR549">
            <v>62.5</v>
          </cell>
          <cell r="DS549">
            <v>0</v>
          </cell>
          <cell r="DT549">
            <v>0</v>
          </cell>
          <cell r="DU549">
            <v>0.15</v>
          </cell>
          <cell r="DV549">
            <v>75</v>
          </cell>
          <cell r="DW549">
            <v>4.7</v>
          </cell>
          <cell r="DX549">
            <v>2368.27</v>
          </cell>
          <cell r="DZ549">
            <v>0</v>
          </cell>
          <cell r="EA549">
            <v>503.88723404255319</v>
          </cell>
        </row>
        <row r="550">
          <cell r="B550">
            <v>175190</v>
          </cell>
          <cell r="C550" t="str">
            <v xml:space="preserve">SALUTE DUZ_25KQ_ELA NOV_EXP </v>
          </cell>
          <cell r="D550" t="str">
            <v>TON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O550">
            <v>0</v>
          </cell>
          <cell r="P550">
            <v>0</v>
          </cell>
          <cell r="Q550">
            <v>20</v>
          </cell>
          <cell r="R550">
            <v>7680</v>
          </cell>
          <cell r="S550">
            <v>8.75</v>
          </cell>
          <cell r="T550">
            <v>3577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28.75</v>
          </cell>
          <cell r="Z550">
            <v>11257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O550">
            <v>0</v>
          </cell>
          <cell r="AP550">
            <v>0</v>
          </cell>
          <cell r="AS550">
            <v>0</v>
          </cell>
          <cell r="AT550">
            <v>0</v>
          </cell>
          <cell r="AU550">
            <v>34.524999999999999</v>
          </cell>
          <cell r="AV550">
            <v>13618.94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3.5</v>
          </cell>
          <cell r="BJ550">
            <v>1430.8</v>
          </cell>
          <cell r="BK550">
            <v>2.1</v>
          </cell>
          <cell r="BL550">
            <v>858.48</v>
          </cell>
          <cell r="BM550">
            <v>0.1</v>
          </cell>
          <cell r="BN550">
            <v>42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5.7</v>
          </cell>
          <cell r="BT550">
            <v>2331.2800000000002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2.5000000000000001E-2</v>
          </cell>
          <cell r="CH550">
            <v>10.220000000000001</v>
          </cell>
          <cell r="CI550">
            <v>2.5000000000000001E-2</v>
          </cell>
          <cell r="CJ550">
            <v>10.220000000000001</v>
          </cell>
          <cell r="CK550">
            <v>5.7250000000000005</v>
          </cell>
          <cell r="CL550">
            <v>2341.5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2.5000000000000001E-2</v>
          </cell>
          <cell r="DH550">
            <v>10.220000000000001</v>
          </cell>
          <cell r="DI550">
            <v>0</v>
          </cell>
          <cell r="DJ550">
            <v>0</v>
          </cell>
          <cell r="DK550">
            <v>2.5000000000000001E-2</v>
          </cell>
          <cell r="DL550">
            <v>10.220000000000001</v>
          </cell>
          <cell r="DM550">
            <v>0.05</v>
          </cell>
          <cell r="DN550">
            <v>20.440000000000001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34.524999999999999</v>
          </cell>
          <cell r="DX550">
            <v>13618.94</v>
          </cell>
          <cell r="DZ550">
            <v>0</v>
          </cell>
          <cell r="EA550">
            <v>394.46603910209996</v>
          </cell>
        </row>
        <row r="551">
          <cell r="A551">
            <v>21</v>
          </cell>
          <cell r="B551">
            <v>0</v>
          </cell>
          <cell r="C551" t="str">
            <v>CVL DUZ</v>
          </cell>
          <cell r="D551" t="str">
            <v>TON</v>
          </cell>
          <cell r="E551">
            <v>0</v>
          </cell>
          <cell r="F551">
            <v>0</v>
          </cell>
          <cell r="G551">
            <v>2.5</v>
          </cell>
          <cell r="H551">
            <v>1262.5999999999999</v>
          </cell>
          <cell r="I551">
            <v>0.22500000000000001</v>
          </cell>
          <cell r="J551">
            <v>118.17</v>
          </cell>
          <cell r="K551">
            <v>0</v>
          </cell>
          <cell r="L551">
            <v>0</v>
          </cell>
          <cell r="O551">
            <v>2.7250000000000001</v>
          </cell>
          <cell r="P551">
            <v>1380.77</v>
          </cell>
          <cell r="Q551">
            <v>20</v>
          </cell>
          <cell r="R551">
            <v>7680</v>
          </cell>
          <cell r="S551">
            <v>8.75</v>
          </cell>
          <cell r="T551">
            <v>3577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28.75</v>
          </cell>
          <cell r="Z551">
            <v>11257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2.5000000000000001E-2</v>
          </cell>
          <cell r="AF551">
            <v>12.5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O551">
            <v>2.5000000000000001E-2</v>
          </cell>
          <cell r="AP551">
            <v>12.5</v>
          </cell>
          <cell r="AS551">
            <v>0</v>
          </cell>
          <cell r="AT551">
            <v>0</v>
          </cell>
          <cell r="AU551">
            <v>39.225000000000001</v>
          </cell>
          <cell r="AV551">
            <v>15987.210000000001</v>
          </cell>
          <cell r="AW551">
            <v>0</v>
          </cell>
          <cell r="AX551">
            <v>0</v>
          </cell>
          <cell r="AY551">
            <v>7.4999999999999997E-2</v>
          </cell>
          <cell r="AZ551">
            <v>37.5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7.4999999999999997E-2</v>
          </cell>
          <cell r="BF551">
            <v>37.5</v>
          </cell>
          <cell r="BG551">
            <v>0</v>
          </cell>
          <cell r="BH551">
            <v>0</v>
          </cell>
          <cell r="BI551">
            <v>3.5</v>
          </cell>
          <cell r="BJ551">
            <v>1430.8</v>
          </cell>
          <cell r="BK551">
            <v>2.2250000000000001</v>
          </cell>
          <cell r="BL551">
            <v>920.98</v>
          </cell>
          <cell r="BM551">
            <v>0.375</v>
          </cell>
          <cell r="BN551">
            <v>179.5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6.1000000000000005</v>
          </cell>
          <cell r="BT551">
            <v>2531.2800000000002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1.3</v>
          </cell>
          <cell r="CD551">
            <v>650</v>
          </cell>
          <cell r="CE551">
            <v>0</v>
          </cell>
          <cell r="CF551">
            <v>0</v>
          </cell>
          <cell r="CG551">
            <v>0.05</v>
          </cell>
          <cell r="CH551">
            <v>22.72</v>
          </cell>
          <cell r="CI551">
            <v>1.3499999999999999</v>
          </cell>
          <cell r="CJ551">
            <v>672.72</v>
          </cell>
          <cell r="CK551">
            <v>7.4500000000000011</v>
          </cell>
          <cell r="CL551">
            <v>3204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0.15</v>
          </cell>
          <cell r="CV551">
            <v>75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2.5000000000000001E-2</v>
          </cell>
          <cell r="DH551">
            <v>10.220000000000001</v>
          </cell>
          <cell r="DI551">
            <v>0</v>
          </cell>
          <cell r="DJ551">
            <v>0</v>
          </cell>
          <cell r="DK551">
            <v>2.5000000000000001E-2</v>
          </cell>
          <cell r="DL551">
            <v>10.220000000000001</v>
          </cell>
          <cell r="DM551">
            <v>0.05</v>
          </cell>
          <cell r="DN551">
            <v>20.440000000000001</v>
          </cell>
          <cell r="DO551">
            <v>2.5000000000000001E-2</v>
          </cell>
          <cell r="DP551">
            <v>12.5</v>
          </cell>
          <cell r="DQ551">
            <v>0.125</v>
          </cell>
          <cell r="DR551">
            <v>62.5</v>
          </cell>
          <cell r="DS551">
            <v>0</v>
          </cell>
          <cell r="DT551">
            <v>0</v>
          </cell>
          <cell r="DU551">
            <v>0.15</v>
          </cell>
          <cell r="DV551">
            <v>75</v>
          </cell>
          <cell r="DW551">
            <v>39.225000000000001</v>
          </cell>
          <cell r="DX551">
            <v>15987.210000000001</v>
          </cell>
          <cell r="DY551" t="str">
            <v>Hedef</v>
          </cell>
          <cell r="DZ551">
            <v>0</v>
          </cell>
          <cell r="EA551">
            <v>407.57705544933077</v>
          </cell>
        </row>
        <row r="552">
          <cell r="B552">
            <v>230144</v>
          </cell>
          <cell r="C552" t="str">
            <v>XOREK IOD.DUZU_1KG*20_UKR</v>
          </cell>
          <cell r="D552" t="str">
            <v>TON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O552">
            <v>0</v>
          </cell>
          <cell r="AP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S552">
            <v>0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0</v>
          </cell>
          <cell r="DG552">
            <v>0</v>
          </cell>
          <cell r="DH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  <cell r="DX552">
            <v>0</v>
          </cell>
          <cell r="DY552" t="str">
            <v/>
          </cell>
          <cell r="DZ552" t="str">
            <v>pasiv</v>
          </cell>
          <cell r="EA552" t="e">
            <v>#DIV/0!</v>
          </cell>
        </row>
        <row r="553">
          <cell r="A553">
            <v>444</v>
          </cell>
          <cell r="B553">
            <v>0</v>
          </cell>
          <cell r="C553" t="str">
            <v>CVL DUZ</v>
          </cell>
          <cell r="D553" t="str">
            <v>TON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O553">
            <v>0</v>
          </cell>
          <cell r="AP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O553">
            <v>0</v>
          </cell>
          <cell r="CP553">
            <v>0</v>
          </cell>
          <cell r="CQ553">
            <v>0</v>
          </cell>
          <cell r="CR553">
            <v>0</v>
          </cell>
          <cell r="CS553">
            <v>0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0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0</v>
          </cell>
          <cell r="DG553">
            <v>0</v>
          </cell>
          <cell r="DH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  <cell r="DX553">
            <v>0</v>
          </cell>
          <cell r="DY553" t="str">
            <v/>
          </cell>
          <cell r="DZ553" t="str">
            <v>pasiv</v>
          </cell>
          <cell r="EA553" t="e">
            <v>#DIV/0!</v>
          </cell>
        </row>
        <row r="554">
          <cell r="B554">
            <v>69373</v>
          </cell>
          <cell r="C554" t="str">
            <v>RICHMOND QARABASAQ_0.8 KG*12</v>
          </cell>
          <cell r="D554" t="str">
            <v>TON</v>
          </cell>
          <cell r="E554">
            <v>0</v>
          </cell>
          <cell r="F554">
            <v>0</v>
          </cell>
          <cell r="G554">
            <v>3.2000000000000002E-3</v>
          </cell>
          <cell r="H554">
            <v>12.73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O554">
            <v>3.2000000000000002E-3</v>
          </cell>
          <cell r="P554">
            <v>12.73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4.8800000000000003E-2</v>
          </cell>
          <cell r="AD554">
            <v>209.84</v>
          </cell>
          <cell r="AE554">
            <v>2.3999999999999998E-3</v>
          </cell>
          <cell r="AF554">
            <v>9.25</v>
          </cell>
          <cell r="AG554">
            <v>9.5999999999999992E-3</v>
          </cell>
          <cell r="AH554">
            <v>41.28</v>
          </cell>
          <cell r="AI554">
            <v>4.3999999999999997E-2</v>
          </cell>
          <cell r="AJ554">
            <v>188.59</v>
          </cell>
          <cell r="AK554">
            <v>3.04E-2</v>
          </cell>
          <cell r="AL554">
            <v>130.11000000000001</v>
          </cell>
          <cell r="AO554">
            <v>0.13520000000000001</v>
          </cell>
          <cell r="AP554">
            <v>579.07000000000005</v>
          </cell>
          <cell r="AS554">
            <v>0</v>
          </cell>
          <cell r="AT554">
            <v>0</v>
          </cell>
          <cell r="AU554">
            <v>1.1632</v>
          </cell>
          <cell r="AV554">
            <v>4984.49</v>
          </cell>
          <cell r="AW554">
            <v>0</v>
          </cell>
          <cell r="AX554">
            <v>0</v>
          </cell>
          <cell r="AY554">
            <v>4.3200000000000002E-2</v>
          </cell>
          <cell r="AZ554">
            <v>185.76</v>
          </cell>
          <cell r="BA554">
            <v>0</v>
          </cell>
          <cell r="BB554">
            <v>0</v>
          </cell>
          <cell r="BC554">
            <v>8.8000000000000005E-3</v>
          </cell>
          <cell r="BD554">
            <v>36.4</v>
          </cell>
          <cell r="BE554">
            <v>5.2000000000000005E-2</v>
          </cell>
          <cell r="BF554">
            <v>222.16</v>
          </cell>
          <cell r="BG554">
            <v>5.7599999999999998E-2</v>
          </cell>
          <cell r="BH554">
            <v>247.68</v>
          </cell>
          <cell r="BI554">
            <v>9.5999999999999992E-3</v>
          </cell>
          <cell r="BJ554">
            <v>41.28</v>
          </cell>
          <cell r="BK554">
            <v>1.7600000000000001E-2</v>
          </cell>
          <cell r="BL554">
            <v>75.680000000000007</v>
          </cell>
          <cell r="BM554">
            <v>1.52E-2</v>
          </cell>
          <cell r="BN554">
            <v>65.36</v>
          </cell>
          <cell r="BO554">
            <v>6.3200000000000006E-2</v>
          </cell>
          <cell r="BP554">
            <v>268.66000000000003</v>
          </cell>
          <cell r="BQ554">
            <v>0</v>
          </cell>
          <cell r="BR554">
            <v>0</v>
          </cell>
          <cell r="BS554">
            <v>0.1648</v>
          </cell>
          <cell r="BT554">
            <v>705.54</v>
          </cell>
          <cell r="BU554">
            <v>5.5999999999999999E-3</v>
          </cell>
          <cell r="BV554">
            <v>21.9</v>
          </cell>
          <cell r="BW554">
            <v>9.5999999999999992E-3</v>
          </cell>
          <cell r="BX554">
            <v>38.770000000000003</v>
          </cell>
          <cell r="BY554">
            <v>5.5999999999999999E-3</v>
          </cell>
          <cell r="BZ554">
            <v>24.08</v>
          </cell>
          <cell r="CA554">
            <v>8.9599999999999999E-2</v>
          </cell>
          <cell r="CB554">
            <v>385.28</v>
          </cell>
          <cell r="CC554">
            <v>3.6799999999999999E-2</v>
          </cell>
          <cell r="CD554">
            <v>157.76</v>
          </cell>
          <cell r="CE554">
            <v>0.12959999999999999</v>
          </cell>
          <cell r="CF554">
            <v>564.24</v>
          </cell>
          <cell r="CG554">
            <v>0</v>
          </cell>
          <cell r="CH554">
            <v>0</v>
          </cell>
          <cell r="CI554">
            <v>0.27679999999999999</v>
          </cell>
          <cell r="CJ554">
            <v>1192.03</v>
          </cell>
          <cell r="CK554">
            <v>0.44159999999999999</v>
          </cell>
          <cell r="CL554">
            <v>1897.57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0.156</v>
          </cell>
          <cell r="CV554">
            <v>666.96</v>
          </cell>
          <cell r="CW554">
            <v>0</v>
          </cell>
          <cell r="CX554">
            <v>0</v>
          </cell>
          <cell r="CY554">
            <v>0.1152</v>
          </cell>
          <cell r="CZ554">
            <v>501.84</v>
          </cell>
          <cell r="DA554">
            <v>7.6799999999999993E-2</v>
          </cell>
          <cell r="DB554">
            <v>330.24</v>
          </cell>
          <cell r="DC554">
            <v>0.1056</v>
          </cell>
          <cell r="DD554">
            <v>441.36</v>
          </cell>
          <cell r="DE554">
            <v>0.29759999999999998</v>
          </cell>
          <cell r="DF554">
            <v>1273.44</v>
          </cell>
          <cell r="DG554">
            <v>1.9199999999999998E-2</v>
          </cell>
          <cell r="DH554">
            <v>82.56</v>
          </cell>
          <cell r="DI554">
            <v>4.1599999999999998E-2</v>
          </cell>
          <cell r="DJ554">
            <v>178.24</v>
          </cell>
          <cell r="DK554">
            <v>1.6799999999999999E-2</v>
          </cell>
          <cell r="DL554">
            <v>71.760000000000005</v>
          </cell>
          <cell r="DM554">
            <v>7.7600000000000002E-2</v>
          </cell>
          <cell r="DN554">
            <v>332.56</v>
          </cell>
          <cell r="DO554">
            <v>3.5999999999999997E-2</v>
          </cell>
          <cell r="DP554">
            <v>152.88</v>
          </cell>
          <cell r="DQ554">
            <v>1.9199999999999998E-2</v>
          </cell>
          <cell r="DR554">
            <v>82.56</v>
          </cell>
          <cell r="DS554">
            <v>0.1008</v>
          </cell>
          <cell r="DT554">
            <v>431.52</v>
          </cell>
          <cell r="DU554">
            <v>0.156</v>
          </cell>
          <cell r="DV554">
            <v>666.96</v>
          </cell>
          <cell r="DW554">
            <v>1.1632</v>
          </cell>
          <cell r="DX554">
            <v>4984.4899999999989</v>
          </cell>
          <cell r="DY554" t="str">
            <v/>
          </cell>
          <cell r="DZ554">
            <v>0</v>
          </cell>
          <cell r="EA554">
            <v>4285.1530261347998</v>
          </cell>
        </row>
        <row r="555">
          <cell r="B555">
            <v>114915</v>
          </cell>
          <cell r="C555" t="str">
            <v>RICHMOND QARABASAQ_0.45 KQ*20</v>
          </cell>
          <cell r="D555" t="str">
            <v>TON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3.5999999999999999E-3</v>
          </cell>
          <cell r="AL555">
            <v>16</v>
          </cell>
          <cell r="AO555">
            <v>3.5999999999999999E-3</v>
          </cell>
          <cell r="AP555">
            <v>16</v>
          </cell>
          <cell r="AS555">
            <v>0</v>
          </cell>
          <cell r="AT555">
            <v>0</v>
          </cell>
          <cell r="AU555">
            <v>9.8549999999999999E-2</v>
          </cell>
          <cell r="AV555">
            <v>416.76</v>
          </cell>
          <cell r="AW555">
            <v>0</v>
          </cell>
          <cell r="AX555">
            <v>0</v>
          </cell>
          <cell r="AY555">
            <v>2.6100000000000002E-2</v>
          </cell>
          <cell r="AZ555">
            <v>115</v>
          </cell>
          <cell r="BA555">
            <v>0</v>
          </cell>
          <cell r="BB555">
            <v>0</v>
          </cell>
          <cell r="BC555">
            <v>-4.4999999999999997E-3</v>
          </cell>
          <cell r="BD555">
            <v>-28</v>
          </cell>
          <cell r="BE555">
            <v>2.1600000000000001E-2</v>
          </cell>
          <cell r="BF555">
            <v>87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8.9999999999999993E-3</v>
          </cell>
          <cell r="BN555">
            <v>40</v>
          </cell>
          <cell r="BO555">
            <v>2.2499999999999998E-3</v>
          </cell>
          <cell r="BP555">
            <v>10</v>
          </cell>
          <cell r="BQ555">
            <v>0</v>
          </cell>
          <cell r="BR555">
            <v>0</v>
          </cell>
          <cell r="BS555">
            <v>1.125E-2</v>
          </cell>
          <cell r="BT555">
            <v>50</v>
          </cell>
          <cell r="BU555">
            <v>2.7000000000000001E-3</v>
          </cell>
          <cell r="BV555">
            <v>9.3000000000000007</v>
          </cell>
          <cell r="BW555">
            <v>5.4000000000000003E-3</v>
          </cell>
          <cell r="BX555">
            <v>22.46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8.9999999999999993E-3</v>
          </cell>
          <cell r="CD555">
            <v>40</v>
          </cell>
          <cell r="CE555">
            <v>1.7999999999999999E-2</v>
          </cell>
          <cell r="CF555">
            <v>80</v>
          </cell>
          <cell r="CG555">
            <v>0</v>
          </cell>
          <cell r="CH555">
            <v>0</v>
          </cell>
          <cell r="CI555">
            <v>3.5099999999999999E-2</v>
          </cell>
          <cell r="CJ555">
            <v>151.76</v>
          </cell>
          <cell r="CK555">
            <v>4.6350000000000002E-2</v>
          </cell>
          <cell r="CL555">
            <v>201.76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8.9999999999999993E-3</v>
          </cell>
          <cell r="CZ555">
            <v>40</v>
          </cell>
          <cell r="DA555">
            <v>0</v>
          </cell>
          <cell r="DB555">
            <v>0</v>
          </cell>
          <cell r="DC555">
            <v>1.7999999999999999E-2</v>
          </cell>
          <cell r="DD555">
            <v>72</v>
          </cell>
          <cell r="DE555">
            <v>2.6999999999999996E-2</v>
          </cell>
          <cell r="DF555">
            <v>112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9.8550000000000013E-2</v>
          </cell>
          <cell r="DX555">
            <v>416.76</v>
          </cell>
          <cell r="DY555" t="str">
            <v/>
          </cell>
          <cell r="DZ555">
            <v>0</v>
          </cell>
          <cell r="EA555">
            <v>4228.9193302891927</v>
          </cell>
        </row>
        <row r="556">
          <cell r="B556">
            <v>136875</v>
          </cell>
          <cell r="C556" t="str">
            <v>CHVENI SUPRA QARABASAQ_0.9 KQ*10</v>
          </cell>
          <cell r="D556" t="str">
            <v>TON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8.3699999999999997E-2</v>
          </cell>
          <cell r="AD556">
            <v>355.38</v>
          </cell>
          <cell r="AE556">
            <v>1.8E-3</v>
          </cell>
          <cell r="AF556">
            <v>5.73</v>
          </cell>
          <cell r="AG556">
            <v>5.4000000000000003E-3</v>
          </cell>
          <cell r="AH556">
            <v>22.98</v>
          </cell>
          <cell r="AI556">
            <v>5.3999999999999999E-2</v>
          </cell>
          <cell r="AJ556">
            <v>228.99</v>
          </cell>
          <cell r="AK556">
            <v>1.7100000000000001E-2</v>
          </cell>
          <cell r="AL556">
            <v>72.260000000000005</v>
          </cell>
          <cell r="AO556">
            <v>0.16200000000000001</v>
          </cell>
          <cell r="AP556">
            <v>685.34</v>
          </cell>
          <cell r="AS556">
            <v>0</v>
          </cell>
          <cell r="AT556">
            <v>0</v>
          </cell>
          <cell r="AU556">
            <v>0.95309999999999995</v>
          </cell>
          <cell r="AV556">
            <v>4053.03</v>
          </cell>
          <cell r="AW556">
            <v>0</v>
          </cell>
          <cell r="AX556">
            <v>0</v>
          </cell>
          <cell r="AY556">
            <v>2.6100000000000002E-2</v>
          </cell>
          <cell r="AZ556">
            <v>113.58</v>
          </cell>
          <cell r="BA556">
            <v>0</v>
          </cell>
          <cell r="BB556">
            <v>0</v>
          </cell>
          <cell r="BC556">
            <v>1.7999999999999999E-2</v>
          </cell>
          <cell r="BD556">
            <v>76.599999999999994</v>
          </cell>
          <cell r="BE556">
            <v>4.41E-2</v>
          </cell>
          <cell r="BF556">
            <v>190.18</v>
          </cell>
          <cell r="BG556">
            <v>9.9000000000000008E-3</v>
          </cell>
          <cell r="BH556">
            <v>42.13</v>
          </cell>
          <cell r="BI556">
            <v>8.9999999999999993E-3</v>
          </cell>
          <cell r="BJ556">
            <v>38.299999999999997</v>
          </cell>
          <cell r="BK556">
            <v>3.5999999999999997E-2</v>
          </cell>
          <cell r="BL556">
            <v>153.19999999999999</v>
          </cell>
          <cell r="BM556">
            <v>2.7E-2</v>
          </cell>
          <cell r="BN556">
            <v>114.9</v>
          </cell>
          <cell r="BO556">
            <v>7.2900000000000006E-2</v>
          </cell>
          <cell r="BP556">
            <v>310.23</v>
          </cell>
          <cell r="BQ556">
            <v>0</v>
          </cell>
          <cell r="BR556">
            <v>0</v>
          </cell>
          <cell r="BS556">
            <v>0.15840000000000001</v>
          </cell>
          <cell r="BT556">
            <v>674.08</v>
          </cell>
          <cell r="BU556">
            <v>0</v>
          </cell>
          <cell r="BV556">
            <v>0</v>
          </cell>
          <cell r="BW556">
            <v>1.44E-2</v>
          </cell>
          <cell r="BX556">
            <v>57.74</v>
          </cell>
          <cell r="BY556">
            <v>4.4999999999999997E-3</v>
          </cell>
          <cell r="BZ556">
            <v>19.149999999999999</v>
          </cell>
          <cell r="CA556">
            <v>3.78E-2</v>
          </cell>
          <cell r="CB556">
            <v>160.86000000000001</v>
          </cell>
          <cell r="CC556">
            <v>1.7999999999999999E-2</v>
          </cell>
          <cell r="CD556">
            <v>76.599999999999994</v>
          </cell>
          <cell r="CE556">
            <v>3.5999999999999997E-2</v>
          </cell>
          <cell r="CF556">
            <v>135.55000000000001</v>
          </cell>
          <cell r="CG556">
            <v>1.8E-3</v>
          </cell>
          <cell r="CH556">
            <v>7.3</v>
          </cell>
          <cell r="CI556">
            <v>0.1125</v>
          </cell>
          <cell r="CJ556">
            <v>457.2</v>
          </cell>
          <cell r="CK556">
            <v>0.27090000000000003</v>
          </cell>
          <cell r="CL556">
            <v>1131.28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8.1000000000000003E-2</v>
          </cell>
          <cell r="CV556">
            <v>341.1</v>
          </cell>
          <cell r="CW556">
            <v>0</v>
          </cell>
          <cell r="CX556">
            <v>0</v>
          </cell>
          <cell r="CY556">
            <v>0.126</v>
          </cell>
          <cell r="CZ556">
            <v>568.1</v>
          </cell>
          <cell r="DA556">
            <v>8.9999999999999993E-3</v>
          </cell>
          <cell r="DB556">
            <v>38.299999999999997</v>
          </cell>
          <cell r="DC556">
            <v>0.16109999999999999</v>
          </cell>
          <cell r="DD556">
            <v>677.43</v>
          </cell>
          <cell r="DE556">
            <v>0.29610000000000003</v>
          </cell>
          <cell r="DF556">
            <v>1283.83</v>
          </cell>
          <cell r="DG556">
            <v>5.7599999999999998E-2</v>
          </cell>
          <cell r="DH556">
            <v>245.12</v>
          </cell>
          <cell r="DI556">
            <v>1.26E-2</v>
          </cell>
          <cell r="DJ556">
            <v>53.62</v>
          </cell>
          <cell r="DK556">
            <v>2.8799999999999999E-2</v>
          </cell>
          <cell r="DL556">
            <v>122.56</v>
          </cell>
          <cell r="DM556">
            <v>9.9000000000000005E-2</v>
          </cell>
          <cell r="DN556">
            <v>421.3</v>
          </cell>
          <cell r="DO556">
            <v>1.35E-2</v>
          </cell>
          <cell r="DP556">
            <v>57.45</v>
          </cell>
          <cell r="DQ556">
            <v>8.9999999999999993E-3</v>
          </cell>
          <cell r="DR556">
            <v>38.299999999999997</v>
          </cell>
          <cell r="DS556">
            <v>5.8500000000000003E-2</v>
          </cell>
          <cell r="DT556">
            <v>245.35</v>
          </cell>
          <cell r="DU556">
            <v>8.1000000000000003E-2</v>
          </cell>
          <cell r="DV556">
            <v>341.1</v>
          </cell>
          <cell r="DW556">
            <v>0.95310000000000017</v>
          </cell>
          <cell r="DX556">
            <v>4053.03</v>
          </cell>
          <cell r="DY556" t="str">
            <v/>
          </cell>
          <cell r="DZ556">
            <v>0</v>
          </cell>
          <cell r="EA556">
            <v>4252.4708844822153</v>
          </cell>
        </row>
        <row r="557">
          <cell r="B557">
            <v>0</v>
          </cell>
          <cell r="C557" t="str">
            <v xml:space="preserve">PAKETLI GRECKA </v>
          </cell>
          <cell r="D557" t="str">
            <v>TON</v>
          </cell>
          <cell r="E557">
            <v>0</v>
          </cell>
          <cell r="F557">
            <v>0</v>
          </cell>
          <cell r="G557">
            <v>3.2000000000000002E-3</v>
          </cell>
          <cell r="H557">
            <v>12.73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O557">
            <v>3.2000000000000002E-3</v>
          </cell>
          <cell r="P557">
            <v>12.73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0.13250000000000001</v>
          </cell>
          <cell r="AD557">
            <v>565.22</v>
          </cell>
          <cell r="AE557">
            <v>4.1999999999999997E-3</v>
          </cell>
          <cell r="AF557">
            <v>14.98</v>
          </cell>
          <cell r="AG557">
            <v>1.4999999999999999E-2</v>
          </cell>
          <cell r="AH557">
            <v>64.260000000000005</v>
          </cell>
          <cell r="AI557">
            <v>9.8000000000000004E-2</v>
          </cell>
          <cell r="AJ557">
            <v>417.58000000000004</v>
          </cell>
          <cell r="AK557">
            <v>5.1100000000000007E-2</v>
          </cell>
          <cell r="AL557">
            <v>218.37</v>
          </cell>
          <cell r="AO557">
            <v>0.30080000000000001</v>
          </cell>
          <cell r="AP557">
            <v>1280.4099999999999</v>
          </cell>
          <cell r="AS557">
            <v>0</v>
          </cell>
          <cell r="AT557">
            <v>0</v>
          </cell>
          <cell r="AU557">
            <v>2.2148499999999998</v>
          </cell>
          <cell r="AV557">
            <v>9454.2800000000007</v>
          </cell>
          <cell r="AW557">
            <v>0</v>
          </cell>
          <cell r="AX557">
            <v>0</v>
          </cell>
          <cell r="AY557">
            <v>9.5399999999999999E-2</v>
          </cell>
          <cell r="AZ557">
            <v>414.34</v>
          </cell>
          <cell r="BA557">
            <v>0</v>
          </cell>
          <cell r="BB557">
            <v>0</v>
          </cell>
          <cell r="BC557">
            <v>2.23E-2</v>
          </cell>
          <cell r="BD557">
            <v>85</v>
          </cell>
          <cell r="BE557">
            <v>0.1177</v>
          </cell>
          <cell r="BF557">
            <v>499.34</v>
          </cell>
          <cell r="BG557">
            <v>6.7500000000000004E-2</v>
          </cell>
          <cell r="BH557">
            <v>289.81</v>
          </cell>
          <cell r="BI557">
            <v>1.8599999999999998E-2</v>
          </cell>
          <cell r="BJ557">
            <v>79.58</v>
          </cell>
          <cell r="BK557">
            <v>5.3599999999999995E-2</v>
          </cell>
          <cell r="BL557">
            <v>228.88</v>
          </cell>
          <cell r="BM557">
            <v>5.1199999999999996E-2</v>
          </cell>
          <cell r="BN557">
            <v>220.26</v>
          </cell>
          <cell r="BO557">
            <v>0.13835000000000003</v>
          </cell>
          <cell r="BP557">
            <v>588.8900000000001</v>
          </cell>
          <cell r="BQ557">
            <v>0</v>
          </cell>
          <cell r="BR557">
            <v>0</v>
          </cell>
          <cell r="BS557">
            <v>0.33445000000000003</v>
          </cell>
          <cell r="BT557">
            <v>1429.62</v>
          </cell>
          <cell r="BU557">
            <v>8.3000000000000001E-3</v>
          </cell>
          <cell r="BV557">
            <v>31.2</v>
          </cell>
          <cell r="BW557">
            <v>2.9399999999999999E-2</v>
          </cell>
          <cell r="BX557">
            <v>118.97</v>
          </cell>
          <cell r="BY557">
            <v>1.01E-2</v>
          </cell>
          <cell r="BZ557">
            <v>43.23</v>
          </cell>
          <cell r="CA557">
            <v>0.12740000000000001</v>
          </cell>
          <cell r="CB557">
            <v>546.14</v>
          </cell>
          <cell r="CC557">
            <v>6.3799999999999996E-2</v>
          </cell>
          <cell r="CD557">
            <v>274.36</v>
          </cell>
          <cell r="CE557">
            <v>0.18359999999999999</v>
          </cell>
          <cell r="CF557">
            <v>779.79</v>
          </cell>
          <cell r="CG557">
            <v>1.8E-3</v>
          </cell>
          <cell r="CH557">
            <v>7.3</v>
          </cell>
          <cell r="CI557">
            <v>0.4244</v>
          </cell>
          <cell r="CJ557">
            <v>1800.99</v>
          </cell>
          <cell r="CK557">
            <v>0.75885000000000002</v>
          </cell>
          <cell r="CL557">
            <v>3230.6099999999997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0.23699999999999999</v>
          </cell>
          <cell r="CV557">
            <v>1008.0600000000001</v>
          </cell>
          <cell r="CW557">
            <v>0</v>
          </cell>
          <cell r="CX557">
            <v>0</v>
          </cell>
          <cell r="CY557">
            <v>0.25019999999999998</v>
          </cell>
          <cell r="CZ557">
            <v>1109.94</v>
          </cell>
          <cell r="DA557">
            <v>8.5799999999999987E-2</v>
          </cell>
          <cell r="DB557">
            <v>368.54</v>
          </cell>
          <cell r="DC557">
            <v>0.28470000000000001</v>
          </cell>
          <cell r="DD557">
            <v>1190.79</v>
          </cell>
          <cell r="DE557">
            <v>0.62070000000000003</v>
          </cell>
          <cell r="DF557">
            <v>2669.27</v>
          </cell>
          <cell r="DG557">
            <v>7.6799999999999993E-2</v>
          </cell>
          <cell r="DH557">
            <v>327.68</v>
          </cell>
          <cell r="DI557">
            <v>5.4199999999999998E-2</v>
          </cell>
          <cell r="DJ557">
            <v>231.86</v>
          </cell>
          <cell r="DK557">
            <v>4.5600000000000002E-2</v>
          </cell>
          <cell r="DL557">
            <v>194.32</v>
          </cell>
          <cell r="DM557">
            <v>0.17660000000000001</v>
          </cell>
          <cell r="DN557">
            <v>753.86</v>
          </cell>
          <cell r="DO557">
            <v>4.9499999999999995E-2</v>
          </cell>
          <cell r="DP557">
            <v>210.32999999999998</v>
          </cell>
          <cell r="DQ557">
            <v>2.8199999999999996E-2</v>
          </cell>
          <cell r="DR557">
            <v>120.86</v>
          </cell>
          <cell r="DS557">
            <v>0.1593</v>
          </cell>
          <cell r="DT557">
            <v>676.87</v>
          </cell>
          <cell r="DU557">
            <v>0.23699999999999999</v>
          </cell>
          <cell r="DV557">
            <v>1008.0600000000001</v>
          </cell>
          <cell r="DW557">
            <v>2.2148500000000002</v>
          </cell>
          <cell r="DX557">
            <v>9454.2799999999988</v>
          </cell>
          <cell r="DY557" t="str">
            <v/>
          </cell>
          <cell r="DZ557">
            <v>0</v>
          </cell>
          <cell r="EA557">
            <v>4268.5870374968954</v>
          </cell>
        </row>
        <row r="558">
          <cell r="B558">
            <v>164896</v>
          </cell>
          <cell r="C558" t="str">
            <v xml:space="preserve">ქერის ბურღული(პერლოვკა)_25კგ </v>
          </cell>
          <cell r="D558" t="str">
            <v>TON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O558">
            <v>0</v>
          </cell>
          <cell r="AP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  <cell r="DX558">
            <v>0</v>
          </cell>
          <cell r="DY558" t="str">
            <v/>
          </cell>
          <cell r="DZ558" t="str">
            <v>pasiv</v>
          </cell>
          <cell r="EA558" t="e">
            <v>#DIV/0!</v>
          </cell>
        </row>
        <row r="559">
          <cell r="B559">
            <v>273336</v>
          </cell>
          <cell r="C559" t="str">
            <v>IRMIK_DAPNA_25KG</v>
          </cell>
          <cell r="D559" t="str">
            <v>TON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O559">
            <v>0</v>
          </cell>
          <cell r="AP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  <cell r="DX559">
            <v>0</v>
          </cell>
          <cell r="DY559" t="str">
            <v/>
          </cell>
          <cell r="DZ559" t="str">
            <v>pasiv</v>
          </cell>
          <cell r="EA559" t="e">
            <v>#DIV/0!</v>
          </cell>
        </row>
        <row r="560">
          <cell r="B560">
            <v>334790</v>
          </cell>
          <cell r="C560" t="str">
            <v>ბრინჯი-ქინგ რაჯა-ბასმათი-25კგ</v>
          </cell>
          <cell r="D560" t="str">
            <v>TON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O560">
            <v>0</v>
          </cell>
          <cell r="AP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 t="str">
            <v/>
          </cell>
          <cell r="DZ560" t="str">
            <v>pasiv</v>
          </cell>
          <cell r="EA560" t="e">
            <v>#DIV/0!</v>
          </cell>
        </row>
        <row r="561">
          <cell r="B561">
            <v>136298</v>
          </cell>
          <cell r="C561" t="str">
            <v>NOXUD_25KQ_GRC</v>
          </cell>
          <cell r="D561" t="str">
            <v>TON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O561">
            <v>0</v>
          </cell>
          <cell r="AP561">
            <v>0</v>
          </cell>
          <cell r="AS561">
            <v>0</v>
          </cell>
          <cell r="AT561">
            <v>0</v>
          </cell>
          <cell r="AU561">
            <v>2.5000000000000001E-2</v>
          </cell>
          <cell r="AV561">
            <v>163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2.5000000000000001E-2</v>
          </cell>
          <cell r="BD561">
            <v>163</v>
          </cell>
          <cell r="BE561">
            <v>2.5000000000000001E-2</v>
          </cell>
          <cell r="BF561">
            <v>163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0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2.5000000000000001E-2</v>
          </cell>
          <cell r="DX561">
            <v>163</v>
          </cell>
          <cell r="DY561" t="str">
            <v/>
          </cell>
          <cell r="DZ561">
            <v>0</v>
          </cell>
          <cell r="EA561">
            <v>6520</v>
          </cell>
        </row>
        <row r="562">
          <cell r="B562">
            <v>174852</v>
          </cell>
          <cell r="C562" t="str">
            <v>ბრინჯი სულთანი_25 კგ</v>
          </cell>
          <cell r="D562" t="str">
            <v>TON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O562">
            <v>0</v>
          </cell>
          <cell r="AP562">
            <v>0</v>
          </cell>
          <cell r="AS562">
            <v>0</v>
          </cell>
          <cell r="AT562">
            <v>0</v>
          </cell>
          <cell r="AU562">
            <v>0.15</v>
          </cell>
          <cell r="AV562">
            <v>750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0.05</v>
          </cell>
          <cell r="BP562">
            <v>250</v>
          </cell>
          <cell r="BQ562">
            <v>0</v>
          </cell>
          <cell r="BR562">
            <v>0</v>
          </cell>
          <cell r="BS562">
            <v>0.05</v>
          </cell>
          <cell r="BT562">
            <v>250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0.05</v>
          </cell>
          <cell r="CL562">
            <v>250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0</v>
          </cell>
          <cell r="CT562">
            <v>0</v>
          </cell>
          <cell r="CU562">
            <v>7.4999999999999997E-2</v>
          </cell>
          <cell r="CV562">
            <v>375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2.5000000000000001E-2</v>
          </cell>
          <cell r="DJ562">
            <v>125</v>
          </cell>
          <cell r="DK562">
            <v>0</v>
          </cell>
          <cell r="DL562">
            <v>0</v>
          </cell>
          <cell r="DM562">
            <v>2.5000000000000001E-2</v>
          </cell>
          <cell r="DN562">
            <v>125</v>
          </cell>
          <cell r="DO562">
            <v>0.05</v>
          </cell>
          <cell r="DP562">
            <v>250</v>
          </cell>
          <cell r="DQ562">
            <v>0</v>
          </cell>
          <cell r="DR562">
            <v>0</v>
          </cell>
          <cell r="DS562">
            <v>2.5000000000000001E-2</v>
          </cell>
          <cell r="DT562">
            <v>125</v>
          </cell>
          <cell r="DU562">
            <v>7.4999999999999997E-2</v>
          </cell>
          <cell r="DV562">
            <v>375</v>
          </cell>
          <cell r="DW562">
            <v>0.15000000000000002</v>
          </cell>
          <cell r="DX562">
            <v>750</v>
          </cell>
          <cell r="DY562" t="str">
            <v/>
          </cell>
          <cell r="DZ562">
            <v>0</v>
          </cell>
          <cell r="EA562">
            <v>4999.9999999999991</v>
          </cell>
        </row>
        <row r="563">
          <cell r="B563">
            <v>348449</v>
          </cell>
          <cell r="C563" t="str">
            <v>სიმინდი პოპკორნისთვის_20კგ_არგენტინა</v>
          </cell>
          <cell r="D563" t="str">
            <v>TON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O563">
            <v>0</v>
          </cell>
          <cell r="AP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0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0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0</v>
          </cell>
          <cell r="DG563">
            <v>0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  <cell r="DX563">
            <v>0</v>
          </cell>
          <cell r="DY563" t="str">
            <v/>
          </cell>
          <cell r="DZ563" t="str">
            <v>pasiv</v>
          </cell>
          <cell r="EA563" t="e">
            <v>#DIV/0!</v>
          </cell>
        </row>
        <row r="564">
          <cell r="B564">
            <v>184512</v>
          </cell>
          <cell r="C564" t="str">
            <v>თეთრი ლობიო_25კგ_ეგვიპტე</v>
          </cell>
          <cell r="D564" t="str">
            <v>TON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O564">
            <v>0</v>
          </cell>
          <cell r="AP564">
            <v>0</v>
          </cell>
          <cell r="AS564">
            <v>0</v>
          </cell>
          <cell r="AT564">
            <v>0</v>
          </cell>
          <cell r="AU564">
            <v>2.5000000000000001E-2</v>
          </cell>
          <cell r="AV564">
            <v>109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2.5000000000000001E-2</v>
          </cell>
          <cell r="BD564">
            <v>109</v>
          </cell>
          <cell r="BE564">
            <v>2.5000000000000001E-2</v>
          </cell>
          <cell r="BF564">
            <v>109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2.5000000000000001E-2</v>
          </cell>
          <cell r="DX564">
            <v>109</v>
          </cell>
          <cell r="DY564" t="str">
            <v/>
          </cell>
          <cell r="DZ564">
            <v>0</v>
          </cell>
          <cell r="EA564">
            <v>4360</v>
          </cell>
        </row>
        <row r="565">
          <cell r="B565">
            <v>129252</v>
          </cell>
          <cell r="C565" t="str">
            <v>მანანის ბურღული-50კგ-რუსული</v>
          </cell>
          <cell r="D565" t="str">
            <v>TON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O565">
            <v>0</v>
          </cell>
          <cell r="AP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 t="str">
            <v/>
          </cell>
          <cell r="DZ565" t="str">
            <v>pasiv</v>
          </cell>
          <cell r="EA565" t="e">
            <v>#DIV/0!</v>
          </cell>
        </row>
        <row r="566">
          <cell r="B566">
            <v>381511</v>
          </cell>
          <cell r="C566" t="str">
            <v>ბარდა_25კგ_მთელი_რუსეთი</v>
          </cell>
          <cell r="D566" t="str">
            <v>TON</v>
          </cell>
          <cell r="E566">
            <v>0</v>
          </cell>
          <cell r="F566">
            <v>0</v>
          </cell>
          <cell r="G566">
            <v>2.5000000000000001E-2</v>
          </cell>
          <cell r="H566">
            <v>35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O566">
            <v>2.5000000000000001E-2</v>
          </cell>
          <cell r="P566">
            <v>35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O566">
            <v>0</v>
          </cell>
          <cell r="AP566">
            <v>0</v>
          </cell>
          <cell r="AS566">
            <v>0</v>
          </cell>
          <cell r="AT566">
            <v>0</v>
          </cell>
          <cell r="AU566">
            <v>2.5000000000000001E-2</v>
          </cell>
          <cell r="AV566">
            <v>35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2.5000000000000001E-2</v>
          </cell>
          <cell r="DX566">
            <v>35</v>
          </cell>
          <cell r="DY566" t="str">
            <v/>
          </cell>
          <cell r="DZ566">
            <v>0</v>
          </cell>
          <cell r="EA566">
            <v>1400</v>
          </cell>
        </row>
        <row r="567">
          <cell r="B567">
            <v>23017</v>
          </cell>
          <cell r="C567" t="str">
            <v>წიწიბურა-25კგ</v>
          </cell>
          <cell r="D567" t="str">
            <v>TON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O567">
            <v>0</v>
          </cell>
          <cell r="AP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0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0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0</v>
          </cell>
          <cell r="DG567">
            <v>0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  <cell r="DX567">
            <v>0</v>
          </cell>
          <cell r="DY567" t="str">
            <v/>
          </cell>
          <cell r="DZ567" t="str">
            <v>pasiv</v>
          </cell>
          <cell r="EA567" t="e">
            <v>#DIV/0!</v>
          </cell>
        </row>
        <row r="568">
          <cell r="B568">
            <v>177066</v>
          </cell>
          <cell r="C568" t="str">
            <v>შვრიის ფანტელი-30კგ</v>
          </cell>
          <cell r="D568" t="str">
            <v>TON</v>
          </cell>
          <cell r="E568">
            <v>0</v>
          </cell>
          <cell r="F568">
            <v>0</v>
          </cell>
          <cell r="G568">
            <v>0.06</v>
          </cell>
          <cell r="H568">
            <v>131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O568">
            <v>0.06</v>
          </cell>
          <cell r="P568">
            <v>131</v>
          </cell>
          <cell r="Q568">
            <v>0.21</v>
          </cell>
          <cell r="R568">
            <v>444.78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0.21</v>
          </cell>
          <cell r="Z568">
            <v>444.78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O568">
            <v>0</v>
          </cell>
          <cell r="AP568">
            <v>0</v>
          </cell>
          <cell r="AS568">
            <v>0</v>
          </cell>
          <cell r="AT568">
            <v>0</v>
          </cell>
          <cell r="AU568">
            <v>0.3</v>
          </cell>
          <cell r="AV568">
            <v>641.28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0.03</v>
          </cell>
          <cell r="BL568">
            <v>65.5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0.03</v>
          </cell>
          <cell r="BT568">
            <v>65.5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0.03</v>
          </cell>
          <cell r="CL568">
            <v>65.5</v>
          </cell>
          <cell r="CO568">
            <v>0</v>
          </cell>
          <cell r="CP568">
            <v>0</v>
          </cell>
          <cell r="CQ568">
            <v>0</v>
          </cell>
          <cell r="CR568">
            <v>0</v>
          </cell>
          <cell r="CS568">
            <v>0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0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0.3</v>
          </cell>
          <cell r="DX568">
            <v>641.28</v>
          </cell>
          <cell r="DY568" t="str">
            <v/>
          </cell>
          <cell r="DZ568">
            <v>0</v>
          </cell>
          <cell r="EA568">
            <v>2137.6</v>
          </cell>
        </row>
        <row r="569">
          <cell r="B569">
            <v>375437</v>
          </cell>
          <cell r="C569" t="str">
            <v>ბარდა-25კგ-გაყოფილი</v>
          </cell>
          <cell r="D569" t="str">
            <v>TON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O569">
            <v>0</v>
          </cell>
          <cell r="AP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 t="str">
            <v/>
          </cell>
          <cell r="DZ569" t="str">
            <v>pasiv</v>
          </cell>
          <cell r="EA569" t="e">
            <v>#DIV/0!</v>
          </cell>
        </row>
        <row r="570">
          <cell r="B570">
            <v>23016</v>
          </cell>
          <cell r="C570" t="str">
            <v>QARABASAQ_25KQ_RUSIA</v>
          </cell>
          <cell r="D570" t="str">
            <v>TON</v>
          </cell>
          <cell r="E570">
            <v>0</v>
          </cell>
          <cell r="F570">
            <v>0</v>
          </cell>
          <cell r="G570">
            <v>0.1</v>
          </cell>
          <cell r="H570">
            <v>224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O570">
            <v>0.1</v>
          </cell>
          <cell r="P570">
            <v>224</v>
          </cell>
          <cell r="Q570">
            <v>0.3</v>
          </cell>
          <cell r="R570">
            <v>651.84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0.3</v>
          </cell>
          <cell r="Z570">
            <v>651.84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O570">
            <v>0</v>
          </cell>
          <cell r="AP570">
            <v>0</v>
          </cell>
          <cell r="AS570">
            <v>0</v>
          </cell>
          <cell r="AT570">
            <v>0</v>
          </cell>
          <cell r="AU570">
            <v>0.92500000000000004</v>
          </cell>
          <cell r="AV570">
            <v>1988.84</v>
          </cell>
          <cell r="AW570">
            <v>0</v>
          </cell>
          <cell r="AX570">
            <v>0</v>
          </cell>
          <cell r="AY570">
            <v>2.5000000000000001E-2</v>
          </cell>
          <cell r="AZ570">
            <v>56</v>
          </cell>
          <cell r="BA570">
            <v>0</v>
          </cell>
          <cell r="BB570">
            <v>0</v>
          </cell>
          <cell r="BC570">
            <v>2.5000000000000001E-2</v>
          </cell>
          <cell r="BD570">
            <v>56</v>
          </cell>
          <cell r="BE570">
            <v>0.05</v>
          </cell>
          <cell r="BF570">
            <v>112</v>
          </cell>
          <cell r="BG570">
            <v>2.5000000000000001E-2</v>
          </cell>
          <cell r="BH570">
            <v>56</v>
          </cell>
          <cell r="BI570">
            <v>0</v>
          </cell>
          <cell r="BJ570">
            <v>0</v>
          </cell>
          <cell r="BK570">
            <v>0.05</v>
          </cell>
          <cell r="BL570">
            <v>103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7.4999999999999997E-2</v>
          </cell>
          <cell r="BT570">
            <v>159</v>
          </cell>
          <cell r="BU570">
            <v>0.05</v>
          </cell>
          <cell r="BV570">
            <v>112</v>
          </cell>
          <cell r="BW570">
            <v>2.5000000000000001E-2</v>
          </cell>
          <cell r="BX570">
            <v>56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2.5000000000000001E-2</v>
          </cell>
          <cell r="CD570">
            <v>56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0.1</v>
          </cell>
          <cell r="CJ570">
            <v>224</v>
          </cell>
          <cell r="CK570">
            <v>0.17499999999999999</v>
          </cell>
          <cell r="CL570">
            <v>383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0.05</v>
          </cell>
          <cell r="CV570">
            <v>103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2.5000000000000001E-2</v>
          </cell>
          <cell r="DH570">
            <v>47</v>
          </cell>
          <cell r="DI570">
            <v>0.05</v>
          </cell>
          <cell r="DJ570">
            <v>112</v>
          </cell>
          <cell r="DK570">
            <v>0.17499999999999999</v>
          </cell>
          <cell r="DL570">
            <v>356</v>
          </cell>
          <cell r="DM570">
            <v>0.25</v>
          </cell>
          <cell r="DN570">
            <v>515</v>
          </cell>
          <cell r="DO570">
            <v>0.05</v>
          </cell>
          <cell r="DP570">
            <v>103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0.05</v>
          </cell>
          <cell r="DV570">
            <v>103</v>
          </cell>
          <cell r="DW570">
            <v>0.92499999999999993</v>
          </cell>
          <cell r="DX570">
            <v>1988.8400000000001</v>
          </cell>
          <cell r="DY570" t="str">
            <v/>
          </cell>
          <cell r="DZ570">
            <v>0</v>
          </cell>
          <cell r="EA570">
            <v>2150.0972972972977</v>
          </cell>
        </row>
        <row r="571">
          <cell r="B571">
            <v>115939</v>
          </cell>
          <cell r="C571" t="str">
            <v>ბურღული_25კგ*1</v>
          </cell>
          <cell r="D571" t="str">
            <v>TON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2.5000000000000001E-2</v>
          </cell>
          <cell r="T571">
            <v>75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2.5000000000000001E-2</v>
          </cell>
          <cell r="Z571">
            <v>75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O571">
            <v>0</v>
          </cell>
          <cell r="AP571">
            <v>0</v>
          </cell>
          <cell r="AS571">
            <v>0</v>
          </cell>
          <cell r="AT571">
            <v>0</v>
          </cell>
          <cell r="AU571">
            <v>2.5000000000000001E-2</v>
          </cell>
          <cell r="AV571">
            <v>75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O571">
            <v>0</v>
          </cell>
          <cell r="CP571">
            <v>0</v>
          </cell>
          <cell r="CQ571">
            <v>0</v>
          </cell>
          <cell r="CR571">
            <v>0</v>
          </cell>
          <cell r="CS571">
            <v>0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0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0</v>
          </cell>
          <cell r="DG571">
            <v>0</v>
          </cell>
          <cell r="DH571">
            <v>0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2.5000000000000001E-2</v>
          </cell>
          <cell r="DX571">
            <v>75</v>
          </cell>
          <cell r="DY571" t="str">
            <v/>
          </cell>
          <cell r="DZ571">
            <v>0</v>
          </cell>
          <cell r="EA571">
            <v>3000</v>
          </cell>
        </row>
        <row r="572">
          <cell r="B572">
            <v>275810</v>
          </cell>
          <cell r="C572" t="str">
            <v>შვრიის ფანტელი-35კგ</v>
          </cell>
          <cell r="D572" t="str">
            <v>TON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3.5000000000000003E-2</v>
          </cell>
          <cell r="T572">
            <v>66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3.5000000000000003E-2</v>
          </cell>
          <cell r="Z572">
            <v>66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O572">
            <v>0</v>
          </cell>
          <cell r="AP572">
            <v>0</v>
          </cell>
          <cell r="AS572">
            <v>0</v>
          </cell>
          <cell r="AT572">
            <v>0</v>
          </cell>
          <cell r="AU572">
            <v>7.0000000000000007E-2</v>
          </cell>
          <cell r="AV572">
            <v>132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3.5000000000000003E-2</v>
          </cell>
          <cell r="BD572">
            <v>66</v>
          </cell>
          <cell r="BE572">
            <v>3.5000000000000003E-2</v>
          </cell>
          <cell r="BF572">
            <v>66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7.0000000000000007E-2</v>
          </cell>
          <cell r="DX572">
            <v>132</v>
          </cell>
          <cell r="DY572" t="str">
            <v/>
          </cell>
          <cell r="DZ572">
            <v>0</v>
          </cell>
          <cell r="EA572">
            <v>1885.7142857142856</v>
          </cell>
        </row>
        <row r="573">
          <cell r="B573">
            <v>275138</v>
          </cell>
          <cell r="C573" t="str">
            <v>მწვანე ოსპი-25კგ</v>
          </cell>
          <cell r="D573" t="str">
            <v>TON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O573">
            <v>0</v>
          </cell>
          <cell r="AP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 t="str">
            <v/>
          </cell>
          <cell r="DZ573" t="str">
            <v>pasiv</v>
          </cell>
          <cell r="EA573" t="e">
            <v>#DIV/0!</v>
          </cell>
        </row>
        <row r="574">
          <cell r="B574">
            <v>71851</v>
          </cell>
          <cell r="C574" t="str">
            <v>QIRMIZI MERCIMEK_25KQ_SYRIA</v>
          </cell>
          <cell r="D574" t="str">
            <v>TON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O574">
            <v>0</v>
          </cell>
          <cell r="AP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 t="str">
            <v/>
          </cell>
          <cell r="DZ574" t="str">
            <v>pasiv</v>
          </cell>
          <cell r="EA574" t="e">
            <v>#DIV/0!</v>
          </cell>
        </row>
        <row r="575">
          <cell r="B575">
            <v>23015</v>
          </cell>
          <cell r="C575" t="str">
            <v>QARABASAQ_25 KQ_CIN</v>
          </cell>
          <cell r="D575" t="str">
            <v>TON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O575">
            <v>0</v>
          </cell>
          <cell r="AP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0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0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0</v>
          </cell>
          <cell r="DG575">
            <v>0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  <cell r="DX575">
            <v>0</v>
          </cell>
          <cell r="DY575" t="str">
            <v/>
          </cell>
          <cell r="DZ575" t="str">
            <v>pasiv</v>
          </cell>
          <cell r="EA575" t="e">
            <v>#DIV/0!</v>
          </cell>
        </row>
        <row r="576">
          <cell r="B576">
            <v>0</v>
          </cell>
          <cell r="C576" t="str">
            <v xml:space="preserve">CUVAL </v>
          </cell>
          <cell r="D576" t="str">
            <v>TON</v>
          </cell>
          <cell r="E576">
            <v>0</v>
          </cell>
          <cell r="F576">
            <v>0</v>
          </cell>
          <cell r="G576">
            <v>0.185</v>
          </cell>
          <cell r="H576">
            <v>390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O576">
            <v>0.185</v>
          </cell>
          <cell r="P576">
            <v>390</v>
          </cell>
          <cell r="Q576">
            <v>0.51</v>
          </cell>
          <cell r="R576">
            <v>1096.6199999999999</v>
          </cell>
          <cell r="S576">
            <v>6.0000000000000005E-2</v>
          </cell>
          <cell r="T576">
            <v>141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0.57000000000000006</v>
          </cell>
          <cell r="Z576">
            <v>1237.6199999999999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O576">
            <v>0</v>
          </cell>
          <cell r="AP576">
            <v>0</v>
          </cell>
          <cell r="AS576">
            <v>0</v>
          </cell>
          <cell r="AT576">
            <v>0</v>
          </cell>
          <cell r="AU576">
            <v>1.5449999999999999</v>
          </cell>
          <cell r="AV576">
            <v>3894.12</v>
          </cell>
          <cell r="AW576">
            <v>0</v>
          </cell>
          <cell r="AX576">
            <v>0</v>
          </cell>
          <cell r="AY576">
            <v>2.5000000000000001E-2</v>
          </cell>
          <cell r="AZ576">
            <v>56</v>
          </cell>
          <cell r="BA576">
            <v>0</v>
          </cell>
          <cell r="BB576">
            <v>0</v>
          </cell>
          <cell r="BC576">
            <v>0.11000000000000001</v>
          </cell>
          <cell r="BD576">
            <v>394</v>
          </cell>
          <cell r="BE576">
            <v>0.13500000000000001</v>
          </cell>
          <cell r="BF576">
            <v>450</v>
          </cell>
          <cell r="BG576">
            <v>2.5000000000000001E-2</v>
          </cell>
          <cell r="BH576">
            <v>56</v>
          </cell>
          <cell r="BI576">
            <v>0</v>
          </cell>
          <cell r="BJ576">
            <v>0</v>
          </cell>
          <cell r="BK576">
            <v>0.08</v>
          </cell>
          <cell r="BL576">
            <v>168.5</v>
          </cell>
          <cell r="BM576">
            <v>0</v>
          </cell>
          <cell r="BN576">
            <v>0</v>
          </cell>
          <cell r="BO576">
            <v>0.05</v>
          </cell>
          <cell r="BP576">
            <v>250</v>
          </cell>
          <cell r="BQ576">
            <v>0</v>
          </cell>
          <cell r="BR576">
            <v>0</v>
          </cell>
          <cell r="BS576">
            <v>0.155</v>
          </cell>
          <cell r="BT576">
            <v>474.5</v>
          </cell>
          <cell r="BU576">
            <v>0.05</v>
          </cell>
          <cell r="BV576">
            <v>112</v>
          </cell>
          <cell r="BW576">
            <v>2.5000000000000001E-2</v>
          </cell>
          <cell r="BX576">
            <v>56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2.5000000000000001E-2</v>
          </cell>
          <cell r="CD576">
            <v>56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0.1</v>
          </cell>
          <cell r="CJ576">
            <v>224</v>
          </cell>
          <cell r="CK576">
            <v>0.255</v>
          </cell>
          <cell r="CL576">
            <v>698.5</v>
          </cell>
          <cell r="CO576">
            <v>0</v>
          </cell>
          <cell r="CP576">
            <v>0</v>
          </cell>
          <cell r="CQ576">
            <v>0</v>
          </cell>
          <cell r="CR576">
            <v>0</v>
          </cell>
          <cell r="CS576">
            <v>0</v>
          </cell>
          <cell r="CT576">
            <v>0</v>
          </cell>
          <cell r="CU576">
            <v>0.125</v>
          </cell>
          <cell r="CV576">
            <v>478</v>
          </cell>
          <cell r="CW576">
            <v>0</v>
          </cell>
          <cell r="CX576">
            <v>0</v>
          </cell>
          <cell r="CY576">
            <v>0</v>
          </cell>
          <cell r="CZ576">
            <v>0</v>
          </cell>
          <cell r="DA576">
            <v>0</v>
          </cell>
          <cell r="DB576">
            <v>0</v>
          </cell>
          <cell r="DC576">
            <v>0</v>
          </cell>
          <cell r="DD576">
            <v>0</v>
          </cell>
          <cell r="DE576">
            <v>0</v>
          </cell>
          <cell r="DF576">
            <v>0</v>
          </cell>
          <cell r="DG576">
            <v>2.5000000000000001E-2</v>
          </cell>
          <cell r="DH576">
            <v>47</v>
          </cell>
          <cell r="DI576">
            <v>7.5000000000000011E-2</v>
          </cell>
          <cell r="DJ576">
            <v>237</v>
          </cell>
          <cell r="DK576">
            <v>0.17499999999999999</v>
          </cell>
          <cell r="DL576">
            <v>356</v>
          </cell>
          <cell r="DM576">
            <v>0.27500000000000002</v>
          </cell>
          <cell r="DN576">
            <v>640</v>
          </cell>
          <cell r="DO576">
            <v>0.1</v>
          </cell>
          <cell r="DP576">
            <v>353</v>
          </cell>
          <cell r="DQ576">
            <v>0</v>
          </cell>
          <cell r="DR576">
            <v>0</v>
          </cell>
          <cell r="DS576">
            <v>2.5000000000000001E-2</v>
          </cell>
          <cell r="DT576">
            <v>125</v>
          </cell>
          <cell r="DU576">
            <v>0.125</v>
          </cell>
          <cell r="DV576">
            <v>478</v>
          </cell>
          <cell r="DW576">
            <v>1.5449999999999999</v>
          </cell>
          <cell r="DX576">
            <v>3894.12</v>
          </cell>
          <cell r="DY576" t="str">
            <v/>
          </cell>
          <cell r="DZ576">
            <v>0</v>
          </cell>
          <cell r="EA576">
            <v>2520.4660194174758</v>
          </cell>
        </row>
        <row r="577">
          <cell r="C577" t="str">
            <v xml:space="preserve"> TOPLAM </v>
          </cell>
          <cell r="D577" t="str">
            <v>TON</v>
          </cell>
          <cell r="E577">
            <v>0</v>
          </cell>
          <cell r="F577">
            <v>0</v>
          </cell>
          <cell r="G577">
            <v>0.18820000000000001</v>
          </cell>
          <cell r="H577">
            <v>402.73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O577">
            <v>0.18820000000000001</v>
          </cell>
          <cell r="P577">
            <v>402.73</v>
          </cell>
          <cell r="Q577">
            <v>0.51</v>
          </cell>
          <cell r="R577">
            <v>1096.6199999999999</v>
          </cell>
          <cell r="S577">
            <v>6.0000000000000005E-2</v>
          </cell>
          <cell r="T577">
            <v>141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0.57000000000000006</v>
          </cell>
          <cell r="Z577">
            <v>1237.6199999999999</v>
          </cell>
          <cell r="AA577">
            <v>0</v>
          </cell>
          <cell r="AB577">
            <v>0</v>
          </cell>
          <cell r="AC577">
            <v>0.13250000000000001</v>
          </cell>
          <cell r="AD577">
            <v>565.22</v>
          </cell>
          <cell r="AE577">
            <v>4.1999999999999997E-3</v>
          </cell>
          <cell r="AF577">
            <v>14.98</v>
          </cell>
          <cell r="AG577">
            <v>1.4999999999999999E-2</v>
          </cell>
          <cell r="AH577">
            <v>64.260000000000005</v>
          </cell>
          <cell r="AI577">
            <v>9.8000000000000004E-2</v>
          </cell>
          <cell r="AJ577">
            <v>417.58000000000004</v>
          </cell>
          <cell r="AK577">
            <v>5.1100000000000007E-2</v>
          </cell>
          <cell r="AL577">
            <v>218.37</v>
          </cell>
          <cell r="AO577">
            <v>0.30080000000000001</v>
          </cell>
          <cell r="AP577">
            <v>1280.4099999999999</v>
          </cell>
          <cell r="AS577">
            <v>0</v>
          </cell>
          <cell r="AT577">
            <v>0</v>
          </cell>
          <cell r="AU577">
            <v>3.7598499999999997</v>
          </cell>
          <cell r="AV577">
            <v>13348.400000000001</v>
          </cell>
          <cell r="AW577">
            <v>0</v>
          </cell>
          <cell r="AX577">
            <v>0</v>
          </cell>
          <cell r="AY577">
            <v>0.12040000000000001</v>
          </cell>
          <cell r="AZ577">
            <v>470.34</v>
          </cell>
          <cell r="BA577">
            <v>0</v>
          </cell>
          <cell r="BB577">
            <v>0</v>
          </cell>
          <cell r="BC577">
            <v>0.13230000000000003</v>
          </cell>
          <cell r="BD577">
            <v>479</v>
          </cell>
          <cell r="BE577">
            <v>0.25270000000000004</v>
          </cell>
          <cell r="BF577">
            <v>949.33999999999992</v>
          </cell>
          <cell r="BG577">
            <v>9.2499999999999999E-2</v>
          </cell>
          <cell r="BH577">
            <v>345.81</v>
          </cell>
          <cell r="BI577">
            <v>1.8599999999999998E-2</v>
          </cell>
          <cell r="BJ577">
            <v>79.58</v>
          </cell>
          <cell r="BK577">
            <v>0.1336</v>
          </cell>
          <cell r="BL577">
            <v>397.38</v>
          </cell>
          <cell r="BM577">
            <v>5.1199999999999996E-2</v>
          </cell>
          <cell r="BN577">
            <v>220.26</v>
          </cell>
          <cell r="BO577">
            <v>0.18835000000000002</v>
          </cell>
          <cell r="BP577">
            <v>838.8900000000001</v>
          </cell>
          <cell r="BQ577">
            <v>0</v>
          </cell>
          <cell r="BR577">
            <v>0</v>
          </cell>
          <cell r="BS577">
            <v>0.48945000000000005</v>
          </cell>
          <cell r="BT577">
            <v>1904.12</v>
          </cell>
          <cell r="BU577">
            <v>5.8300000000000005E-2</v>
          </cell>
          <cell r="BV577">
            <v>143.19999999999999</v>
          </cell>
          <cell r="BW577">
            <v>5.4400000000000004E-2</v>
          </cell>
          <cell r="BX577">
            <v>174.97</v>
          </cell>
          <cell r="BY577">
            <v>1.01E-2</v>
          </cell>
          <cell r="BZ577">
            <v>43.23</v>
          </cell>
          <cell r="CA577">
            <v>0.12740000000000001</v>
          </cell>
          <cell r="CB577">
            <v>546.14</v>
          </cell>
          <cell r="CC577">
            <v>8.879999999999999E-2</v>
          </cell>
          <cell r="CD577">
            <v>330.36</v>
          </cell>
          <cell r="CE577">
            <v>0.18359999999999999</v>
          </cell>
          <cell r="CF577">
            <v>779.79</v>
          </cell>
          <cell r="CG577">
            <v>1.8E-3</v>
          </cell>
          <cell r="CH577">
            <v>7.3</v>
          </cell>
          <cell r="CI577">
            <v>0.52439999999999998</v>
          </cell>
          <cell r="CJ577">
            <v>2024.99</v>
          </cell>
          <cell r="CK577">
            <v>1.0138500000000001</v>
          </cell>
          <cell r="CL577">
            <v>3929.1099999999997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0</v>
          </cell>
          <cell r="CT577">
            <v>0</v>
          </cell>
          <cell r="CU577">
            <v>0.36199999999999999</v>
          </cell>
          <cell r="CV577">
            <v>1486.06</v>
          </cell>
          <cell r="CW577">
            <v>0</v>
          </cell>
          <cell r="CX577">
            <v>0</v>
          </cell>
          <cell r="CY577">
            <v>0.25019999999999998</v>
          </cell>
          <cell r="CZ577">
            <v>1109.94</v>
          </cell>
          <cell r="DA577">
            <v>8.5799999999999987E-2</v>
          </cell>
          <cell r="DB577">
            <v>368.54</v>
          </cell>
          <cell r="DC577">
            <v>0.28470000000000001</v>
          </cell>
          <cell r="DD577">
            <v>1190.79</v>
          </cell>
          <cell r="DE577">
            <v>0.62070000000000003</v>
          </cell>
          <cell r="DF577">
            <v>2669.27</v>
          </cell>
          <cell r="DG577">
            <v>0.1018</v>
          </cell>
          <cell r="DH577">
            <v>374.68</v>
          </cell>
          <cell r="DI577">
            <v>0.12920000000000001</v>
          </cell>
          <cell r="DJ577">
            <v>468.86</v>
          </cell>
          <cell r="DK577">
            <v>0.22059999999999999</v>
          </cell>
          <cell r="DL577">
            <v>550.31999999999994</v>
          </cell>
          <cell r="DM577">
            <v>0.4516</v>
          </cell>
          <cell r="DN577">
            <v>1393.8600000000001</v>
          </cell>
          <cell r="DO577">
            <v>0.14949999999999999</v>
          </cell>
          <cell r="DP577">
            <v>563.32999999999993</v>
          </cell>
          <cell r="DQ577">
            <v>2.8199999999999996E-2</v>
          </cell>
          <cell r="DR577">
            <v>120.86</v>
          </cell>
          <cell r="DS577">
            <v>0.18429999999999999</v>
          </cell>
          <cell r="DT577">
            <v>801.87</v>
          </cell>
          <cell r="DU577">
            <v>0.36199999999999999</v>
          </cell>
          <cell r="DV577">
            <v>1486.06</v>
          </cell>
          <cell r="DW577">
            <v>3.7598500000000001</v>
          </cell>
          <cell r="DX577">
            <v>13348.399999999998</v>
          </cell>
          <cell r="DY577" t="str">
            <v/>
          </cell>
          <cell r="DZ577">
            <v>0</v>
          </cell>
          <cell r="EA577">
            <v>3550.2480152133721</v>
          </cell>
        </row>
        <row r="578">
          <cell r="A578">
            <v>40</v>
          </cell>
          <cell r="C578" t="str">
            <v>CVL PIRINC VE CVL GRECHKA</v>
          </cell>
          <cell r="D578" t="str">
            <v>TON</v>
          </cell>
          <cell r="E578">
            <v>2.5000000000000001E-2</v>
          </cell>
          <cell r="F578">
            <v>86</v>
          </cell>
          <cell r="G578">
            <v>0.26</v>
          </cell>
          <cell r="H578">
            <v>546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O578">
            <v>0.28500000000000003</v>
          </cell>
          <cell r="P578">
            <v>632</v>
          </cell>
          <cell r="Q578">
            <v>0.71</v>
          </cell>
          <cell r="R578">
            <v>1500.1399999999999</v>
          </cell>
          <cell r="S578">
            <v>6.0000000000000005E-2</v>
          </cell>
          <cell r="T578">
            <v>141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0.77</v>
          </cell>
          <cell r="Z578">
            <v>1641.1399999999999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O578">
            <v>0</v>
          </cell>
          <cell r="AP578">
            <v>0</v>
          </cell>
          <cell r="AS578">
            <v>0</v>
          </cell>
          <cell r="AT578">
            <v>0</v>
          </cell>
          <cell r="AU578">
            <v>2.2199999999999998</v>
          </cell>
          <cell r="AV578">
            <v>5330.6399999999994</v>
          </cell>
          <cell r="AW578">
            <v>0</v>
          </cell>
          <cell r="AX578">
            <v>0</v>
          </cell>
          <cell r="AY578">
            <v>2.5000000000000001E-2</v>
          </cell>
          <cell r="AZ578">
            <v>56</v>
          </cell>
          <cell r="BA578">
            <v>0</v>
          </cell>
          <cell r="BB578">
            <v>0</v>
          </cell>
          <cell r="BC578">
            <v>0.11000000000000001</v>
          </cell>
          <cell r="BD578">
            <v>394</v>
          </cell>
          <cell r="BE578">
            <v>0.13500000000000001</v>
          </cell>
          <cell r="BF578">
            <v>450</v>
          </cell>
          <cell r="BG578">
            <v>7.5000000000000011E-2</v>
          </cell>
          <cell r="BH578">
            <v>160</v>
          </cell>
          <cell r="BI578">
            <v>0</v>
          </cell>
          <cell r="BJ578">
            <v>0</v>
          </cell>
          <cell r="BK578">
            <v>0.13</v>
          </cell>
          <cell r="BL578">
            <v>272.5</v>
          </cell>
          <cell r="BM578">
            <v>0</v>
          </cell>
          <cell r="BN578">
            <v>0</v>
          </cell>
          <cell r="BO578">
            <v>0.05</v>
          </cell>
          <cell r="BP578">
            <v>250</v>
          </cell>
          <cell r="BQ578">
            <v>0</v>
          </cell>
          <cell r="BR578">
            <v>0</v>
          </cell>
          <cell r="BS578">
            <v>0.255</v>
          </cell>
          <cell r="BT578">
            <v>682.5</v>
          </cell>
          <cell r="BU578">
            <v>0.15000000000000002</v>
          </cell>
          <cell r="BV578">
            <v>320</v>
          </cell>
          <cell r="BW578">
            <v>2.5000000000000001E-2</v>
          </cell>
          <cell r="BX578">
            <v>56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2.5000000000000001E-2</v>
          </cell>
          <cell r="CD578">
            <v>56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0.2</v>
          </cell>
          <cell r="CJ578">
            <v>432</v>
          </cell>
          <cell r="CK578">
            <v>0.45500000000000002</v>
          </cell>
          <cell r="CL578">
            <v>1114.5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0.125</v>
          </cell>
          <cell r="CV578">
            <v>478</v>
          </cell>
          <cell r="CW578">
            <v>0</v>
          </cell>
          <cell r="CX578">
            <v>0</v>
          </cell>
          <cell r="CY578">
            <v>0</v>
          </cell>
          <cell r="CZ578">
            <v>0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0.05</v>
          </cell>
          <cell r="DH578">
            <v>99</v>
          </cell>
          <cell r="DI578">
            <v>0.15000000000000002</v>
          </cell>
          <cell r="DJ578">
            <v>404</v>
          </cell>
          <cell r="DK578">
            <v>0.25</v>
          </cell>
          <cell r="DL578">
            <v>512</v>
          </cell>
          <cell r="DM578">
            <v>0.45</v>
          </cell>
          <cell r="DN578">
            <v>1015</v>
          </cell>
          <cell r="DO578">
            <v>0.1</v>
          </cell>
          <cell r="DP578">
            <v>353</v>
          </cell>
          <cell r="DQ578">
            <v>0</v>
          </cell>
          <cell r="DR578">
            <v>0</v>
          </cell>
          <cell r="DS578">
            <v>2.5000000000000001E-2</v>
          </cell>
          <cell r="DT578">
            <v>125</v>
          </cell>
          <cell r="DU578">
            <v>0.125</v>
          </cell>
          <cell r="DV578">
            <v>478</v>
          </cell>
          <cell r="DW578">
            <v>2.2199999999999998</v>
          </cell>
          <cell r="DX578">
            <v>5330.6399999999994</v>
          </cell>
          <cell r="DY578" t="str">
            <v>Hedef</v>
          </cell>
          <cell r="DZ578">
            <v>0</v>
          </cell>
          <cell r="EA578">
            <v>2401.1891891891892</v>
          </cell>
        </row>
        <row r="579">
          <cell r="B579">
            <v>302626</v>
          </cell>
          <cell r="C579" t="str">
            <v>ქოქოსი წვრ.დაფქ_ 2კგ*5</v>
          </cell>
          <cell r="D579" t="str">
            <v>TON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O579">
            <v>0</v>
          </cell>
          <cell r="AP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O579">
            <v>0</v>
          </cell>
          <cell r="CP579">
            <v>0</v>
          </cell>
          <cell r="CQ579">
            <v>0</v>
          </cell>
          <cell r="CR579">
            <v>0</v>
          </cell>
          <cell r="CS579">
            <v>0</v>
          </cell>
          <cell r="CT579">
            <v>0</v>
          </cell>
          <cell r="CU579">
            <v>0</v>
          </cell>
          <cell r="CV579">
            <v>0</v>
          </cell>
          <cell r="CW579">
            <v>0</v>
          </cell>
          <cell r="CX579">
            <v>0</v>
          </cell>
          <cell r="CY579">
            <v>0</v>
          </cell>
          <cell r="CZ579">
            <v>0</v>
          </cell>
          <cell r="DA579">
            <v>0</v>
          </cell>
          <cell r="DB579">
            <v>0</v>
          </cell>
          <cell r="DC579">
            <v>0</v>
          </cell>
          <cell r="DD579">
            <v>0</v>
          </cell>
          <cell r="DE579">
            <v>0</v>
          </cell>
          <cell r="DF579">
            <v>0</v>
          </cell>
          <cell r="DG579">
            <v>0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  <cell r="DX579">
            <v>0</v>
          </cell>
          <cell r="DY579" t="str">
            <v/>
          </cell>
          <cell r="DZ579" t="str">
            <v>pasiv</v>
          </cell>
          <cell r="EA579" t="e">
            <v>#DIV/0!</v>
          </cell>
        </row>
        <row r="580">
          <cell r="B580">
            <v>53074</v>
          </cell>
          <cell r="C580" t="str">
            <v>KOKOS AZ YAGLI FINE_25 KG</v>
          </cell>
          <cell r="D580" t="str">
            <v>TON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O580">
            <v>0</v>
          </cell>
          <cell r="AP580">
            <v>0</v>
          </cell>
          <cell r="AS580">
            <v>0</v>
          </cell>
          <cell r="AT580">
            <v>0</v>
          </cell>
          <cell r="AU580">
            <v>2.5000000000000001E-2</v>
          </cell>
          <cell r="AV580">
            <v>180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2.5000000000000001E-2</v>
          </cell>
          <cell r="BL580">
            <v>180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2.5000000000000001E-2</v>
          </cell>
          <cell r="BT580">
            <v>180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2.5000000000000001E-2</v>
          </cell>
          <cell r="CL580">
            <v>180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2.5000000000000001E-2</v>
          </cell>
          <cell r="DX580">
            <v>180</v>
          </cell>
          <cell r="DY580" t="str">
            <v/>
          </cell>
          <cell r="DZ580">
            <v>0</v>
          </cell>
          <cell r="EA580">
            <v>7200</v>
          </cell>
        </row>
        <row r="581">
          <cell r="A581">
            <v>27</v>
          </cell>
          <cell r="C581" t="str">
            <v>KOKOS</v>
          </cell>
          <cell r="D581" t="str">
            <v>TON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2.5000000000000001E-2</v>
          </cell>
          <cell r="AV581">
            <v>180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2.5000000000000001E-2</v>
          </cell>
          <cell r="BL581">
            <v>180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2.5000000000000001E-2</v>
          </cell>
          <cell r="BT581">
            <v>180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2.5000000000000001E-2</v>
          </cell>
          <cell r="CL581">
            <v>180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2.5000000000000001E-2</v>
          </cell>
          <cell r="DX581">
            <v>180</v>
          </cell>
          <cell r="DY581" t="str">
            <v>Hedef</v>
          </cell>
          <cell r="DZ581">
            <v>0</v>
          </cell>
          <cell r="EA581">
            <v>7200</v>
          </cell>
        </row>
        <row r="582">
          <cell r="B582">
            <v>79954</v>
          </cell>
          <cell r="C582" t="str">
            <v xml:space="preserve">YERFISTIGI_25 KG </v>
          </cell>
          <cell r="D582" t="str">
            <v>TON</v>
          </cell>
          <cell r="E582">
            <v>2</v>
          </cell>
          <cell r="F582">
            <v>10675.2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O582">
            <v>2</v>
          </cell>
          <cell r="P582">
            <v>10675.2</v>
          </cell>
          <cell r="Q582">
            <v>2.5000000000000001E-2</v>
          </cell>
          <cell r="R582">
            <v>139</v>
          </cell>
          <cell r="S582">
            <v>7.4999999999999997E-2</v>
          </cell>
          <cell r="T582">
            <v>411.44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0.1</v>
          </cell>
          <cell r="Z582">
            <v>550.44000000000005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2.5000000000000001E-2</v>
          </cell>
          <cell r="AF582">
            <v>139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O582">
            <v>2.5000000000000001E-2</v>
          </cell>
          <cell r="AP582">
            <v>139</v>
          </cell>
          <cell r="AS582">
            <v>0</v>
          </cell>
          <cell r="AT582">
            <v>0</v>
          </cell>
          <cell r="AU582">
            <v>2.65</v>
          </cell>
          <cell r="AV582">
            <v>14229.43</v>
          </cell>
          <cell r="AW582">
            <v>0</v>
          </cell>
          <cell r="AX582">
            <v>0</v>
          </cell>
          <cell r="AY582">
            <v>7.4999999999999997E-2</v>
          </cell>
          <cell r="AZ582">
            <v>417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7.4999999999999997E-2</v>
          </cell>
          <cell r="BF582">
            <v>417</v>
          </cell>
          <cell r="BG582">
            <v>2.5000000000000001E-2</v>
          </cell>
          <cell r="BH582">
            <v>139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2.5000000000000001E-2</v>
          </cell>
          <cell r="BP582">
            <v>139</v>
          </cell>
          <cell r="BQ582">
            <v>0</v>
          </cell>
          <cell r="BR582">
            <v>0</v>
          </cell>
          <cell r="BS582">
            <v>0.05</v>
          </cell>
          <cell r="BT582">
            <v>278</v>
          </cell>
          <cell r="BU582">
            <v>0</v>
          </cell>
          <cell r="BV582">
            <v>0</v>
          </cell>
          <cell r="BW582">
            <v>2.5000000000000001E-2</v>
          </cell>
          <cell r="BX582">
            <v>139</v>
          </cell>
          <cell r="BY582">
            <v>2.5000000000000001E-2</v>
          </cell>
          <cell r="BZ582">
            <v>139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0.05</v>
          </cell>
          <cell r="CJ582">
            <v>278</v>
          </cell>
          <cell r="CK582">
            <v>0.1</v>
          </cell>
          <cell r="CL582">
            <v>556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0</v>
          </cell>
          <cell r="CU582">
            <v>0.35</v>
          </cell>
          <cell r="CV582">
            <v>1891.79</v>
          </cell>
          <cell r="CW582">
            <v>0</v>
          </cell>
          <cell r="CX582">
            <v>0</v>
          </cell>
          <cell r="CY582">
            <v>0</v>
          </cell>
          <cell r="CZ582">
            <v>0</v>
          </cell>
          <cell r="DA582">
            <v>0</v>
          </cell>
          <cell r="DB582">
            <v>0</v>
          </cell>
          <cell r="DC582">
            <v>0</v>
          </cell>
          <cell r="DD582">
            <v>0</v>
          </cell>
          <cell r="DE582">
            <v>0</v>
          </cell>
          <cell r="DF582">
            <v>0</v>
          </cell>
          <cell r="DG582">
            <v>0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2.5000000000000001E-2</v>
          </cell>
          <cell r="DP582">
            <v>139</v>
          </cell>
          <cell r="DQ582">
            <v>0</v>
          </cell>
          <cell r="DR582">
            <v>0</v>
          </cell>
          <cell r="DS582">
            <v>0.32500000000000001</v>
          </cell>
          <cell r="DT582">
            <v>1752.79</v>
          </cell>
          <cell r="DU582">
            <v>0.35</v>
          </cell>
          <cell r="DV582">
            <v>1891.79</v>
          </cell>
          <cell r="DW582">
            <v>2.65</v>
          </cell>
          <cell r="DX582">
            <v>14229.43</v>
          </cell>
          <cell r="DY582" t="str">
            <v/>
          </cell>
          <cell r="DZ582">
            <v>0</v>
          </cell>
          <cell r="EA582">
            <v>5369.5962264150949</v>
          </cell>
        </row>
        <row r="583">
          <cell r="B583">
            <v>326267</v>
          </cell>
          <cell r="C583" t="str">
            <v>მიწისთხილი-ლაიფ-120გ*48-მოხ.მარილიანი</v>
          </cell>
          <cell r="D583" t="str">
            <v>TON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O583">
            <v>0</v>
          </cell>
          <cell r="AP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  <cell r="DX583">
            <v>0</v>
          </cell>
          <cell r="DY583" t="str">
            <v/>
          </cell>
          <cell r="DZ583" t="str">
            <v>pasiv</v>
          </cell>
          <cell r="EA583" t="e">
            <v>#DIV/0!</v>
          </cell>
        </row>
        <row r="584">
          <cell r="A584">
            <v>28</v>
          </cell>
          <cell r="C584" t="str">
            <v xml:space="preserve">YERFISTIGI_25 KG </v>
          </cell>
          <cell r="D584" t="str">
            <v>TON</v>
          </cell>
          <cell r="E584">
            <v>2</v>
          </cell>
          <cell r="F584">
            <v>10675.2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O584">
            <v>2</v>
          </cell>
          <cell r="P584">
            <v>10675.2</v>
          </cell>
          <cell r="Q584">
            <v>2.5000000000000001E-2</v>
          </cell>
          <cell r="R584">
            <v>139</v>
          </cell>
          <cell r="S584">
            <v>7.4999999999999997E-2</v>
          </cell>
          <cell r="T584">
            <v>411.44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0.1</v>
          </cell>
          <cell r="Z584">
            <v>550.44000000000005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2.5000000000000001E-2</v>
          </cell>
          <cell r="AF584">
            <v>139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O584">
            <v>2.5000000000000001E-2</v>
          </cell>
          <cell r="AP584">
            <v>139</v>
          </cell>
          <cell r="AS584">
            <v>0</v>
          </cell>
          <cell r="AT584">
            <v>0</v>
          </cell>
          <cell r="AU584">
            <v>2.65</v>
          </cell>
          <cell r="AV584">
            <v>14229.43</v>
          </cell>
          <cell r="AW584">
            <v>0</v>
          </cell>
          <cell r="AX584">
            <v>0</v>
          </cell>
          <cell r="AY584">
            <v>7.4999999999999997E-2</v>
          </cell>
          <cell r="AZ584">
            <v>417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7.4999999999999997E-2</v>
          </cell>
          <cell r="BF584">
            <v>417</v>
          </cell>
          <cell r="BG584">
            <v>2.5000000000000001E-2</v>
          </cell>
          <cell r="BH584">
            <v>139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2.5000000000000001E-2</v>
          </cell>
          <cell r="BP584">
            <v>139</v>
          </cell>
          <cell r="BQ584">
            <v>0</v>
          </cell>
          <cell r="BR584">
            <v>0</v>
          </cell>
          <cell r="BS584">
            <v>0.05</v>
          </cell>
          <cell r="BT584">
            <v>278</v>
          </cell>
          <cell r="BU584">
            <v>0</v>
          </cell>
          <cell r="BV584">
            <v>0</v>
          </cell>
          <cell r="BW584">
            <v>2.5000000000000001E-2</v>
          </cell>
          <cell r="BX584">
            <v>139</v>
          </cell>
          <cell r="BY584">
            <v>2.5000000000000001E-2</v>
          </cell>
          <cell r="BZ584">
            <v>139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0.05</v>
          </cell>
          <cell r="CJ584">
            <v>278</v>
          </cell>
          <cell r="CK584">
            <v>0.1</v>
          </cell>
          <cell r="CL584">
            <v>556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0.35</v>
          </cell>
          <cell r="CV584">
            <v>1891.79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2.5000000000000001E-2</v>
          </cell>
          <cell r="DP584">
            <v>139</v>
          </cell>
          <cell r="DQ584">
            <v>0</v>
          </cell>
          <cell r="DR584">
            <v>0</v>
          </cell>
          <cell r="DS584">
            <v>0.32500000000000001</v>
          </cell>
          <cell r="DT584">
            <v>1752.79</v>
          </cell>
          <cell r="DU584">
            <v>0.35</v>
          </cell>
          <cell r="DV584">
            <v>1891.79</v>
          </cell>
          <cell r="DW584">
            <v>2.65</v>
          </cell>
          <cell r="DX584">
            <v>14229.43</v>
          </cell>
          <cell r="DY584" t="str">
            <v>Hedef</v>
          </cell>
          <cell r="DZ584">
            <v>0</v>
          </cell>
          <cell r="EA584">
            <v>5369.5962264150949</v>
          </cell>
        </row>
        <row r="585">
          <cell r="B585">
            <v>17999</v>
          </cell>
          <cell r="C585" t="str">
            <v>ALTIN ALKALIZE KAKAO TOZU_YAGLIGI 10-12%_25 KG</v>
          </cell>
          <cell r="D585" t="str">
            <v>TON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O585">
            <v>0</v>
          </cell>
          <cell r="AP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O585">
            <v>0</v>
          </cell>
          <cell r="CP585">
            <v>0</v>
          </cell>
          <cell r="CQ585">
            <v>0</v>
          </cell>
          <cell r="CR585">
            <v>0</v>
          </cell>
          <cell r="CS585">
            <v>0</v>
          </cell>
          <cell r="CT585">
            <v>0</v>
          </cell>
          <cell r="CU585">
            <v>0</v>
          </cell>
          <cell r="CV585">
            <v>0</v>
          </cell>
          <cell r="CW585">
            <v>0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  <cell r="DX585">
            <v>0</v>
          </cell>
          <cell r="DY585" t="str">
            <v/>
          </cell>
          <cell r="DZ585" t="str">
            <v>pasiv</v>
          </cell>
          <cell r="EA585" t="e">
            <v>#DIV/0!</v>
          </cell>
        </row>
        <row r="586">
          <cell r="B586">
            <v>126935</v>
          </cell>
          <cell r="C586" t="str">
            <v>კაკაოს ფხვნილი s-8_ 25კგ</v>
          </cell>
          <cell r="D586" t="str">
            <v>TON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O586">
            <v>0</v>
          </cell>
          <cell r="AP586">
            <v>0</v>
          </cell>
          <cell r="AS586">
            <v>0</v>
          </cell>
          <cell r="AT586">
            <v>0</v>
          </cell>
          <cell r="AU586">
            <v>2.5000000000000001E-2</v>
          </cell>
          <cell r="AV586">
            <v>323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2.5000000000000001E-2</v>
          </cell>
          <cell r="BN586">
            <v>323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2.5000000000000001E-2</v>
          </cell>
          <cell r="BT586">
            <v>323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2.5000000000000001E-2</v>
          </cell>
          <cell r="CL586">
            <v>323</v>
          </cell>
          <cell r="CO586">
            <v>0</v>
          </cell>
          <cell r="CP586">
            <v>0</v>
          </cell>
          <cell r="CQ586">
            <v>0</v>
          </cell>
          <cell r="CR586">
            <v>0</v>
          </cell>
          <cell r="CS586">
            <v>0</v>
          </cell>
          <cell r="CT586">
            <v>0</v>
          </cell>
          <cell r="CU586">
            <v>0</v>
          </cell>
          <cell r="CV586">
            <v>0</v>
          </cell>
          <cell r="CW586">
            <v>0</v>
          </cell>
          <cell r="CX586">
            <v>0</v>
          </cell>
          <cell r="CY586">
            <v>0</v>
          </cell>
          <cell r="CZ586">
            <v>0</v>
          </cell>
          <cell r="DA586">
            <v>0</v>
          </cell>
          <cell r="DB586">
            <v>0</v>
          </cell>
          <cell r="DC586">
            <v>0</v>
          </cell>
          <cell r="DD586">
            <v>0</v>
          </cell>
          <cell r="DE586">
            <v>0</v>
          </cell>
          <cell r="DF586">
            <v>0</v>
          </cell>
          <cell r="DG586">
            <v>0</v>
          </cell>
          <cell r="DH586">
            <v>0</v>
          </cell>
          <cell r="DI586">
            <v>0</v>
          </cell>
          <cell r="DJ586">
            <v>0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2.5000000000000001E-2</v>
          </cell>
          <cell r="DX586">
            <v>323</v>
          </cell>
          <cell r="DY586" t="str">
            <v/>
          </cell>
          <cell r="DZ586">
            <v>0</v>
          </cell>
          <cell r="EA586">
            <v>12920</v>
          </cell>
        </row>
        <row r="587">
          <cell r="B587">
            <v>18130</v>
          </cell>
          <cell r="C587" t="str">
            <v>ALTIN NATUREL KAKAO TOZU_YAGLIGI 10-12%_25 KG</v>
          </cell>
          <cell r="D587" t="str">
            <v>TON</v>
          </cell>
          <cell r="E587">
            <v>0</v>
          </cell>
          <cell r="F587">
            <v>0</v>
          </cell>
          <cell r="G587">
            <v>2.5000000000000001E-2</v>
          </cell>
          <cell r="H587">
            <v>312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O587">
            <v>2.5000000000000001E-2</v>
          </cell>
          <cell r="P587">
            <v>312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O587">
            <v>0</v>
          </cell>
          <cell r="AP587">
            <v>0</v>
          </cell>
          <cell r="AS587">
            <v>0</v>
          </cell>
          <cell r="AT587">
            <v>0</v>
          </cell>
          <cell r="AU587">
            <v>0.125</v>
          </cell>
          <cell r="AV587">
            <v>1672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O587">
            <v>0</v>
          </cell>
          <cell r="CP587">
            <v>0</v>
          </cell>
          <cell r="CQ587">
            <v>0</v>
          </cell>
          <cell r="CR587">
            <v>0</v>
          </cell>
          <cell r="CS587">
            <v>0</v>
          </cell>
          <cell r="CT587">
            <v>0</v>
          </cell>
          <cell r="CU587">
            <v>0</v>
          </cell>
          <cell r="CV587">
            <v>0</v>
          </cell>
          <cell r="CW587">
            <v>0</v>
          </cell>
          <cell r="CX587">
            <v>0</v>
          </cell>
          <cell r="CY587">
            <v>0</v>
          </cell>
          <cell r="CZ587">
            <v>0</v>
          </cell>
          <cell r="DA587">
            <v>0</v>
          </cell>
          <cell r="DB587">
            <v>0</v>
          </cell>
          <cell r="DC587">
            <v>0</v>
          </cell>
          <cell r="DD587">
            <v>0</v>
          </cell>
          <cell r="DE587">
            <v>0</v>
          </cell>
          <cell r="DF587">
            <v>0</v>
          </cell>
          <cell r="DG587">
            <v>0</v>
          </cell>
          <cell r="DH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2.5000000000000001E-2</v>
          </cell>
          <cell r="DX587">
            <v>312</v>
          </cell>
          <cell r="DY587" t="str">
            <v/>
          </cell>
          <cell r="DZ587">
            <v>0</v>
          </cell>
          <cell r="EA587">
            <v>12480</v>
          </cell>
        </row>
        <row r="588">
          <cell r="A588">
            <v>61</v>
          </cell>
          <cell r="C588" t="str">
            <v>KAKAO</v>
          </cell>
          <cell r="D588" t="str">
            <v>TON</v>
          </cell>
          <cell r="E588">
            <v>0</v>
          </cell>
          <cell r="F588">
            <v>0</v>
          </cell>
          <cell r="G588">
            <v>2.5000000000000001E-2</v>
          </cell>
          <cell r="H588">
            <v>312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O588">
            <v>2.5000000000000001E-2</v>
          </cell>
          <cell r="P588">
            <v>312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O588">
            <v>0</v>
          </cell>
          <cell r="AP588">
            <v>0</v>
          </cell>
          <cell r="AS588">
            <v>0</v>
          </cell>
          <cell r="AT588">
            <v>0</v>
          </cell>
          <cell r="AU588">
            <v>0.15</v>
          </cell>
          <cell r="AV588">
            <v>1995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2.5000000000000001E-2</v>
          </cell>
          <cell r="BN588">
            <v>323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2.5000000000000001E-2</v>
          </cell>
          <cell r="BT588">
            <v>323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2.5000000000000001E-2</v>
          </cell>
          <cell r="CL588">
            <v>323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0.05</v>
          </cell>
          <cell r="DX588">
            <v>635</v>
          </cell>
          <cell r="DY588" t="str">
            <v>Hedef</v>
          </cell>
          <cell r="DZ588">
            <v>0</v>
          </cell>
          <cell r="EA588">
            <v>12700</v>
          </cell>
        </row>
        <row r="589">
          <cell r="D589" t="str">
            <v>TON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O589">
            <v>0</v>
          </cell>
          <cell r="AP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  <cell r="DX589">
            <v>0</v>
          </cell>
          <cell r="DY589" t="str">
            <v/>
          </cell>
          <cell r="DZ589" t="str">
            <v>pasiv</v>
          </cell>
          <cell r="EA589" t="e">
            <v>#DIV/0!</v>
          </cell>
        </row>
        <row r="590">
          <cell r="D590" t="str">
            <v>TON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O590">
            <v>0</v>
          </cell>
          <cell r="AP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0</v>
          </cell>
          <cell r="DH590">
            <v>0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  <cell r="DX590">
            <v>0</v>
          </cell>
          <cell r="DY590" t="str">
            <v/>
          </cell>
          <cell r="DZ590" t="str">
            <v>pasiv</v>
          </cell>
          <cell r="EA590" t="e">
            <v>#DIV/0!</v>
          </cell>
        </row>
        <row r="591">
          <cell r="D591" t="str">
            <v>TON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O591">
            <v>0</v>
          </cell>
          <cell r="AP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O591">
            <v>0</v>
          </cell>
          <cell r="CP591">
            <v>0</v>
          </cell>
          <cell r="CQ591">
            <v>0</v>
          </cell>
          <cell r="CR591">
            <v>0</v>
          </cell>
          <cell r="CS591">
            <v>0</v>
          </cell>
          <cell r="CT591">
            <v>0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0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  <cell r="DX591">
            <v>0</v>
          </cell>
          <cell r="DY591" t="str">
            <v/>
          </cell>
          <cell r="DZ591" t="str">
            <v>pasiv</v>
          </cell>
          <cell r="EA591" t="e">
            <v>#DIV/0!</v>
          </cell>
        </row>
        <row r="592">
          <cell r="A592">
            <v>44</v>
          </cell>
          <cell r="C592" t="str">
            <v>DUZ</v>
          </cell>
          <cell r="D592" t="str">
            <v>TON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O592">
            <v>0</v>
          </cell>
          <cell r="AP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0</v>
          </cell>
          <cell r="DW592">
            <v>0</v>
          </cell>
          <cell r="DX592">
            <v>0</v>
          </cell>
          <cell r="DY592" t="str">
            <v>Hedef</v>
          </cell>
          <cell r="DZ592" t="str">
            <v>pasiv</v>
          </cell>
          <cell r="EA592" t="e">
            <v>#DIV/0!</v>
          </cell>
        </row>
        <row r="593">
          <cell r="B593">
            <v>287367</v>
          </cell>
          <cell r="C593" t="str">
            <v>მუხუდო-რიჩმონდი-10მმ-0.8.კგ*12</v>
          </cell>
          <cell r="D593" t="str">
            <v>TON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2.3999999999999998E-3</v>
          </cell>
          <cell r="T593">
            <v>22.55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2.3999999999999998E-3</v>
          </cell>
          <cell r="Z593">
            <v>22.55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O593">
            <v>0</v>
          </cell>
          <cell r="AP593">
            <v>0</v>
          </cell>
          <cell r="AS593">
            <v>0</v>
          </cell>
          <cell r="AT593">
            <v>0</v>
          </cell>
          <cell r="AU593">
            <v>8.9599999999999999E-2</v>
          </cell>
          <cell r="AV593">
            <v>854.86</v>
          </cell>
          <cell r="AW593">
            <v>0</v>
          </cell>
          <cell r="AX593">
            <v>0</v>
          </cell>
          <cell r="AY593">
            <v>2.8799999999999999E-2</v>
          </cell>
          <cell r="AZ593">
            <v>284.64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2.8799999999999999E-2</v>
          </cell>
          <cell r="BF593">
            <v>284.64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1.04E-2</v>
          </cell>
          <cell r="CF593">
            <v>96.09</v>
          </cell>
          <cell r="CG593">
            <v>0</v>
          </cell>
          <cell r="CH593">
            <v>0</v>
          </cell>
          <cell r="CI593">
            <v>1.04E-2</v>
          </cell>
          <cell r="CJ593">
            <v>96.09</v>
          </cell>
          <cell r="CK593">
            <v>1.04E-2</v>
          </cell>
          <cell r="CL593">
            <v>96.09</v>
          </cell>
          <cell r="CO593">
            <v>0</v>
          </cell>
          <cell r="CP593">
            <v>0</v>
          </cell>
          <cell r="CQ593">
            <v>0</v>
          </cell>
          <cell r="CR593">
            <v>0</v>
          </cell>
          <cell r="CS593">
            <v>0</v>
          </cell>
          <cell r="CT593">
            <v>0</v>
          </cell>
          <cell r="CU593">
            <v>9.5999999999999992E-3</v>
          </cell>
          <cell r="CV593">
            <v>89.28</v>
          </cell>
          <cell r="CW593">
            <v>0</v>
          </cell>
          <cell r="CX593">
            <v>0</v>
          </cell>
          <cell r="CY593">
            <v>1.9199999999999998E-2</v>
          </cell>
          <cell r="CZ593">
            <v>195.36</v>
          </cell>
          <cell r="DA593">
            <v>0</v>
          </cell>
          <cell r="DB593">
            <v>0</v>
          </cell>
          <cell r="DC593">
            <v>1.9199999999999998E-2</v>
          </cell>
          <cell r="DD593">
            <v>166.94</v>
          </cell>
          <cell r="DE593">
            <v>3.8399999999999997E-2</v>
          </cell>
          <cell r="DF593">
            <v>362.3</v>
          </cell>
          <cell r="DG593">
            <v>0</v>
          </cell>
          <cell r="DH593">
            <v>0</v>
          </cell>
          <cell r="DI593">
            <v>0</v>
          </cell>
          <cell r="DJ593">
            <v>0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9.5999999999999992E-3</v>
          </cell>
          <cell r="DR593">
            <v>89.28</v>
          </cell>
          <cell r="DS593">
            <v>0</v>
          </cell>
          <cell r="DT593">
            <v>0</v>
          </cell>
          <cell r="DU593">
            <v>9.5999999999999992E-3</v>
          </cell>
          <cell r="DV593">
            <v>89.28</v>
          </cell>
          <cell r="DW593">
            <v>8.9599999999999999E-2</v>
          </cell>
          <cell r="DX593">
            <v>854.86</v>
          </cell>
          <cell r="DY593" t="str">
            <v/>
          </cell>
          <cell r="DZ593">
            <v>0</v>
          </cell>
          <cell r="EA593">
            <v>9540.8482142857138</v>
          </cell>
        </row>
        <row r="594">
          <cell r="B594">
            <v>132383</v>
          </cell>
          <cell r="C594" t="str">
            <v>CVENI SUPRA_IRMIK_0.9KQ*10</v>
          </cell>
          <cell r="D594" t="str">
            <v>TON</v>
          </cell>
          <cell r="E594">
            <v>8.9999999999999993E-3</v>
          </cell>
          <cell r="F594">
            <v>19.010000000000002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O594">
            <v>8.9999999999999993E-3</v>
          </cell>
          <cell r="P594">
            <v>19.010000000000002</v>
          </cell>
          <cell r="Q594">
            <v>0</v>
          </cell>
          <cell r="R594">
            <v>0</v>
          </cell>
          <cell r="S594">
            <v>8.9999999999999993E-3</v>
          </cell>
          <cell r="T594">
            <v>19.010000000000002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8.9999999999999993E-3</v>
          </cell>
          <cell r="Z594">
            <v>19.010000000000002</v>
          </cell>
          <cell r="AA594">
            <v>0</v>
          </cell>
          <cell r="AB594">
            <v>0</v>
          </cell>
          <cell r="AC594">
            <v>1.44E-2</v>
          </cell>
          <cell r="AD594">
            <v>38.61</v>
          </cell>
          <cell r="AE594">
            <v>1.8E-3</v>
          </cell>
          <cell r="AF594">
            <v>3.72</v>
          </cell>
          <cell r="AG594">
            <v>9.9000000000000008E-3</v>
          </cell>
          <cell r="AH594">
            <v>26.47</v>
          </cell>
          <cell r="AI594">
            <v>1.17E-2</v>
          </cell>
          <cell r="AJ594">
            <v>31.72</v>
          </cell>
          <cell r="AK594">
            <v>1.44E-2</v>
          </cell>
          <cell r="AL594">
            <v>33.85</v>
          </cell>
          <cell r="AO594">
            <v>5.2199999999999996E-2</v>
          </cell>
          <cell r="AP594">
            <v>134.37</v>
          </cell>
          <cell r="AS594">
            <v>0</v>
          </cell>
          <cell r="AT594">
            <v>0</v>
          </cell>
          <cell r="AU594">
            <v>0.62009999999999998</v>
          </cell>
          <cell r="AV594">
            <v>1542.86</v>
          </cell>
          <cell r="AW594">
            <v>0</v>
          </cell>
          <cell r="AX594">
            <v>0</v>
          </cell>
          <cell r="AY594">
            <v>1.5299999999999999E-2</v>
          </cell>
          <cell r="AZ594">
            <v>40.19</v>
          </cell>
          <cell r="BA594">
            <v>0</v>
          </cell>
          <cell r="BB594">
            <v>0</v>
          </cell>
          <cell r="BC594">
            <v>1.7999999999999999E-2</v>
          </cell>
          <cell r="BD594">
            <v>38.42</v>
          </cell>
          <cell r="BE594">
            <v>3.3299999999999996E-2</v>
          </cell>
          <cell r="BF594">
            <v>78.61</v>
          </cell>
          <cell r="BG594">
            <v>3.4200000000000001E-2</v>
          </cell>
          <cell r="BH594">
            <v>92.72</v>
          </cell>
          <cell r="BI594">
            <v>1.7999999999999999E-2</v>
          </cell>
          <cell r="BJ594">
            <v>43.61</v>
          </cell>
          <cell r="BK594">
            <v>1.35E-2</v>
          </cell>
          <cell r="BL594">
            <v>36.6</v>
          </cell>
          <cell r="BM594">
            <v>4.5900000000000003E-2</v>
          </cell>
          <cell r="BN594">
            <v>101.07</v>
          </cell>
          <cell r="BO594">
            <v>6.3E-2</v>
          </cell>
          <cell r="BP594">
            <v>170.8</v>
          </cell>
          <cell r="BQ594">
            <v>0</v>
          </cell>
          <cell r="BR594">
            <v>0</v>
          </cell>
          <cell r="BS594">
            <v>0.18</v>
          </cell>
          <cell r="BT594">
            <v>459.44</v>
          </cell>
          <cell r="BU594">
            <v>2.1600000000000001E-2</v>
          </cell>
          <cell r="BV594">
            <v>46.34</v>
          </cell>
          <cell r="BW594">
            <v>7.1999999999999998E-3</v>
          </cell>
          <cell r="BX594">
            <v>15.48</v>
          </cell>
          <cell r="BY594">
            <v>8.9999999999999993E-3</v>
          </cell>
          <cell r="BZ594">
            <v>19.21</v>
          </cell>
          <cell r="CA594">
            <v>2.7000000000000001E-3</v>
          </cell>
          <cell r="CB594">
            <v>7.32</v>
          </cell>
          <cell r="CC594">
            <v>0</v>
          </cell>
          <cell r="CD594">
            <v>0</v>
          </cell>
          <cell r="CE594">
            <v>2.7900000000000001E-2</v>
          </cell>
          <cell r="CF594">
            <v>69.31</v>
          </cell>
          <cell r="CG594">
            <v>0</v>
          </cell>
          <cell r="CH594">
            <v>0</v>
          </cell>
          <cell r="CI594">
            <v>6.8400000000000002E-2</v>
          </cell>
          <cell r="CJ594">
            <v>157.66</v>
          </cell>
          <cell r="CK594">
            <v>0.24840000000000001</v>
          </cell>
          <cell r="CL594">
            <v>617.1</v>
          </cell>
          <cell r="CO594">
            <v>0</v>
          </cell>
          <cell r="CP594">
            <v>0</v>
          </cell>
          <cell r="CQ594">
            <v>0</v>
          </cell>
          <cell r="CR594">
            <v>0</v>
          </cell>
          <cell r="CS594">
            <v>0</v>
          </cell>
          <cell r="CT594">
            <v>0</v>
          </cell>
          <cell r="CU594">
            <v>8.7300000000000003E-2</v>
          </cell>
          <cell r="CV594">
            <v>201.83</v>
          </cell>
          <cell r="CW594">
            <v>0</v>
          </cell>
          <cell r="CX594">
            <v>0</v>
          </cell>
          <cell r="CY594">
            <v>0.09</v>
          </cell>
          <cell r="CZ594">
            <v>244</v>
          </cell>
          <cell r="DA594">
            <v>0</v>
          </cell>
          <cell r="DB594">
            <v>0</v>
          </cell>
          <cell r="DC594">
            <v>5.3999999999999999E-2</v>
          </cell>
          <cell r="DD594">
            <v>145.65</v>
          </cell>
          <cell r="DE594">
            <v>0.14399999999999999</v>
          </cell>
          <cell r="DF594">
            <v>389.65</v>
          </cell>
          <cell r="DG594">
            <v>2.3400000000000001E-2</v>
          </cell>
          <cell r="DH594">
            <v>50.36</v>
          </cell>
          <cell r="DI594">
            <v>1.26E-2</v>
          </cell>
          <cell r="DJ594">
            <v>30.48</v>
          </cell>
          <cell r="DK594">
            <v>8.9999999999999998E-4</v>
          </cell>
          <cell r="DL594">
            <v>2.44</v>
          </cell>
          <cell r="DM594">
            <v>3.6900000000000002E-2</v>
          </cell>
          <cell r="DN594">
            <v>83.28</v>
          </cell>
          <cell r="DO594">
            <v>5.2200000000000003E-2</v>
          </cell>
          <cell r="DP594">
            <v>116.17</v>
          </cell>
          <cell r="DQ594">
            <v>4.4999999999999997E-3</v>
          </cell>
          <cell r="DR594">
            <v>9.9</v>
          </cell>
          <cell r="DS594">
            <v>3.0599999999999999E-2</v>
          </cell>
          <cell r="DT594">
            <v>75.760000000000005</v>
          </cell>
          <cell r="DU594">
            <v>8.7300000000000003E-2</v>
          </cell>
          <cell r="DV594">
            <v>201.83</v>
          </cell>
          <cell r="DW594">
            <v>0.62009999999999998</v>
          </cell>
          <cell r="DX594">
            <v>1542.8600000000001</v>
          </cell>
          <cell r="DY594" t="str">
            <v/>
          </cell>
          <cell r="DZ594">
            <v>0</v>
          </cell>
          <cell r="EA594">
            <v>2488.0825673278505</v>
          </cell>
        </row>
        <row r="595">
          <cell r="B595">
            <v>132384</v>
          </cell>
          <cell r="C595" t="str">
            <v>CVENI SUPRA_BUGDAY GEVREGI_0.5KQ*10</v>
          </cell>
          <cell r="D595" t="str">
            <v>TON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5.0000000000000001E-3</v>
          </cell>
          <cell r="T595">
            <v>12.48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5.0000000000000001E-3</v>
          </cell>
          <cell r="Z595">
            <v>12.48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7.4999999999999997E-3</v>
          </cell>
          <cell r="AL595">
            <v>20.55</v>
          </cell>
          <cell r="AO595">
            <v>7.4999999999999997E-3</v>
          </cell>
          <cell r="AP595">
            <v>20.55</v>
          </cell>
          <cell r="AS595">
            <v>0</v>
          </cell>
          <cell r="AT595">
            <v>0</v>
          </cell>
          <cell r="AU595">
            <v>0.06</v>
          </cell>
          <cell r="AV595">
            <v>153.84</v>
          </cell>
          <cell r="AW595">
            <v>0</v>
          </cell>
          <cell r="AX595">
            <v>0</v>
          </cell>
          <cell r="AY595">
            <v>5.0000000000000001E-3</v>
          </cell>
          <cell r="AZ595">
            <v>12.48</v>
          </cell>
          <cell r="BA595">
            <v>0</v>
          </cell>
          <cell r="BB595">
            <v>0</v>
          </cell>
          <cell r="BC595">
            <v>4.4999999999999997E-3</v>
          </cell>
          <cell r="BD595">
            <v>10.91</v>
          </cell>
          <cell r="BE595">
            <v>9.4999999999999998E-3</v>
          </cell>
          <cell r="BF595">
            <v>23.39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1.8499999999999999E-2</v>
          </cell>
          <cell r="CF595">
            <v>45.21</v>
          </cell>
          <cell r="CG595">
            <v>0</v>
          </cell>
          <cell r="CH595">
            <v>0</v>
          </cell>
          <cell r="CI595">
            <v>1.8499999999999999E-2</v>
          </cell>
          <cell r="CJ595">
            <v>45.21</v>
          </cell>
          <cell r="CK595">
            <v>1.8499999999999999E-2</v>
          </cell>
          <cell r="CL595">
            <v>45.21</v>
          </cell>
          <cell r="CO595">
            <v>0</v>
          </cell>
          <cell r="CP595">
            <v>0</v>
          </cell>
          <cell r="CQ595">
            <v>0</v>
          </cell>
          <cell r="CR595">
            <v>0</v>
          </cell>
          <cell r="CS595">
            <v>0</v>
          </cell>
          <cell r="CT595">
            <v>0</v>
          </cell>
          <cell r="CU595">
            <v>6.4999999999999997E-3</v>
          </cell>
          <cell r="CV595">
            <v>16.59</v>
          </cell>
          <cell r="CW595">
            <v>0</v>
          </cell>
          <cell r="CX595">
            <v>0</v>
          </cell>
          <cell r="CY595">
            <v>0.01</v>
          </cell>
          <cell r="CZ595">
            <v>27.4</v>
          </cell>
          <cell r="DA595">
            <v>0</v>
          </cell>
          <cell r="DB595">
            <v>0</v>
          </cell>
          <cell r="DC595">
            <v>0</v>
          </cell>
          <cell r="DD595">
            <v>0</v>
          </cell>
          <cell r="DE595">
            <v>0.01</v>
          </cell>
          <cell r="DF595">
            <v>27.4</v>
          </cell>
          <cell r="DG595">
            <v>3.0000000000000001E-3</v>
          </cell>
          <cell r="DH595">
            <v>8.2200000000000006</v>
          </cell>
          <cell r="DI595">
            <v>0</v>
          </cell>
          <cell r="DJ595">
            <v>0</v>
          </cell>
          <cell r="DK595">
            <v>0</v>
          </cell>
          <cell r="DL595">
            <v>0</v>
          </cell>
          <cell r="DM595">
            <v>3.0000000000000001E-3</v>
          </cell>
          <cell r="DN595">
            <v>8.2200000000000006</v>
          </cell>
          <cell r="DO595">
            <v>6.4999999999999997E-3</v>
          </cell>
          <cell r="DP595">
            <v>16.59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6.4999999999999997E-3</v>
          </cell>
          <cell r="DV595">
            <v>16.59</v>
          </cell>
          <cell r="DW595">
            <v>0.06</v>
          </cell>
          <cell r="DX595">
            <v>153.83999999999997</v>
          </cell>
          <cell r="DY595" t="str">
            <v/>
          </cell>
          <cell r="DZ595">
            <v>0</v>
          </cell>
          <cell r="EA595">
            <v>2563.9999999999995</v>
          </cell>
        </row>
        <row r="596">
          <cell r="B596">
            <v>206856</v>
          </cell>
          <cell r="C596" t="str">
            <v>RICHMOND QRM MERCI_0.8KQ*12</v>
          </cell>
          <cell r="D596" t="str">
            <v>TON</v>
          </cell>
          <cell r="E596">
            <v>0</v>
          </cell>
          <cell r="F596">
            <v>0</v>
          </cell>
          <cell r="G596">
            <v>1.9199999999999998E-2</v>
          </cell>
          <cell r="H596">
            <v>144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O596">
            <v>1.9199999999999998E-2</v>
          </cell>
          <cell r="P596">
            <v>144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4.0000000000000001E-3</v>
          </cell>
          <cell r="AD596">
            <v>32.799999999999997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2.4E-2</v>
          </cell>
          <cell r="AJ596">
            <v>194.94</v>
          </cell>
          <cell r="AK596">
            <v>2.24E-2</v>
          </cell>
          <cell r="AL596">
            <v>177.71</v>
          </cell>
          <cell r="AO596">
            <v>5.04E-2</v>
          </cell>
          <cell r="AP596">
            <v>405.45000000000005</v>
          </cell>
          <cell r="AS596">
            <v>0</v>
          </cell>
          <cell r="AT596">
            <v>0</v>
          </cell>
          <cell r="AU596">
            <v>0.73680000000000001</v>
          </cell>
          <cell r="AV596">
            <v>5917.17</v>
          </cell>
          <cell r="AW596">
            <v>0</v>
          </cell>
          <cell r="AX596">
            <v>0</v>
          </cell>
          <cell r="AY596">
            <v>3.3599999999999998E-2</v>
          </cell>
          <cell r="AZ596">
            <v>275.52</v>
          </cell>
          <cell r="BA596">
            <v>0</v>
          </cell>
          <cell r="BB596">
            <v>0</v>
          </cell>
          <cell r="BC596">
            <v>1.44E-2</v>
          </cell>
          <cell r="BD596">
            <v>112.11</v>
          </cell>
          <cell r="BE596">
            <v>4.8000000000000001E-2</v>
          </cell>
          <cell r="BF596">
            <v>387.63</v>
          </cell>
          <cell r="BG596">
            <v>2.3999999999999998E-3</v>
          </cell>
          <cell r="BH596">
            <v>19.68</v>
          </cell>
          <cell r="BI596">
            <v>9.5999999999999992E-3</v>
          </cell>
          <cell r="BJ596">
            <v>78.72</v>
          </cell>
          <cell r="BK596">
            <v>8.0000000000000004E-4</v>
          </cell>
          <cell r="BL596">
            <v>6.56</v>
          </cell>
          <cell r="BM596">
            <v>8.0000000000000002E-3</v>
          </cell>
          <cell r="BN596">
            <v>65.599999999999994</v>
          </cell>
          <cell r="BO596">
            <v>2.8000000000000001E-2</v>
          </cell>
          <cell r="BP596">
            <v>229.6</v>
          </cell>
          <cell r="BQ596">
            <v>0</v>
          </cell>
          <cell r="BR596">
            <v>0</v>
          </cell>
          <cell r="BS596">
            <v>4.8800000000000003E-2</v>
          </cell>
          <cell r="BT596">
            <v>400.16</v>
          </cell>
          <cell r="BU596">
            <v>1.44E-2</v>
          </cell>
          <cell r="BV596">
            <v>111.38</v>
          </cell>
          <cell r="BW596">
            <v>1.6799999999999999E-2</v>
          </cell>
          <cell r="BX596">
            <v>127.88</v>
          </cell>
          <cell r="BY596">
            <v>1.04E-2</v>
          </cell>
          <cell r="BZ596">
            <v>85.28</v>
          </cell>
          <cell r="CA596">
            <v>5.7599999999999998E-2</v>
          </cell>
          <cell r="CB596">
            <v>472.32</v>
          </cell>
          <cell r="CC596">
            <v>9.5999999999999992E-3</v>
          </cell>
          <cell r="CD596">
            <v>78.72</v>
          </cell>
          <cell r="CE596">
            <v>7.6799999999999993E-2</v>
          </cell>
          <cell r="CF596">
            <v>626.04</v>
          </cell>
          <cell r="CG596">
            <v>0</v>
          </cell>
          <cell r="CH596">
            <v>0</v>
          </cell>
          <cell r="CI596">
            <v>0.18559999999999999</v>
          </cell>
          <cell r="CJ596">
            <v>1501.62</v>
          </cell>
          <cell r="CK596">
            <v>0.2344</v>
          </cell>
          <cell r="CL596">
            <v>1901.78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0.1384</v>
          </cell>
          <cell r="CV596">
            <v>1109.24</v>
          </cell>
          <cell r="CW596">
            <v>0</v>
          </cell>
          <cell r="CX596">
            <v>0</v>
          </cell>
          <cell r="CY596">
            <v>0.14399999999999999</v>
          </cell>
          <cell r="CZ596">
            <v>1177.08</v>
          </cell>
          <cell r="DA596">
            <v>1.7600000000000001E-2</v>
          </cell>
          <cell r="DB596">
            <v>144.32</v>
          </cell>
          <cell r="DC596">
            <v>4.8000000000000001E-2</v>
          </cell>
          <cell r="DD596">
            <v>352.5</v>
          </cell>
          <cell r="DE596">
            <v>0.20960000000000001</v>
          </cell>
          <cell r="DF596">
            <v>1673.8999999999999</v>
          </cell>
          <cell r="DG596">
            <v>2.8799999999999999E-2</v>
          </cell>
          <cell r="DH596">
            <v>230.19</v>
          </cell>
          <cell r="DI596">
            <v>4.7999999999999996E-3</v>
          </cell>
          <cell r="DJ596">
            <v>39.36</v>
          </cell>
          <cell r="DK596">
            <v>3.2000000000000002E-3</v>
          </cell>
          <cell r="DL596">
            <v>25.62</v>
          </cell>
          <cell r="DM596">
            <v>3.6799999999999999E-2</v>
          </cell>
          <cell r="DN596">
            <v>295.17</v>
          </cell>
          <cell r="DO596">
            <v>5.1999999999999998E-2</v>
          </cell>
          <cell r="DP596">
            <v>403.24</v>
          </cell>
          <cell r="DQ596">
            <v>3.04E-2</v>
          </cell>
          <cell r="DR596">
            <v>246.8</v>
          </cell>
          <cell r="DS596">
            <v>5.6000000000000001E-2</v>
          </cell>
          <cell r="DT596">
            <v>459.2</v>
          </cell>
          <cell r="DU596">
            <v>0.1384</v>
          </cell>
          <cell r="DV596">
            <v>1109.24</v>
          </cell>
          <cell r="DW596">
            <v>0.73680000000000001</v>
          </cell>
          <cell r="DX596">
            <v>5917.17</v>
          </cell>
          <cell r="DY596" t="str">
            <v/>
          </cell>
          <cell r="DZ596">
            <v>0</v>
          </cell>
          <cell r="EA596">
            <v>8030.9039087947885</v>
          </cell>
        </row>
        <row r="597">
          <cell r="B597">
            <v>206996</v>
          </cell>
          <cell r="C597" t="str">
            <v>RICHMOND YASIL MERCI_0.8KQ*12</v>
          </cell>
          <cell r="D597" t="str">
            <v>TON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9.5999999999999992E-3</v>
          </cell>
          <cell r="T597">
            <v>71.400000000000006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9.5999999999999992E-3</v>
          </cell>
          <cell r="Z597">
            <v>71.400000000000006</v>
          </cell>
          <cell r="AA597">
            <v>0</v>
          </cell>
          <cell r="AB597">
            <v>0</v>
          </cell>
          <cell r="AC597">
            <v>3.2000000000000002E-3</v>
          </cell>
          <cell r="AD597">
            <v>22.57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2.3999999999999998E-3</v>
          </cell>
          <cell r="AJ597">
            <v>18.75</v>
          </cell>
          <cell r="AK597">
            <v>1.7600000000000001E-2</v>
          </cell>
          <cell r="AL597">
            <v>137.5</v>
          </cell>
          <cell r="AO597">
            <v>2.3200000000000002E-2</v>
          </cell>
          <cell r="AP597">
            <v>178.82</v>
          </cell>
          <cell r="AS597">
            <v>0</v>
          </cell>
          <cell r="AT597">
            <v>0</v>
          </cell>
          <cell r="AU597">
            <v>0.16320000000000001</v>
          </cell>
          <cell r="AV597">
            <v>1287.6099999999999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2.3999999999999998E-3</v>
          </cell>
          <cell r="BL597">
            <v>18.75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2.3999999999999998E-3</v>
          </cell>
          <cell r="BT597">
            <v>18.75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8.0000000000000004E-4</v>
          </cell>
          <cell r="BZ597">
            <v>6.25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1.9199999999999998E-2</v>
          </cell>
          <cell r="CF597">
            <v>150</v>
          </cell>
          <cell r="CG597">
            <v>0</v>
          </cell>
          <cell r="CH597">
            <v>0</v>
          </cell>
          <cell r="CI597">
            <v>0.02</v>
          </cell>
          <cell r="CJ597">
            <v>156.25</v>
          </cell>
          <cell r="CK597">
            <v>2.24E-2</v>
          </cell>
          <cell r="CL597">
            <v>175</v>
          </cell>
          <cell r="CO597">
            <v>0</v>
          </cell>
          <cell r="CP597">
            <v>0</v>
          </cell>
          <cell r="CQ597">
            <v>0</v>
          </cell>
          <cell r="CR597">
            <v>0</v>
          </cell>
          <cell r="CS597">
            <v>0</v>
          </cell>
          <cell r="CT597">
            <v>0</v>
          </cell>
          <cell r="CU597">
            <v>3.2000000000000002E-3</v>
          </cell>
          <cell r="CV597">
            <v>25</v>
          </cell>
          <cell r="CW597">
            <v>0</v>
          </cell>
          <cell r="CX597">
            <v>0</v>
          </cell>
          <cell r="CY597">
            <v>6.7199999999999996E-2</v>
          </cell>
          <cell r="CZ597">
            <v>539.4</v>
          </cell>
          <cell r="DA597">
            <v>0</v>
          </cell>
          <cell r="DB597">
            <v>0</v>
          </cell>
          <cell r="DC597">
            <v>1.9199999999999998E-2</v>
          </cell>
          <cell r="DD597">
            <v>154.54</v>
          </cell>
          <cell r="DE597">
            <v>8.6399999999999991E-2</v>
          </cell>
          <cell r="DF597">
            <v>693.93999999999994</v>
          </cell>
          <cell r="DG597">
            <v>1.7600000000000001E-2</v>
          </cell>
          <cell r="DH597">
            <v>137.5</v>
          </cell>
          <cell r="DI597">
            <v>0</v>
          </cell>
          <cell r="DJ597">
            <v>0</v>
          </cell>
          <cell r="DK597">
            <v>8.0000000000000004E-4</v>
          </cell>
          <cell r="DL597">
            <v>5.95</v>
          </cell>
          <cell r="DM597">
            <v>1.84E-2</v>
          </cell>
          <cell r="DN597">
            <v>143.44999999999999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3.2000000000000002E-3</v>
          </cell>
          <cell r="DT597">
            <v>25</v>
          </cell>
          <cell r="DU597">
            <v>3.2000000000000002E-3</v>
          </cell>
          <cell r="DV597">
            <v>25</v>
          </cell>
          <cell r="DW597">
            <v>0.16319999999999998</v>
          </cell>
          <cell r="DX597">
            <v>1287.6099999999999</v>
          </cell>
          <cell r="DY597" t="str">
            <v/>
          </cell>
          <cell r="DZ597">
            <v>0</v>
          </cell>
          <cell r="EA597">
            <v>7889.7671568627457</v>
          </cell>
        </row>
        <row r="598">
          <cell r="B598">
            <v>186319</v>
          </cell>
          <cell r="C598" t="str">
            <v xml:space="preserve">RICHMOND NOXUD_0.8KQ*12_GRC </v>
          </cell>
          <cell r="D598" t="str">
            <v>TON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4.7999999999999996E-3</v>
          </cell>
          <cell r="AJ598">
            <v>16.8</v>
          </cell>
          <cell r="AK598">
            <v>0</v>
          </cell>
          <cell r="AL598">
            <v>0</v>
          </cell>
          <cell r="AO598">
            <v>4.7999999999999996E-3</v>
          </cell>
          <cell r="AP598">
            <v>16.8</v>
          </cell>
          <cell r="AS598">
            <v>0</v>
          </cell>
          <cell r="AT598">
            <v>0</v>
          </cell>
          <cell r="AU598">
            <v>7.1199999999999999E-2</v>
          </cell>
          <cell r="AV598">
            <v>273.5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4.8000000000000001E-2</v>
          </cell>
          <cell r="BN598">
            <v>186</v>
          </cell>
          <cell r="BO598">
            <v>9.5999999999999992E-3</v>
          </cell>
          <cell r="BP598">
            <v>37.200000000000003</v>
          </cell>
          <cell r="BQ598">
            <v>0</v>
          </cell>
          <cell r="BR598">
            <v>0</v>
          </cell>
          <cell r="BS598">
            <v>5.7599999999999998E-2</v>
          </cell>
          <cell r="BT598">
            <v>223.2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5.7599999999999998E-2</v>
          </cell>
          <cell r="CL598">
            <v>223.2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9.5999999999999992E-3</v>
          </cell>
          <cell r="DB598">
            <v>37.200000000000003</v>
          </cell>
          <cell r="DC598">
            <v>0</v>
          </cell>
          <cell r="DD598">
            <v>0</v>
          </cell>
          <cell r="DE598">
            <v>9.5999999999999992E-3</v>
          </cell>
          <cell r="DF598">
            <v>37.200000000000003</v>
          </cell>
          <cell r="DG598">
            <v>0</v>
          </cell>
          <cell r="DH598">
            <v>0</v>
          </cell>
          <cell r="DI598">
            <v>-2.3999999999999998E-3</v>
          </cell>
          <cell r="DJ598">
            <v>-9.3000000000000007</v>
          </cell>
          <cell r="DK598">
            <v>1.6000000000000001E-3</v>
          </cell>
          <cell r="DL598">
            <v>5.6</v>
          </cell>
          <cell r="DM598">
            <v>-8.0000000000000004E-4</v>
          </cell>
          <cell r="DN598">
            <v>-3.7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7.1199999999999999E-2</v>
          </cell>
          <cell r="DX598">
            <v>273.5</v>
          </cell>
          <cell r="DY598" t="str">
            <v/>
          </cell>
          <cell r="DZ598">
            <v>0</v>
          </cell>
          <cell r="EA598">
            <v>3841.2921348314608</v>
          </cell>
        </row>
        <row r="599">
          <cell r="B599">
            <v>187922</v>
          </cell>
          <cell r="C599" t="str">
            <v xml:space="preserve">RICHMOND QIRIQ NOXUD_0.8KQ*12_GRC </v>
          </cell>
          <cell r="D599" t="str">
            <v>TON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1.3599999999999999E-2</v>
          </cell>
          <cell r="AL599">
            <v>48.09</v>
          </cell>
          <cell r="AO599">
            <v>1.3599999999999999E-2</v>
          </cell>
          <cell r="AP599">
            <v>48.09</v>
          </cell>
          <cell r="AS599">
            <v>0</v>
          </cell>
          <cell r="AT599">
            <v>0</v>
          </cell>
          <cell r="AU599">
            <v>6.88E-2</v>
          </cell>
          <cell r="AV599">
            <v>250.39</v>
          </cell>
          <cell r="AW599">
            <v>0</v>
          </cell>
          <cell r="AX599">
            <v>0</v>
          </cell>
          <cell r="AY599">
            <v>9.5999999999999992E-3</v>
          </cell>
          <cell r="AZ599">
            <v>37.200000000000003</v>
          </cell>
          <cell r="BA599">
            <v>0</v>
          </cell>
          <cell r="BB599">
            <v>0</v>
          </cell>
          <cell r="BC599">
            <v>-1.6000000000000001E-3</v>
          </cell>
          <cell r="BD599">
            <v>-4.5999999999999996</v>
          </cell>
          <cell r="BE599">
            <v>7.9999999999999984E-3</v>
          </cell>
          <cell r="BF599">
            <v>32.6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4.7999999999999996E-3</v>
          </cell>
          <cell r="BV599">
            <v>16.3</v>
          </cell>
          <cell r="BW599">
            <v>9.5999999999999992E-3</v>
          </cell>
          <cell r="BX599">
            <v>32.590000000000003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1.9199999999999998E-2</v>
          </cell>
          <cell r="CF599">
            <v>72.599999999999994</v>
          </cell>
          <cell r="CG599">
            <v>0</v>
          </cell>
          <cell r="CH599">
            <v>0</v>
          </cell>
          <cell r="CI599">
            <v>3.3599999999999998E-2</v>
          </cell>
          <cell r="CJ599">
            <v>121.49</v>
          </cell>
          <cell r="CK599">
            <v>3.3599999999999998E-2</v>
          </cell>
          <cell r="CL599">
            <v>121.49</v>
          </cell>
          <cell r="CO599">
            <v>0</v>
          </cell>
          <cell r="CP599">
            <v>0</v>
          </cell>
          <cell r="CQ599">
            <v>0</v>
          </cell>
          <cell r="CR599">
            <v>0</v>
          </cell>
          <cell r="CS599">
            <v>0</v>
          </cell>
          <cell r="CT599">
            <v>0</v>
          </cell>
          <cell r="CU599">
            <v>4.7999999999999996E-3</v>
          </cell>
          <cell r="CV599">
            <v>17.7</v>
          </cell>
          <cell r="CW599">
            <v>0</v>
          </cell>
          <cell r="CX599">
            <v>0</v>
          </cell>
          <cell r="CY599">
            <v>0</v>
          </cell>
          <cell r="CZ599">
            <v>0</v>
          </cell>
          <cell r="DA599">
            <v>0</v>
          </cell>
          <cell r="DB599">
            <v>0</v>
          </cell>
          <cell r="DC599">
            <v>8.8000000000000005E-3</v>
          </cell>
          <cell r="DD599">
            <v>30.51</v>
          </cell>
          <cell r="DE599">
            <v>8.8000000000000005E-3</v>
          </cell>
          <cell r="DF599">
            <v>30.51</v>
          </cell>
          <cell r="DG599">
            <v>0</v>
          </cell>
          <cell r="DH599">
            <v>0</v>
          </cell>
          <cell r="DI599">
            <v>0</v>
          </cell>
          <cell r="DJ599">
            <v>0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2.3999999999999998E-3</v>
          </cell>
          <cell r="DP599">
            <v>9.3000000000000007</v>
          </cell>
          <cell r="DQ599">
            <v>2.3999999999999998E-3</v>
          </cell>
          <cell r="DR599">
            <v>8.4</v>
          </cell>
          <cell r="DS599">
            <v>0</v>
          </cell>
          <cell r="DT599">
            <v>0</v>
          </cell>
          <cell r="DU599">
            <v>4.7999999999999996E-3</v>
          </cell>
          <cell r="DV599">
            <v>17.7</v>
          </cell>
          <cell r="DW599">
            <v>6.88E-2</v>
          </cell>
          <cell r="DX599">
            <v>250.39</v>
          </cell>
          <cell r="DY599" t="str">
            <v/>
          </cell>
          <cell r="DZ599">
            <v>0</v>
          </cell>
          <cell r="EA599">
            <v>3639.3895348837209</v>
          </cell>
        </row>
        <row r="600">
          <cell r="B600">
            <v>130753</v>
          </cell>
          <cell r="C600" t="str">
            <v xml:space="preserve">CHVENI SUPRA NOHUT_0.9KQ*10_GRC </v>
          </cell>
          <cell r="D600" t="str">
            <v>TON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O600">
            <v>0</v>
          </cell>
          <cell r="AP600">
            <v>0</v>
          </cell>
          <cell r="AS600">
            <v>0</v>
          </cell>
          <cell r="AT600">
            <v>0</v>
          </cell>
          <cell r="AU600">
            <v>9.9000000000000008E-3</v>
          </cell>
          <cell r="AV600">
            <v>35.46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8.9999999999999998E-4</v>
          </cell>
          <cell r="BX600">
            <v>2.86</v>
          </cell>
          <cell r="BY600">
            <v>0</v>
          </cell>
          <cell r="BZ600">
            <v>0</v>
          </cell>
          <cell r="CA600">
            <v>8.9999999999999993E-3</v>
          </cell>
          <cell r="CB600">
            <v>32.6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9.9000000000000008E-3</v>
          </cell>
          <cell r="CJ600">
            <v>35.46</v>
          </cell>
          <cell r="CK600">
            <v>9.9000000000000008E-3</v>
          </cell>
          <cell r="CL600">
            <v>35.46</v>
          </cell>
          <cell r="CO600">
            <v>0</v>
          </cell>
          <cell r="CP600">
            <v>0</v>
          </cell>
          <cell r="CQ600">
            <v>0</v>
          </cell>
          <cell r="CR600">
            <v>0</v>
          </cell>
          <cell r="CS600">
            <v>0</v>
          </cell>
          <cell r="CT600">
            <v>0</v>
          </cell>
          <cell r="CU600">
            <v>0</v>
          </cell>
          <cell r="CV600">
            <v>0</v>
          </cell>
          <cell r="CW600">
            <v>0</v>
          </cell>
          <cell r="CX600">
            <v>0</v>
          </cell>
          <cell r="CY600">
            <v>0</v>
          </cell>
          <cell r="CZ600">
            <v>0</v>
          </cell>
          <cell r="DA600">
            <v>0</v>
          </cell>
          <cell r="DB600">
            <v>0</v>
          </cell>
          <cell r="DC600">
            <v>0</v>
          </cell>
          <cell r="DD600">
            <v>0</v>
          </cell>
          <cell r="DE600">
            <v>0</v>
          </cell>
          <cell r="DF600">
            <v>0</v>
          </cell>
          <cell r="DG600">
            <v>0</v>
          </cell>
          <cell r="DH600">
            <v>0</v>
          </cell>
          <cell r="DI600">
            <v>0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9.9000000000000008E-3</v>
          </cell>
          <cell r="DX600">
            <v>35.46</v>
          </cell>
          <cell r="DY600" t="str">
            <v/>
          </cell>
          <cell r="DZ600">
            <v>0</v>
          </cell>
          <cell r="EA600">
            <v>3581.8181818181815</v>
          </cell>
        </row>
        <row r="601">
          <cell r="B601">
            <v>128670</v>
          </cell>
          <cell r="C601" t="str">
            <v xml:space="preserve">CHVENI SUPRA LOBYA_0.9KG*10_GRC </v>
          </cell>
          <cell r="D601" t="str">
            <v>TON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O601">
            <v>0</v>
          </cell>
          <cell r="AP601">
            <v>0</v>
          </cell>
          <cell r="AS601">
            <v>0</v>
          </cell>
          <cell r="AT601">
            <v>0</v>
          </cell>
          <cell r="AU601">
            <v>-3.5999999999999999E-3</v>
          </cell>
          <cell r="AV601">
            <v>-23.4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-3.5999999999999999E-3</v>
          </cell>
          <cell r="BN601">
            <v>-23.4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-3.5999999999999999E-3</v>
          </cell>
          <cell r="BT601">
            <v>-23.4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-3.5999999999999999E-3</v>
          </cell>
          <cell r="CL601">
            <v>-23.4</v>
          </cell>
          <cell r="CO601">
            <v>0</v>
          </cell>
          <cell r="CP601">
            <v>0</v>
          </cell>
          <cell r="CQ601">
            <v>0</v>
          </cell>
          <cell r="CR601">
            <v>0</v>
          </cell>
          <cell r="CS601">
            <v>0</v>
          </cell>
          <cell r="CT601">
            <v>0</v>
          </cell>
          <cell r="CU601">
            <v>0</v>
          </cell>
          <cell r="CV601">
            <v>0</v>
          </cell>
          <cell r="CW601">
            <v>0</v>
          </cell>
          <cell r="CX601">
            <v>0</v>
          </cell>
          <cell r="CY601">
            <v>0</v>
          </cell>
          <cell r="CZ601">
            <v>0</v>
          </cell>
          <cell r="DA601">
            <v>0</v>
          </cell>
          <cell r="DB601">
            <v>0</v>
          </cell>
          <cell r="DC601">
            <v>0</v>
          </cell>
          <cell r="DD601">
            <v>0</v>
          </cell>
          <cell r="DE601">
            <v>0</v>
          </cell>
          <cell r="DF601">
            <v>0</v>
          </cell>
          <cell r="DG601">
            <v>0</v>
          </cell>
          <cell r="DH601">
            <v>0</v>
          </cell>
          <cell r="DI601">
            <v>0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-3.5999999999999999E-3</v>
          </cell>
          <cell r="DX601">
            <v>-23.4</v>
          </cell>
          <cell r="DY601" t="str">
            <v/>
          </cell>
          <cell r="DZ601">
            <v>0</v>
          </cell>
          <cell r="EA601">
            <v>6500</v>
          </cell>
        </row>
        <row r="602">
          <cell r="B602">
            <v>186320</v>
          </cell>
          <cell r="C602" t="str">
            <v xml:space="preserve">RICHMOND LOBYA_0.8KQ*12_GRC </v>
          </cell>
          <cell r="D602" t="str">
            <v>TON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4.0000000000000001E-3</v>
          </cell>
          <cell r="AD602">
            <v>28.9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O602">
            <v>4.0000000000000001E-3</v>
          </cell>
          <cell r="AP602">
            <v>28.9</v>
          </cell>
          <cell r="AS602">
            <v>0</v>
          </cell>
          <cell r="AT602">
            <v>0</v>
          </cell>
          <cell r="AU602">
            <v>6.2399999999999997E-2</v>
          </cell>
          <cell r="AV602">
            <v>444.84</v>
          </cell>
          <cell r="AW602">
            <v>0</v>
          </cell>
          <cell r="AX602">
            <v>0</v>
          </cell>
          <cell r="AY602">
            <v>9.5999999999999992E-3</v>
          </cell>
          <cell r="AZ602">
            <v>63.36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9.5999999999999992E-3</v>
          </cell>
          <cell r="BF602">
            <v>63.36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9.5999999999999992E-3</v>
          </cell>
          <cell r="CD602">
            <v>69.36</v>
          </cell>
          <cell r="CE602">
            <v>9.5999999999999992E-3</v>
          </cell>
          <cell r="CF602">
            <v>69.36</v>
          </cell>
          <cell r="CG602">
            <v>0</v>
          </cell>
          <cell r="CH602">
            <v>0</v>
          </cell>
          <cell r="CI602">
            <v>1.9199999999999998E-2</v>
          </cell>
          <cell r="CJ602">
            <v>138.72</v>
          </cell>
          <cell r="CK602">
            <v>1.9199999999999998E-2</v>
          </cell>
          <cell r="CL602">
            <v>138.72</v>
          </cell>
          <cell r="CO602">
            <v>0</v>
          </cell>
          <cell r="CP602">
            <v>0</v>
          </cell>
          <cell r="CQ602">
            <v>0</v>
          </cell>
          <cell r="CR602">
            <v>0</v>
          </cell>
          <cell r="CS602">
            <v>0</v>
          </cell>
          <cell r="CT602">
            <v>0</v>
          </cell>
          <cell r="CU602">
            <v>1.44E-2</v>
          </cell>
          <cell r="CV602">
            <v>104.04</v>
          </cell>
          <cell r="CW602">
            <v>0</v>
          </cell>
          <cell r="CX602">
            <v>0</v>
          </cell>
          <cell r="CY602">
            <v>9.5999999999999992E-3</v>
          </cell>
          <cell r="CZ602">
            <v>69.36</v>
          </cell>
          <cell r="DA602">
            <v>0</v>
          </cell>
          <cell r="DB602">
            <v>0</v>
          </cell>
          <cell r="DC602">
            <v>0</v>
          </cell>
          <cell r="DD602">
            <v>0</v>
          </cell>
          <cell r="DE602">
            <v>9.5999999999999992E-3</v>
          </cell>
          <cell r="DF602">
            <v>69.36</v>
          </cell>
          <cell r="DG602">
            <v>5.5999999999999999E-3</v>
          </cell>
          <cell r="DH602">
            <v>40.46</v>
          </cell>
          <cell r="DI602">
            <v>0</v>
          </cell>
          <cell r="DJ602">
            <v>0</v>
          </cell>
          <cell r="DK602">
            <v>0</v>
          </cell>
          <cell r="DL602">
            <v>0</v>
          </cell>
          <cell r="DM602">
            <v>5.5999999999999999E-3</v>
          </cell>
          <cell r="DN602">
            <v>40.46</v>
          </cell>
          <cell r="DO602">
            <v>0</v>
          </cell>
          <cell r="DP602">
            <v>0</v>
          </cell>
          <cell r="DQ602">
            <v>9.5999999999999992E-3</v>
          </cell>
          <cell r="DR602">
            <v>69.36</v>
          </cell>
          <cell r="DS602">
            <v>4.7999999999999996E-3</v>
          </cell>
          <cell r="DT602">
            <v>34.68</v>
          </cell>
          <cell r="DU602">
            <v>1.44E-2</v>
          </cell>
          <cell r="DV602">
            <v>104.04</v>
          </cell>
          <cell r="DW602">
            <v>6.2399999999999997E-2</v>
          </cell>
          <cell r="DX602">
            <v>444.84000000000003</v>
          </cell>
          <cell r="DY602" t="str">
            <v/>
          </cell>
          <cell r="DZ602">
            <v>0</v>
          </cell>
          <cell r="EA602">
            <v>7128.8461538461543</v>
          </cell>
        </row>
        <row r="603">
          <cell r="B603">
            <v>348314</v>
          </cell>
          <cell r="C603" t="str">
            <v>სიმინდი  ბატი-ბუტისთვი_რიჩმონდი_0.8კგ*12</v>
          </cell>
          <cell r="D603" t="str">
            <v>TON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O603">
            <v>0</v>
          </cell>
          <cell r="AP603">
            <v>0</v>
          </cell>
          <cell r="AS603">
            <v>0</v>
          </cell>
          <cell r="AT603">
            <v>0</v>
          </cell>
          <cell r="AU603">
            <v>3.3599999999999998E-2</v>
          </cell>
          <cell r="AV603">
            <v>195.8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4.7999999999999996E-3</v>
          </cell>
          <cell r="BV603">
            <v>26.48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9.5999999999999992E-3</v>
          </cell>
          <cell r="CF603">
            <v>54.6</v>
          </cell>
          <cell r="CG603">
            <v>0</v>
          </cell>
          <cell r="CH603">
            <v>0</v>
          </cell>
          <cell r="CI603">
            <v>1.44E-2</v>
          </cell>
          <cell r="CJ603">
            <v>81.08</v>
          </cell>
          <cell r="CK603">
            <v>1.44E-2</v>
          </cell>
          <cell r="CL603">
            <v>81.08</v>
          </cell>
          <cell r="CO603">
            <v>0</v>
          </cell>
          <cell r="CP603">
            <v>0</v>
          </cell>
          <cell r="CQ603">
            <v>0</v>
          </cell>
          <cell r="CR603">
            <v>0</v>
          </cell>
          <cell r="CS603">
            <v>0</v>
          </cell>
          <cell r="CT603">
            <v>0</v>
          </cell>
          <cell r="CU603">
            <v>0</v>
          </cell>
          <cell r="CV603">
            <v>0</v>
          </cell>
          <cell r="CW603">
            <v>0</v>
          </cell>
          <cell r="CX603">
            <v>0</v>
          </cell>
          <cell r="CY603">
            <v>1.9199999999999998E-2</v>
          </cell>
          <cell r="CZ603">
            <v>114.72</v>
          </cell>
          <cell r="DA603">
            <v>0</v>
          </cell>
          <cell r="DB603">
            <v>0</v>
          </cell>
          <cell r="DC603">
            <v>0</v>
          </cell>
          <cell r="DD603">
            <v>0</v>
          </cell>
          <cell r="DE603">
            <v>1.9199999999999998E-2</v>
          </cell>
          <cell r="DF603">
            <v>114.72</v>
          </cell>
          <cell r="DG603">
            <v>0</v>
          </cell>
          <cell r="DH603">
            <v>0</v>
          </cell>
          <cell r="DI603">
            <v>0</v>
          </cell>
          <cell r="DJ603">
            <v>0</v>
          </cell>
          <cell r="DK603">
            <v>0</v>
          </cell>
          <cell r="DL603">
            <v>0</v>
          </cell>
          <cell r="DM603">
            <v>0</v>
          </cell>
          <cell r="DN603">
            <v>0</v>
          </cell>
          <cell r="DO603">
            <v>0</v>
          </cell>
          <cell r="DP603">
            <v>0</v>
          </cell>
          <cell r="DQ603">
            <v>0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3.3599999999999998E-2</v>
          </cell>
          <cell r="DX603">
            <v>195.8</v>
          </cell>
          <cell r="DY603" t="str">
            <v/>
          </cell>
          <cell r="DZ603">
            <v>0</v>
          </cell>
          <cell r="EA603">
            <v>5827.3809523809532</v>
          </cell>
        </row>
        <row r="604">
          <cell r="B604">
            <v>0</v>
          </cell>
          <cell r="C604" t="str">
            <v>COMMODITY</v>
          </cell>
          <cell r="D604" t="str">
            <v>TON</v>
          </cell>
          <cell r="E604">
            <v>8.9999999999999993E-3</v>
          </cell>
          <cell r="F604">
            <v>19.010000000000002</v>
          </cell>
          <cell r="G604">
            <v>1.9199999999999998E-2</v>
          </cell>
          <cell r="H604">
            <v>144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O604">
            <v>2.8199999999999996E-2</v>
          </cell>
          <cell r="P604">
            <v>163.01</v>
          </cell>
          <cell r="Q604">
            <v>0</v>
          </cell>
          <cell r="R604">
            <v>0</v>
          </cell>
          <cell r="S604">
            <v>2.5999999999999995E-2</v>
          </cell>
          <cell r="T604">
            <v>125.44000000000001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2.5999999999999995E-2</v>
          </cell>
          <cell r="Z604">
            <v>125.44000000000001</v>
          </cell>
          <cell r="AA604">
            <v>0</v>
          </cell>
          <cell r="AB604">
            <v>0</v>
          </cell>
          <cell r="AC604">
            <v>2.5600000000000001E-2</v>
          </cell>
          <cell r="AD604">
            <v>122.88</v>
          </cell>
          <cell r="AE604">
            <v>1.8E-3</v>
          </cell>
          <cell r="AF604">
            <v>3.72</v>
          </cell>
          <cell r="AG604">
            <v>9.9000000000000008E-3</v>
          </cell>
          <cell r="AH604">
            <v>26.47</v>
          </cell>
          <cell r="AI604">
            <v>4.2900000000000001E-2</v>
          </cell>
          <cell r="AJ604">
            <v>262.20999999999998</v>
          </cell>
          <cell r="AK604">
            <v>7.5499999999999998E-2</v>
          </cell>
          <cell r="AL604">
            <v>417.70000000000005</v>
          </cell>
          <cell r="AO604">
            <v>0.15570000000000001</v>
          </cell>
          <cell r="AP604">
            <v>832.98</v>
          </cell>
          <cell r="AS604">
            <v>0</v>
          </cell>
          <cell r="AT604">
            <v>0</v>
          </cell>
          <cell r="AU604">
            <v>1.9119999999999999</v>
          </cell>
          <cell r="AV604">
            <v>10932.929999999998</v>
          </cell>
          <cell r="AW604">
            <v>0</v>
          </cell>
          <cell r="AX604">
            <v>0</v>
          </cell>
          <cell r="AY604">
            <v>0.10189999999999999</v>
          </cell>
          <cell r="AZ604">
            <v>713.39</v>
          </cell>
          <cell r="BA604">
            <v>0</v>
          </cell>
          <cell r="BB604">
            <v>0</v>
          </cell>
          <cell r="BC604">
            <v>3.5300000000000005E-2</v>
          </cell>
          <cell r="BD604">
            <v>156.84</v>
          </cell>
          <cell r="BE604">
            <v>0.13719999999999999</v>
          </cell>
          <cell r="BF604">
            <v>870.23</v>
          </cell>
          <cell r="BG604">
            <v>3.6600000000000001E-2</v>
          </cell>
          <cell r="BH604">
            <v>112.4</v>
          </cell>
          <cell r="BI604">
            <v>2.76E-2</v>
          </cell>
          <cell r="BJ604">
            <v>122.33</v>
          </cell>
          <cell r="BK604">
            <v>1.67E-2</v>
          </cell>
          <cell r="BL604">
            <v>61.910000000000004</v>
          </cell>
          <cell r="BM604">
            <v>9.8299999999999998E-2</v>
          </cell>
          <cell r="BN604">
            <v>329.27</v>
          </cell>
          <cell r="BO604">
            <v>0.10059999999999999</v>
          </cell>
          <cell r="BP604">
            <v>437.59999999999997</v>
          </cell>
          <cell r="BQ604">
            <v>0</v>
          </cell>
          <cell r="BR604">
            <v>0</v>
          </cell>
          <cell r="BS604">
            <v>0.28520000000000001</v>
          </cell>
          <cell r="BT604">
            <v>1078.1499999999999</v>
          </cell>
          <cell r="BU604">
            <v>4.5600000000000002E-2</v>
          </cell>
          <cell r="BV604">
            <v>200.5</v>
          </cell>
          <cell r="BW604">
            <v>3.4499999999999996E-2</v>
          </cell>
          <cell r="BX604">
            <v>178.81</v>
          </cell>
          <cell r="BY604">
            <v>2.0199999999999999E-2</v>
          </cell>
          <cell r="BZ604">
            <v>110.74000000000001</v>
          </cell>
          <cell r="CA604">
            <v>6.93E-2</v>
          </cell>
          <cell r="CB604">
            <v>512.24</v>
          </cell>
          <cell r="CC604">
            <v>1.9199999999999998E-2</v>
          </cell>
          <cell r="CD604">
            <v>148.07999999999998</v>
          </cell>
          <cell r="CE604">
            <v>0.19119999999999998</v>
          </cell>
          <cell r="CF604">
            <v>1183.2099999999998</v>
          </cell>
          <cell r="CG604">
            <v>0</v>
          </cell>
          <cell r="CH604">
            <v>0</v>
          </cell>
          <cell r="CI604">
            <v>0.38000000000000006</v>
          </cell>
          <cell r="CJ604">
            <v>2333.5799999999995</v>
          </cell>
          <cell r="CK604">
            <v>0.6651999999999999</v>
          </cell>
          <cell r="CL604">
            <v>3411.7299999999996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0.26420000000000005</v>
          </cell>
          <cell r="CV604">
            <v>1563.68</v>
          </cell>
          <cell r="CW604">
            <v>0</v>
          </cell>
          <cell r="CX604">
            <v>0</v>
          </cell>
          <cell r="CY604">
            <v>0.35919999999999996</v>
          </cell>
          <cell r="CZ604">
            <v>2367.3199999999997</v>
          </cell>
          <cell r="DA604">
            <v>2.7200000000000002E-2</v>
          </cell>
          <cell r="DB604">
            <v>181.51999999999998</v>
          </cell>
          <cell r="DC604">
            <v>0.1492</v>
          </cell>
          <cell r="DD604">
            <v>850.14</v>
          </cell>
          <cell r="DE604">
            <v>0.53560000000000008</v>
          </cell>
          <cell r="DF604">
            <v>3398.98</v>
          </cell>
          <cell r="DG604">
            <v>7.8399999999999997E-2</v>
          </cell>
          <cell r="DH604">
            <v>466.72999999999996</v>
          </cell>
          <cell r="DI604">
            <v>1.4999999999999999E-2</v>
          </cell>
          <cell r="DJ604">
            <v>60.540000000000006</v>
          </cell>
          <cell r="DK604">
            <v>6.5000000000000006E-3</v>
          </cell>
          <cell r="DL604">
            <v>39.610000000000007</v>
          </cell>
          <cell r="DM604">
            <v>9.9900000000000003E-2</v>
          </cell>
          <cell r="DN604">
            <v>566.88</v>
          </cell>
          <cell r="DO604">
            <v>0.11309999999999999</v>
          </cell>
          <cell r="DP604">
            <v>545.29999999999995</v>
          </cell>
          <cell r="DQ604">
            <v>5.6499999999999995E-2</v>
          </cell>
          <cell r="DR604">
            <v>423.74</v>
          </cell>
          <cell r="DS604">
            <v>9.459999999999999E-2</v>
          </cell>
          <cell r="DT604">
            <v>594.64</v>
          </cell>
          <cell r="DU604">
            <v>0.26420000000000005</v>
          </cell>
          <cell r="DV604">
            <v>1563.68</v>
          </cell>
          <cell r="DW604">
            <v>1.9119999999999999</v>
          </cell>
          <cell r="DX604">
            <v>10932.929999999998</v>
          </cell>
          <cell r="DY604" t="str">
            <v/>
          </cell>
          <cell r="DZ604">
            <v>0</v>
          </cell>
          <cell r="EA604">
            <v>5718.0596234309614</v>
          </cell>
        </row>
        <row r="605">
          <cell r="B605">
            <v>126840</v>
          </cell>
          <cell r="C605" t="str">
            <v>UZUM KURUSU-10KQ_IRAN FGRCO</v>
          </cell>
          <cell r="D605" t="str">
            <v>TON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O605">
            <v>0</v>
          </cell>
          <cell r="AP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O605">
            <v>0</v>
          </cell>
          <cell r="CP605">
            <v>0</v>
          </cell>
          <cell r="CQ605">
            <v>0</v>
          </cell>
          <cell r="CR605">
            <v>0</v>
          </cell>
          <cell r="CS605">
            <v>0</v>
          </cell>
          <cell r="CT605">
            <v>0</v>
          </cell>
          <cell r="CU605">
            <v>0</v>
          </cell>
          <cell r="CV605">
            <v>0</v>
          </cell>
          <cell r="CW605">
            <v>0</v>
          </cell>
          <cell r="CX605">
            <v>0</v>
          </cell>
          <cell r="CY605">
            <v>0</v>
          </cell>
          <cell r="CZ605">
            <v>0</v>
          </cell>
          <cell r="DA605">
            <v>0</v>
          </cell>
          <cell r="DB605">
            <v>0</v>
          </cell>
          <cell r="DC605">
            <v>0</v>
          </cell>
          <cell r="DD605">
            <v>0</v>
          </cell>
          <cell r="DE605">
            <v>0</v>
          </cell>
          <cell r="DF605">
            <v>0</v>
          </cell>
          <cell r="DG605">
            <v>0</v>
          </cell>
          <cell r="DH605">
            <v>0</v>
          </cell>
          <cell r="DI605">
            <v>0</v>
          </cell>
          <cell r="DJ605">
            <v>0</v>
          </cell>
          <cell r="DK605">
            <v>0</v>
          </cell>
          <cell r="DL605">
            <v>0</v>
          </cell>
          <cell r="DM605">
            <v>0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  <cell r="DX605">
            <v>0</v>
          </cell>
          <cell r="DZ605" t="str">
            <v>pasiv</v>
          </cell>
          <cell r="EA605" t="e">
            <v>#DIV/0!</v>
          </cell>
        </row>
        <row r="606">
          <cell r="B606">
            <v>348413</v>
          </cell>
          <cell r="C606" t="str">
            <v>ქიშმიში_თეთრი_სულთანი_200გ*20</v>
          </cell>
          <cell r="D606" t="str">
            <v>TON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O606">
            <v>0</v>
          </cell>
          <cell r="AP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O606">
            <v>0</v>
          </cell>
          <cell r="CP606">
            <v>0</v>
          </cell>
          <cell r="CQ606">
            <v>0</v>
          </cell>
          <cell r="CR606">
            <v>0</v>
          </cell>
          <cell r="CS606">
            <v>0</v>
          </cell>
          <cell r="CT606">
            <v>0</v>
          </cell>
          <cell r="CU606">
            <v>0</v>
          </cell>
          <cell r="CV606">
            <v>0</v>
          </cell>
          <cell r="CW606">
            <v>0</v>
          </cell>
          <cell r="CX606">
            <v>0</v>
          </cell>
          <cell r="CY606">
            <v>0</v>
          </cell>
          <cell r="CZ606">
            <v>0</v>
          </cell>
          <cell r="DA606">
            <v>0</v>
          </cell>
          <cell r="DB606">
            <v>0</v>
          </cell>
          <cell r="DC606">
            <v>0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  <cell r="DH606">
            <v>0</v>
          </cell>
          <cell r="DI606">
            <v>0</v>
          </cell>
          <cell r="DJ606">
            <v>0</v>
          </cell>
          <cell r="DK606">
            <v>0</v>
          </cell>
          <cell r="DL606">
            <v>0</v>
          </cell>
          <cell r="DM606">
            <v>0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  <cell r="DX606">
            <v>0</v>
          </cell>
          <cell r="DZ606" t="str">
            <v>pasiv</v>
          </cell>
          <cell r="EA606" t="e">
            <v>#DIV/0!</v>
          </cell>
        </row>
        <row r="607">
          <cell r="A607">
            <v>53</v>
          </cell>
          <cell r="C607" t="str">
            <v>UZUM KURUSU</v>
          </cell>
          <cell r="D607" t="str">
            <v>TON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O607">
            <v>0</v>
          </cell>
          <cell r="AP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O607">
            <v>0</v>
          </cell>
          <cell r="CP607">
            <v>0</v>
          </cell>
          <cell r="CQ607">
            <v>0</v>
          </cell>
          <cell r="CR607">
            <v>0</v>
          </cell>
          <cell r="CS607">
            <v>0</v>
          </cell>
          <cell r="CT607">
            <v>0</v>
          </cell>
          <cell r="CU607">
            <v>0</v>
          </cell>
          <cell r="CV607">
            <v>0</v>
          </cell>
          <cell r="CW607">
            <v>0</v>
          </cell>
          <cell r="CX607">
            <v>0</v>
          </cell>
          <cell r="CY607">
            <v>0</v>
          </cell>
          <cell r="CZ607">
            <v>0</v>
          </cell>
          <cell r="DA607">
            <v>0</v>
          </cell>
          <cell r="DB607">
            <v>0</v>
          </cell>
          <cell r="DC607">
            <v>0</v>
          </cell>
          <cell r="DD607">
            <v>0</v>
          </cell>
          <cell r="DE607">
            <v>0</v>
          </cell>
          <cell r="DF607">
            <v>0</v>
          </cell>
          <cell r="DG607">
            <v>0</v>
          </cell>
          <cell r="DH607">
            <v>0</v>
          </cell>
          <cell r="DI607">
            <v>0</v>
          </cell>
          <cell r="DJ607">
            <v>0</v>
          </cell>
          <cell r="DK607">
            <v>0</v>
          </cell>
          <cell r="DL607">
            <v>0</v>
          </cell>
          <cell r="DM607">
            <v>0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  <cell r="DX607">
            <v>0</v>
          </cell>
          <cell r="DZ607" t="str">
            <v>pasiv</v>
          </cell>
          <cell r="EA607" t="e">
            <v>#DIV/0!</v>
          </cell>
        </row>
        <row r="608">
          <cell r="B608">
            <v>75080</v>
          </cell>
          <cell r="C608" t="str">
            <v>SAVILLE MAKARON KEPENEK_500 GR*20</v>
          </cell>
          <cell r="D608" t="str">
            <v>TON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O608">
            <v>0</v>
          </cell>
          <cell r="P608">
            <v>0</v>
          </cell>
          <cell r="Q608">
            <v>0.03</v>
          </cell>
          <cell r="R608">
            <v>112.32</v>
          </cell>
          <cell r="S608">
            <v>0.01</v>
          </cell>
          <cell r="T608">
            <v>37.83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0.04</v>
          </cell>
          <cell r="Z608">
            <v>150.14999999999998</v>
          </cell>
          <cell r="AA608">
            <v>0</v>
          </cell>
          <cell r="AB608">
            <v>0</v>
          </cell>
          <cell r="AC608">
            <v>3.5000000000000001E-3</v>
          </cell>
          <cell r="AD608">
            <v>14.35</v>
          </cell>
          <cell r="AE608">
            <v>1E-3</v>
          </cell>
          <cell r="AF608">
            <v>3.67</v>
          </cell>
          <cell r="AG608">
            <v>5.0000000000000001E-3</v>
          </cell>
          <cell r="AH608">
            <v>20.5</v>
          </cell>
          <cell r="AI608">
            <v>2.5000000000000001E-3</v>
          </cell>
          <cell r="AJ608">
            <v>10.25</v>
          </cell>
          <cell r="AK608">
            <v>1.2999999999999999E-2</v>
          </cell>
          <cell r="AL608">
            <v>51.72</v>
          </cell>
          <cell r="AO608">
            <v>2.5000000000000001E-2</v>
          </cell>
          <cell r="AP608">
            <v>100.49</v>
          </cell>
          <cell r="AS608">
            <v>0</v>
          </cell>
          <cell r="AT608">
            <v>0</v>
          </cell>
          <cell r="AU608">
            <v>0.49399999999999999</v>
          </cell>
          <cell r="AV608">
            <v>1952.16</v>
          </cell>
          <cell r="AW608">
            <v>0</v>
          </cell>
          <cell r="AX608">
            <v>0</v>
          </cell>
          <cell r="AY608">
            <v>0.01</v>
          </cell>
          <cell r="AZ608">
            <v>41</v>
          </cell>
          <cell r="BA608">
            <v>0</v>
          </cell>
          <cell r="BB608">
            <v>0</v>
          </cell>
          <cell r="BC608">
            <v>1.95E-2</v>
          </cell>
          <cell r="BD608">
            <v>74.7</v>
          </cell>
          <cell r="BE608">
            <v>2.9499999999999998E-2</v>
          </cell>
          <cell r="BF608">
            <v>115.7</v>
          </cell>
          <cell r="BG608">
            <v>4.0000000000000001E-3</v>
          </cell>
          <cell r="BH608">
            <v>16.399999999999999</v>
          </cell>
          <cell r="BI608">
            <v>0.03</v>
          </cell>
          <cell r="BJ608">
            <v>112.71</v>
          </cell>
          <cell r="BK608">
            <v>8.9999999999999993E-3</v>
          </cell>
          <cell r="BL608">
            <v>35.32</v>
          </cell>
          <cell r="BM608">
            <v>1.2500000000000001E-2</v>
          </cell>
          <cell r="BN608">
            <v>50.46</v>
          </cell>
          <cell r="BO608">
            <v>4.7500000000000001E-2</v>
          </cell>
          <cell r="BP608">
            <v>192.67</v>
          </cell>
          <cell r="BQ608">
            <v>0</v>
          </cell>
          <cell r="BR608">
            <v>0</v>
          </cell>
          <cell r="BS608">
            <v>0.1055</v>
          </cell>
          <cell r="BT608">
            <v>417.81</v>
          </cell>
          <cell r="BU608">
            <v>2.9499999999999998E-2</v>
          </cell>
          <cell r="BV608">
            <v>111.89</v>
          </cell>
          <cell r="BW608">
            <v>1.2500000000000001E-2</v>
          </cell>
          <cell r="BX608">
            <v>47.29</v>
          </cell>
          <cell r="BY608">
            <v>2.5999999999999999E-2</v>
          </cell>
          <cell r="BZ608">
            <v>98.7</v>
          </cell>
          <cell r="CA608">
            <v>8.5000000000000006E-3</v>
          </cell>
          <cell r="CB608">
            <v>34.85</v>
          </cell>
          <cell r="CC608">
            <v>0</v>
          </cell>
          <cell r="CD608">
            <v>0</v>
          </cell>
          <cell r="CE608">
            <v>1.7000000000000001E-2</v>
          </cell>
          <cell r="CF608">
            <v>67.66</v>
          </cell>
          <cell r="CG608">
            <v>0</v>
          </cell>
          <cell r="CH608">
            <v>0</v>
          </cell>
          <cell r="CI608">
            <v>9.35E-2</v>
          </cell>
          <cell r="CJ608">
            <v>360.39</v>
          </cell>
          <cell r="CK608">
            <v>0.19900000000000001</v>
          </cell>
          <cell r="CL608">
            <v>778.2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0.122</v>
          </cell>
          <cell r="CV608">
            <v>485.33</v>
          </cell>
          <cell r="CW608">
            <v>0</v>
          </cell>
          <cell r="CX608">
            <v>0</v>
          </cell>
          <cell r="CY608">
            <v>0.05</v>
          </cell>
          <cell r="CZ608">
            <v>210</v>
          </cell>
          <cell r="DA608">
            <v>-5.0000000000000001E-4</v>
          </cell>
          <cell r="DB608">
            <v>-2.0499999999999998</v>
          </cell>
          <cell r="DC608">
            <v>0</v>
          </cell>
          <cell r="DD608">
            <v>0</v>
          </cell>
          <cell r="DE608">
            <v>4.9500000000000002E-2</v>
          </cell>
          <cell r="DF608">
            <v>207.95</v>
          </cell>
          <cell r="DG608">
            <v>1.2999999999999999E-2</v>
          </cell>
          <cell r="DH608">
            <v>49.74</v>
          </cell>
          <cell r="DI608">
            <v>7.0000000000000001E-3</v>
          </cell>
          <cell r="DJ608">
            <v>28.4</v>
          </cell>
          <cell r="DK608">
            <v>8.9999999999999993E-3</v>
          </cell>
          <cell r="DL608">
            <v>36.200000000000003</v>
          </cell>
          <cell r="DM608">
            <v>2.9000000000000001E-2</v>
          </cell>
          <cell r="DN608">
            <v>114.34</v>
          </cell>
          <cell r="DO608">
            <v>2.1999999999999999E-2</v>
          </cell>
          <cell r="DP608">
            <v>87.83</v>
          </cell>
          <cell r="DQ608">
            <v>5.0000000000000001E-3</v>
          </cell>
          <cell r="DR608">
            <v>20.5</v>
          </cell>
          <cell r="DS608">
            <v>9.5000000000000001E-2</v>
          </cell>
          <cell r="DT608">
            <v>377</v>
          </cell>
          <cell r="DU608">
            <v>0.122</v>
          </cell>
          <cell r="DV608">
            <v>485.33</v>
          </cell>
          <cell r="DW608">
            <v>0.49400000000000005</v>
          </cell>
          <cell r="DX608">
            <v>1952.1599999999999</v>
          </cell>
          <cell r="DY608" t="str">
            <v/>
          </cell>
          <cell r="DZ608">
            <v>0</v>
          </cell>
          <cell r="EA608">
            <v>3951.7408906882583</v>
          </cell>
        </row>
        <row r="609">
          <cell r="B609">
            <v>75081</v>
          </cell>
          <cell r="C609" t="str">
            <v>SAVILLE MAKARON SPAGETTI_500 GR*20</v>
          </cell>
          <cell r="D609" t="str">
            <v>TON</v>
          </cell>
          <cell r="E609">
            <v>0</v>
          </cell>
          <cell r="F609">
            <v>0</v>
          </cell>
          <cell r="G609">
            <v>1E-3</v>
          </cell>
          <cell r="H609">
            <v>3.78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O609">
            <v>1E-3</v>
          </cell>
          <cell r="P609">
            <v>3.78</v>
          </cell>
          <cell r="Q609">
            <v>0.04</v>
          </cell>
          <cell r="R609">
            <v>149.76</v>
          </cell>
          <cell r="S609">
            <v>0.04</v>
          </cell>
          <cell r="T609">
            <v>147.81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0.08</v>
          </cell>
          <cell r="Z609">
            <v>297.57</v>
          </cell>
          <cell r="AA609">
            <v>0</v>
          </cell>
          <cell r="AB609">
            <v>0</v>
          </cell>
          <cell r="AC609">
            <v>4.4999999999999997E-3</v>
          </cell>
          <cell r="AD609">
            <v>18.45</v>
          </cell>
          <cell r="AE609">
            <v>0</v>
          </cell>
          <cell r="AF609">
            <v>0</v>
          </cell>
          <cell r="AG609">
            <v>1.4999999999999999E-2</v>
          </cell>
          <cell r="AH609">
            <v>61.5</v>
          </cell>
          <cell r="AI609">
            <v>3.3500000000000002E-2</v>
          </cell>
          <cell r="AJ609">
            <v>137.35</v>
          </cell>
          <cell r="AK609">
            <v>3.2000000000000001E-2</v>
          </cell>
          <cell r="AL609">
            <v>125.45</v>
          </cell>
          <cell r="AO609">
            <v>8.5000000000000006E-2</v>
          </cell>
          <cell r="AP609">
            <v>342.75</v>
          </cell>
          <cell r="AS609">
            <v>0</v>
          </cell>
          <cell r="AT609">
            <v>0</v>
          </cell>
          <cell r="AU609">
            <v>0.92100000000000004</v>
          </cell>
          <cell r="AV609">
            <v>3623.55</v>
          </cell>
          <cell r="AW609">
            <v>0</v>
          </cell>
          <cell r="AX609">
            <v>0</v>
          </cell>
          <cell r="AY609">
            <v>0.02</v>
          </cell>
          <cell r="AZ609">
            <v>82</v>
          </cell>
          <cell r="BA609">
            <v>0</v>
          </cell>
          <cell r="BB609">
            <v>0</v>
          </cell>
          <cell r="BC609">
            <v>2.1499999999999998E-2</v>
          </cell>
          <cell r="BD609">
            <v>84.48</v>
          </cell>
          <cell r="BE609">
            <v>4.1499999999999995E-2</v>
          </cell>
          <cell r="BF609">
            <v>166.48000000000002</v>
          </cell>
          <cell r="BG609">
            <v>0.05</v>
          </cell>
          <cell r="BH609">
            <v>201</v>
          </cell>
          <cell r="BI609">
            <v>0.06</v>
          </cell>
          <cell r="BJ609">
            <v>224.64</v>
          </cell>
          <cell r="BK609">
            <v>1.4E-2</v>
          </cell>
          <cell r="BL609">
            <v>55.82</v>
          </cell>
          <cell r="BM609">
            <v>1.2500000000000001E-2</v>
          </cell>
          <cell r="BN609">
            <v>49.67</v>
          </cell>
          <cell r="BO609">
            <v>5.1499999999999997E-2</v>
          </cell>
          <cell r="BP609">
            <v>210.55</v>
          </cell>
          <cell r="BQ609">
            <v>0</v>
          </cell>
          <cell r="BR609">
            <v>0</v>
          </cell>
          <cell r="BS609">
            <v>0.1905</v>
          </cell>
          <cell r="BT609">
            <v>751.93</v>
          </cell>
          <cell r="BU609">
            <v>3.2000000000000001E-2</v>
          </cell>
          <cell r="BV609">
            <v>121.35</v>
          </cell>
          <cell r="BW609">
            <v>1.2500000000000001E-2</v>
          </cell>
          <cell r="BX609">
            <v>47.58</v>
          </cell>
          <cell r="BY609">
            <v>1.4E-2</v>
          </cell>
          <cell r="BZ609">
            <v>55.4</v>
          </cell>
          <cell r="CA609">
            <v>7.4999999999999997E-3</v>
          </cell>
          <cell r="CB609">
            <v>30.75</v>
          </cell>
          <cell r="CC609">
            <v>0</v>
          </cell>
          <cell r="CD609">
            <v>0</v>
          </cell>
          <cell r="CE609">
            <v>5.0000000000000001E-4</v>
          </cell>
          <cell r="CF609">
            <v>1.83</v>
          </cell>
          <cell r="CG609">
            <v>0</v>
          </cell>
          <cell r="CH609">
            <v>0</v>
          </cell>
          <cell r="CI609">
            <v>6.6500000000000004E-2</v>
          </cell>
          <cell r="CJ609">
            <v>256.91000000000003</v>
          </cell>
          <cell r="CK609">
            <v>0.25700000000000001</v>
          </cell>
          <cell r="CL609">
            <v>1008.8399999999999</v>
          </cell>
          <cell r="CO609">
            <v>0</v>
          </cell>
          <cell r="CP609">
            <v>0</v>
          </cell>
          <cell r="CQ609">
            <v>0</v>
          </cell>
          <cell r="CR609">
            <v>0</v>
          </cell>
          <cell r="CS609">
            <v>0</v>
          </cell>
          <cell r="CT609">
            <v>0</v>
          </cell>
          <cell r="CU609">
            <v>0.36249999999999999</v>
          </cell>
          <cell r="CV609">
            <v>1422.89</v>
          </cell>
          <cell r="CW609">
            <v>0</v>
          </cell>
          <cell r="CX609">
            <v>0</v>
          </cell>
          <cell r="CY609">
            <v>0.03</v>
          </cell>
          <cell r="CZ609">
            <v>126</v>
          </cell>
          <cell r="DA609">
            <v>5.0000000000000001E-3</v>
          </cell>
          <cell r="DB609">
            <v>20.5</v>
          </cell>
          <cell r="DC609">
            <v>0</v>
          </cell>
          <cell r="DD609">
            <v>0</v>
          </cell>
          <cell r="DE609">
            <v>3.4999999999999996E-2</v>
          </cell>
          <cell r="DF609">
            <v>146.5</v>
          </cell>
          <cell r="DG609">
            <v>2.5000000000000001E-2</v>
          </cell>
          <cell r="DH609">
            <v>98.94</v>
          </cell>
          <cell r="DI609">
            <v>1.95E-2</v>
          </cell>
          <cell r="DJ609">
            <v>78.25</v>
          </cell>
          <cell r="DK609">
            <v>1.4500000000000001E-2</v>
          </cell>
          <cell r="DL609">
            <v>57.55</v>
          </cell>
          <cell r="DM609">
            <v>5.8999999999999997E-2</v>
          </cell>
          <cell r="DN609">
            <v>234.74</v>
          </cell>
          <cell r="DO609">
            <v>0.04</v>
          </cell>
          <cell r="DP609">
            <v>157.66</v>
          </cell>
          <cell r="DQ609">
            <v>5.0000000000000001E-3</v>
          </cell>
          <cell r="DR609">
            <v>20.5</v>
          </cell>
          <cell r="DS609">
            <v>0.3175</v>
          </cell>
          <cell r="DT609">
            <v>1244.73</v>
          </cell>
          <cell r="DU609">
            <v>0.36249999999999999</v>
          </cell>
          <cell r="DV609">
            <v>1422.89</v>
          </cell>
          <cell r="DW609">
            <v>0.92099999999999993</v>
          </cell>
          <cell r="DX609">
            <v>3623.5500000000006</v>
          </cell>
          <cell r="DY609" t="str">
            <v/>
          </cell>
          <cell r="DZ609">
            <v>0</v>
          </cell>
          <cell r="EA609">
            <v>3934.3648208469067</v>
          </cell>
        </row>
        <row r="610">
          <cell r="B610">
            <v>75082</v>
          </cell>
          <cell r="C610" t="str">
            <v>SAVILLE MAKARON LINGUINE_500 GR*20</v>
          </cell>
          <cell r="D610" t="str">
            <v>TON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0.01</v>
          </cell>
          <cell r="AD610">
            <v>41</v>
          </cell>
          <cell r="AE610">
            <v>1E-3</v>
          </cell>
          <cell r="AF610">
            <v>3.67</v>
          </cell>
          <cell r="AG610">
            <v>1.6E-2</v>
          </cell>
          <cell r="AH610">
            <v>65.599999999999994</v>
          </cell>
          <cell r="AI610">
            <v>2.7E-2</v>
          </cell>
          <cell r="AJ610">
            <v>110.7</v>
          </cell>
          <cell r="AK610">
            <v>2E-3</v>
          </cell>
          <cell r="AL610">
            <v>8.1999999999999993</v>
          </cell>
          <cell r="AO610">
            <v>5.6000000000000001E-2</v>
          </cell>
          <cell r="AP610">
            <v>229.17</v>
          </cell>
          <cell r="AS610">
            <v>0</v>
          </cell>
          <cell r="AT610">
            <v>0</v>
          </cell>
          <cell r="AU610">
            <v>0.26100000000000001</v>
          </cell>
          <cell r="AV610">
            <v>1069.5</v>
          </cell>
          <cell r="AW610">
            <v>0</v>
          </cell>
          <cell r="AX610">
            <v>0</v>
          </cell>
          <cell r="AY610">
            <v>0.02</v>
          </cell>
          <cell r="AZ610">
            <v>82</v>
          </cell>
          <cell r="BA610">
            <v>0</v>
          </cell>
          <cell r="BB610">
            <v>0</v>
          </cell>
          <cell r="BC610">
            <v>3.0000000000000001E-3</v>
          </cell>
          <cell r="BD610">
            <v>12.3</v>
          </cell>
          <cell r="BE610">
            <v>2.3E-2</v>
          </cell>
          <cell r="BF610">
            <v>94.3</v>
          </cell>
          <cell r="BG610">
            <v>4.0000000000000001E-3</v>
          </cell>
          <cell r="BH610">
            <v>16.399999999999999</v>
          </cell>
          <cell r="BI610">
            <v>0</v>
          </cell>
          <cell r="BJ610">
            <v>0</v>
          </cell>
          <cell r="BK610">
            <v>9.4999999999999998E-3</v>
          </cell>
          <cell r="BL610">
            <v>38.950000000000003</v>
          </cell>
          <cell r="BM610">
            <v>3.3000000000000002E-2</v>
          </cell>
          <cell r="BN610">
            <v>135.30000000000001</v>
          </cell>
          <cell r="BO610">
            <v>1.2999999999999999E-2</v>
          </cell>
          <cell r="BP610">
            <v>53.3</v>
          </cell>
          <cell r="BQ610">
            <v>0</v>
          </cell>
          <cell r="BR610">
            <v>0</v>
          </cell>
          <cell r="BS610">
            <v>6.2E-2</v>
          </cell>
          <cell r="BT610">
            <v>254.2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0.01</v>
          </cell>
          <cell r="BZ610">
            <v>39</v>
          </cell>
          <cell r="CA610">
            <v>5.0000000000000001E-3</v>
          </cell>
          <cell r="CB610">
            <v>20.5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1.4999999999999999E-2</v>
          </cell>
          <cell r="CJ610">
            <v>59.5</v>
          </cell>
          <cell r="CK610">
            <v>7.6999999999999999E-2</v>
          </cell>
          <cell r="CL610">
            <v>313.7</v>
          </cell>
          <cell r="CO610">
            <v>0</v>
          </cell>
          <cell r="CP610">
            <v>0</v>
          </cell>
          <cell r="CQ610">
            <v>0</v>
          </cell>
          <cell r="CR610">
            <v>0</v>
          </cell>
          <cell r="CS610">
            <v>0</v>
          </cell>
          <cell r="CT610">
            <v>0</v>
          </cell>
          <cell r="CU610">
            <v>3.5000000000000003E-2</v>
          </cell>
          <cell r="CV610">
            <v>143.5</v>
          </cell>
          <cell r="CW610">
            <v>0</v>
          </cell>
          <cell r="CX610">
            <v>0</v>
          </cell>
          <cell r="CY610">
            <v>0.05</v>
          </cell>
          <cell r="CZ610">
            <v>210</v>
          </cell>
          <cell r="DA610">
            <v>0</v>
          </cell>
          <cell r="DB610">
            <v>0</v>
          </cell>
          <cell r="DC610">
            <v>0</v>
          </cell>
          <cell r="DD610">
            <v>0</v>
          </cell>
          <cell r="DE610">
            <v>0.05</v>
          </cell>
          <cell r="DF610">
            <v>210</v>
          </cell>
          <cell r="DG610">
            <v>1.4999999999999999E-2</v>
          </cell>
          <cell r="DH610">
            <v>58.33</v>
          </cell>
          <cell r="DI610">
            <v>0</v>
          </cell>
          <cell r="DJ610">
            <v>0</v>
          </cell>
          <cell r="DK610">
            <v>5.0000000000000001E-3</v>
          </cell>
          <cell r="DL610">
            <v>20.5</v>
          </cell>
          <cell r="DM610">
            <v>0.02</v>
          </cell>
          <cell r="DN610">
            <v>78.83</v>
          </cell>
          <cell r="DO610">
            <v>5.0000000000000001E-3</v>
          </cell>
          <cell r="DP610">
            <v>20.5</v>
          </cell>
          <cell r="DQ610">
            <v>5.0000000000000001E-3</v>
          </cell>
          <cell r="DR610">
            <v>20.5</v>
          </cell>
          <cell r="DS610">
            <v>2.5000000000000001E-2</v>
          </cell>
          <cell r="DT610">
            <v>102.5</v>
          </cell>
          <cell r="DU610">
            <v>3.5000000000000003E-2</v>
          </cell>
          <cell r="DV610">
            <v>143.5</v>
          </cell>
          <cell r="DW610">
            <v>0.26100000000000001</v>
          </cell>
          <cell r="DX610">
            <v>1069.5</v>
          </cell>
          <cell r="DY610" t="str">
            <v/>
          </cell>
          <cell r="DZ610">
            <v>0</v>
          </cell>
          <cell r="EA610">
            <v>4097.7011494252874</v>
          </cell>
        </row>
        <row r="611">
          <cell r="B611">
            <v>75083</v>
          </cell>
          <cell r="C611" t="str">
            <v>SAVILLE MAKARON QELEM KESME_500 GR*20</v>
          </cell>
          <cell r="D611" t="str">
            <v>TON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O611">
            <v>0</v>
          </cell>
          <cell r="P611">
            <v>0</v>
          </cell>
          <cell r="Q611">
            <v>0.03</v>
          </cell>
          <cell r="R611">
            <v>112.32</v>
          </cell>
          <cell r="S611">
            <v>0.01</v>
          </cell>
          <cell r="T611">
            <v>37.83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0.04</v>
          </cell>
          <cell r="Z611">
            <v>150.14999999999998</v>
          </cell>
          <cell r="AA611">
            <v>0</v>
          </cell>
          <cell r="AB611">
            <v>0</v>
          </cell>
          <cell r="AC611">
            <v>-1E-3</v>
          </cell>
          <cell r="AD611">
            <v>-4.0999999999999996</v>
          </cell>
          <cell r="AE611">
            <v>0</v>
          </cell>
          <cell r="AF611">
            <v>0</v>
          </cell>
          <cell r="AG611">
            <v>0.01</v>
          </cell>
          <cell r="AH611">
            <v>41</v>
          </cell>
          <cell r="AI611">
            <v>5.0000000000000001E-3</v>
          </cell>
          <cell r="AJ611">
            <v>20.5</v>
          </cell>
          <cell r="AK611">
            <v>7.4999999999999997E-3</v>
          </cell>
          <cell r="AL611">
            <v>28.67</v>
          </cell>
          <cell r="AO611">
            <v>2.1500000000000002E-2</v>
          </cell>
          <cell r="AP611">
            <v>86.07</v>
          </cell>
          <cell r="AS611">
            <v>0</v>
          </cell>
          <cell r="AT611">
            <v>0</v>
          </cell>
          <cell r="AU611">
            <v>0.61599999999999999</v>
          </cell>
          <cell r="AV611">
            <v>2417.6799999999998</v>
          </cell>
          <cell r="AW611">
            <v>0</v>
          </cell>
          <cell r="AX611">
            <v>0</v>
          </cell>
          <cell r="AY611">
            <v>8.9999999999999993E-3</v>
          </cell>
          <cell r="AZ611">
            <v>36.9</v>
          </cell>
          <cell r="BA611">
            <v>0</v>
          </cell>
          <cell r="BB611">
            <v>0</v>
          </cell>
          <cell r="BC611">
            <v>1.7500000000000002E-2</v>
          </cell>
          <cell r="BD611">
            <v>66.5</v>
          </cell>
          <cell r="BE611">
            <v>2.6500000000000003E-2</v>
          </cell>
          <cell r="BF611">
            <v>103.4</v>
          </cell>
          <cell r="BG611">
            <v>1.15E-2</v>
          </cell>
          <cell r="BH611">
            <v>45.65</v>
          </cell>
          <cell r="BI611">
            <v>3.5000000000000003E-2</v>
          </cell>
          <cell r="BJ611">
            <v>131.63</v>
          </cell>
          <cell r="BK611">
            <v>7.0000000000000001E-3</v>
          </cell>
          <cell r="BL611">
            <v>27.12</v>
          </cell>
          <cell r="BM611">
            <v>2.1499999999999998E-2</v>
          </cell>
          <cell r="BN611">
            <v>87.36</v>
          </cell>
          <cell r="BO611">
            <v>2.75E-2</v>
          </cell>
          <cell r="BP611">
            <v>112.75</v>
          </cell>
          <cell r="BQ611">
            <v>0</v>
          </cell>
          <cell r="BR611">
            <v>0</v>
          </cell>
          <cell r="BS611">
            <v>0.105</v>
          </cell>
          <cell r="BT611">
            <v>414.76</v>
          </cell>
          <cell r="BU611">
            <v>2.9000000000000001E-2</v>
          </cell>
          <cell r="BV611">
            <v>110</v>
          </cell>
          <cell r="BW611">
            <v>5.0000000000000001E-3</v>
          </cell>
          <cell r="BX611">
            <v>18.920000000000002</v>
          </cell>
          <cell r="BY611">
            <v>1.4500000000000001E-2</v>
          </cell>
          <cell r="BZ611">
            <v>57.45</v>
          </cell>
          <cell r="CA611">
            <v>8.5000000000000006E-3</v>
          </cell>
          <cell r="CB611">
            <v>34.85</v>
          </cell>
          <cell r="CC611">
            <v>2.5000000000000001E-3</v>
          </cell>
          <cell r="CD611">
            <v>9.75</v>
          </cell>
          <cell r="CE611">
            <v>9.4999999999999998E-3</v>
          </cell>
          <cell r="CF611">
            <v>34.86</v>
          </cell>
          <cell r="CG611">
            <v>0</v>
          </cell>
          <cell r="CH611">
            <v>0</v>
          </cell>
          <cell r="CI611">
            <v>6.9000000000000006E-2</v>
          </cell>
          <cell r="CJ611">
            <v>265.83</v>
          </cell>
          <cell r="CK611">
            <v>0.17399999999999999</v>
          </cell>
          <cell r="CL611">
            <v>680.58999999999992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0.26550000000000001</v>
          </cell>
          <cell r="CV611">
            <v>1041.05</v>
          </cell>
          <cell r="CW611">
            <v>0</v>
          </cell>
          <cell r="CX611">
            <v>0</v>
          </cell>
          <cell r="CY611">
            <v>0.03</v>
          </cell>
          <cell r="CZ611">
            <v>126</v>
          </cell>
          <cell r="DA611">
            <v>5.0000000000000001E-3</v>
          </cell>
          <cell r="DB611">
            <v>20.5</v>
          </cell>
          <cell r="DC611">
            <v>0</v>
          </cell>
          <cell r="DD611">
            <v>0</v>
          </cell>
          <cell r="DE611">
            <v>3.4999999999999996E-2</v>
          </cell>
          <cell r="DF611">
            <v>146.5</v>
          </cell>
          <cell r="DG611">
            <v>2.4E-2</v>
          </cell>
          <cell r="DH611">
            <v>91.47</v>
          </cell>
          <cell r="DI611">
            <v>1.55E-2</v>
          </cell>
          <cell r="DJ611">
            <v>62.85</v>
          </cell>
          <cell r="DK611">
            <v>1.4E-2</v>
          </cell>
          <cell r="DL611">
            <v>55.6</v>
          </cell>
          <cell r="DM611">
            <v>5.3499999999999999E-2</v>
          </cell>
          <cell r="DN611">
            <v>209.92</v>
          </cell>
          <cell r="DO611">
            <v>1.35E-2</v>
          </cell>
          <cell r="DP611">
            <v>54.87</v>
          </cell>
          <cell r="DQ611">
            <v>0</v>
          </cell>
          <cell r="DR611">
            <v>0</v>
          </cell>
          <cell r="DS611">
            <v>0.252</v>
          </cell>
          <cell r="DT611">
            <v>986.18</v>
          </cell>
          <cell r="DU611">
            <v>0.26550000000000001</v>
          </cell>
          <cell r="DV611">
            <v>1041.05</v>
          </cell>
          <cell r="DW611">
            <v>0.61599999999999999</v>
          </cell>
          <cell r="DX611">
            <v>2417.6799999999998</v>
          </cell>
          <cell r="DY611" t="str">
            <v/>
          </cell>
          <cell r="DZ611">
            <v>0</v>
          </cell>
          <cell r="EA611">
            <v>3924.8051948051948</v>
          </cell>
        </row>
        <row r="612">
          <cell r="B612">
            <v>75084</v>
          </cell>
          <cell r="C612" t="str">
            <v>SAVILLE MAKARON BURGULU_500 GR*20</v>
          </cell>
          <cell r="D612" t="str">
            <v>TON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O612">
            <v>0</v>
          </cell>
          <cell r="P612">
            <v>0</v>
          </cell>
          <cell r="Q612">
            <v>0.03</v>
          </cell>
          <cell r="R612">
            <v>112.32</v>
          </cell>
          <cell r="S612">
            <v>0.01</v>
          </cell>
          <cell r="T612">
            <v>37.83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0.04</v>
          </cell>
          <cell r="Z612">
            <v>150.14999999999998</v>
          </cell>
          <cell r="AA612">
            <v>0</v>
          </cell>
          <cell r="AB612">
            <v>0</v>
          </cell>
          <cell r="AC612">
            <v>-5.0000000000000001E-4</v>
          </cell>
          <cell r="AD612">
            <v>-2.58</v>
          </cell>
          <cell r="AE612">
            <v>1.5E-3</v>
          </cell>
          <cell r="AF612">
            <v>5.5</v>
          </cell>
          <cell r="AG612">
            <v>1.4999999999999999E-2</v>
          </cell>
          <cell r="AH612">
            <v>61.5</v>
          </cell>
          <cell r="AI612">
            <v>4.4999999999999997E-3</v>
          </cell>
          <cell r="AJ612">
            <v>18.45</v>
          </cell>
          <cell r="AK612">
            <v>0.01</v>
          </cell>
          <cell r="AL612">
            <v>38.47</v>
          </cell>
          <cell r="AO612">
            <v>3.0499999999999999E-2</v>
          </cell>
          <cell r="AP612">
            <v>121.34</v>
          </cell>
          <cell r="AS612">
            <v>0</v>
          </cell>
          <cell r="AT612">
            <v>0</v>
          </cell>
          <cell r="AU612">
            <v>0.45100000000000001</v>
          </cell>
          <cell r="AV612">
            <v>1773.95</v>
          </cell>
          <cell r="AW612">
            <v>0</v>
          </cell>
          <cell r="AX612">
            <v>0</v>
          </cell>
          <cell r="AY612">
            <v>0.01</v>
          </cell>
          <cell r="AZ612">
            <v>41</v>
          </cell>
          <cell r="BA612">
            <v>0</v>
          </cell>
          <cell r="BB612">
            <v>0</v>
          </cell>
          <cell r="BC612">
            <v>0.01</v>
          </cell>
          <cell r="BD612">
            <v>37.83</v>
          </cell>
          <cell r="BE612">
            <v>0.02</v>
          </cell>
          <cell r="BF612">
            <v>78.83</v>
          </cell>
          <cell r="BG612">
            <v>1.0500000000000001E-2</v>
          </cell>
          <cell r="BH612">
            <v>41.55</v>
          </cell>
          <cell r="BI612">
            <v>3.5000000000000003E-2</v>
          </cell>
          <cell r="BJ612">
            <v>131.63</v>
          </cell>
          <cell r="BK612">
            <v>1.35E-2</v>
          </cell>
          <cell r="BL612">
            <v>53.77</v>
          </cell>
          <cell r="BM612">
            <v>1.0500000000000001E-2</v>
          </cell>
          <cell r="BN612">
            <v>42.26</v>
          </cell>
          <cell r="BO612">
            <v>4.3999999999999997E-2</v>
          </cell>
          <cell r="BP612">
            <v>179.9</v>
          </cell>
          <cell r="BQ612">
            <v>0</v>
          </cell>
          <cell r="BR612">
            <v>0</v>
          </cell>
          <cell r="BS612">
            <v>0.11600000000000001</v>
          </cell>
          <cell r="BT612">
            <v>459.36</v>
          </cell>
          <cell r="BU612">
            <v>3.6999999999999998E-2</v>
          </cell>
          <cell r="BV612">
            <v>140.27000000000001</v>
          </cell>
          <cell r="BW612">
            <v>1.7500000000000002E-2</v>
          </cell>
          <cell r="BX612">
            <v>66.5</v>
          </cell>
          <cell r="BY612">
            <v>1.4999999999999999E-2</v>
          </cell>
          <cell r="BZ612">
            <v>57.16</v>
          </cell>
          <cell r="CA612">
            <v>8.9999999999999993E-3</v>
          </cell>
          <cell r="CB612">
            <v>36.9</v>
          </cell>
          <cell r="CC612">
            <v>2.5000000000000001E-3</v>
          </cell>
          <cell r="CD612">
            <v>9.75</v>
          </cell>
          <cell r="CE612">
            <v>0.02</v>
          </cell>
          <cell r="CF612">
            <v>78.66</v>
          </cell>
          <cell r="CG612">
            <v>0</v>
          </cell>
          <cell r="CH612">
            <v>0</v>
          </cell>
          <cell r="CI612">
            <v>0.10100000000000001</v>
          </cell>
          <cell r="CJ612">
            <v>389.24</v>
          </cell>
          <cell r="CK612">
            <v>0.21700000000000003</v>
          </cell>
          <cell r="CL612">
            <v>848.6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6.4000000000000001E-2</v>
          </cell>
          <cell r="CV612">
            <v>250.14</v>
          </cell>
          <cell r="CW612">
            <v>0</v>
          </cell>
          <cell r="CX612">
            <v>0</v>
          </cell>
          <cell r="CY612">
            <v>0.04</v>
          </cell>
          <cell r="CZ612">
            <v>168</v>
          </cell>
          <cell r="DA612">
            <v>6.0000000000000001E-3</v>
          </cell>
          <cell r="DB612">
            <v>24.6</v>
          </cell>
          <cell r="DC612">
            <v>0</v>
          </cell>
          <cell r="DD612">
            <v>0</v>
          </cell>
          <cell r="DE612">
            <v>4.5999999999999999E-2</v>
          </cell>
          <cell r="DF612">
            <v>192.6</v>
          </cell>
          <cell r="DG612">
            <v>1.6500000000000001E-2</v>
          </cell>
          <cell r="DH612">
            <v>63.79</v>
          </cell>
          <cell r="DI612">
            <v>9.4999999999999998E-3</v>
          </cell>
          <cell r="DJ612">
            <v>38.75</v>
          </cell>
          <cell r="DK612">
            <v>7.4999999999999997E-3</v>
          </cell>
          <cell r="DL612">
            <v>29.75</v>
          </cell>
          <cell r="DM612">
            <v>3.3500000000000002E-2</v>
          </cell>
          <cell r="DN612">
            <v>132.29</v>
          </cell>
          <cell r="DO612">
            <v>1.9E-2</v>
          </cell>
          <cell r="DP612">
            <v>76.319999999999993</v>
          </cell>
          <cell r="DQ612">
            <v>0</v>
          </cell>
          <cell r="DR612">
            <v>0</v>
          </cell>
          <cell r="DS612">
            <v>4.4999999999999998E-2</v>
          </cell>
          <cell r="DT612">
            <v>173.82</v>
          </cell>
          <cell r="DU612">
            <v>6.4000000000000001E-2</v>
          </cell>
          <cell r="DV612">
            <v>250.14</v>
          </cell>
          <cell r="DW612">
            <v>0.45100000000000001</v>
          </cell>
          <cell r="DX612">
            <v>1773.9499999999998</v>
          </cell>
          <cell r="DY612" t="str">
            <v/>
          </cell>
          <cell r="DZ612">
            <v>0</v>
          </cell>
          <cell r="EA612">
            <v>3933.3702882483367</v>
          </cell>
        </row>
        <row r="613">
          <cell r="B613">
            <v>79795</v>
          </cell>
          <cell r="C613" t="str">
            <v>SAVILLE MAKARON QELEM KESME_5 KG</v>
          </cell>
          <cell r="D613" t="str">
            <v>TON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O613">
            <v>0</v>
          </cell>
          <cell r="AP613">
            <v>0</v>
          </cell>
          <cell r="AS613">
            <v>0</v>
          </cell>
          <cell r="AT613">
            <v>0</v>
          </cell>
          <cell r="AU613">
            <v>3.5000000000000003E-2</v>
          </cell>
          <cell r="AV613">
            <v>121.48</v>
          </cell>
          <cell r="AW613">
            <v>0</v>
          </cell>
          <cell r="AX613">
            <v>0</v>
          </cell>
          <cell r="AY613">
            <v>-5.0000000000000001E-3</v>
          </cell>
          <cell r="AZ613">
            <v>-20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-5.0000000000000001E-3</v>
          </cell>
          <cell r="BF613">
            <v>-20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0.01</v>
          </cell>
          <cell r="BZ613">
            <v>34.56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0.02</v>
          </cell>
          <cell r="CH613">
            <v>69.12</v>
          </cell>
          <cell r="CI613">
            <v>0.03</v>
          </cell>
          <cell r="CJ613">
            <v>103.68</v>
          </cell>
          <cell r="CK613">
            <v>0.03</v>
          </cell>
          <cell r="CL613">
            <v>103.68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0.01</v>
          </cell>
          <cell r="DB613">
            <v>37.799999999999997</v>
          </cell>
          <cell r="DC613">
            <v>0</v>
          </cell>
          <cell r="DD613">
            <v>0</v>
          </cell>
          <cell r="DE613">
            <v>0.01</v>
          </cell>
          <cell r="DF613">
            <v>37.799999999999997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3.5000000000000003E-2</v>
          </cell>
          <cell r="DX613">
            <v>121.48000000000002</v>
          </cell>
          <cell r="DY613" t="str">
            <v/>
          </cell>
          <cell r="DZ613">
            <v>0</v>
          </cell>
          <cell r="EA613">
            <v>3470.8571428571431</v>
          </cell>
        </row>
        <row r="614">
          <cell r="B614">
            <v>79796</v>
          </cell>
          <cell r="C614" t="str">
            <v>SAVILLE MAKARON BURGULU_5 KG</v>
          </cell>
          <cell r="D614" t="str">
            <v>TON</v>
          </cell>
          <cell r="E614">
            <v>0</v>
          </cell>
          <cell r="F614">
            <v>0</v>
          </cell>
          <cell r="G614">
            <v>5.0000000000000001E-3</v>
          </cell>
          <cell r="H614">
            <v>17.46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O614">
            <v>5.0000000000000001E-3</v>
          </cell>
          <cell r="P614">
            <v>17.46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O614">
            <v>0</v>
          </cell>
          <cell r="AP614">
            <v>0</v>
          </cell>
          <cell r="AS614">
            <v>0</v>
          </cell>
          <cell r="AT614">
            <v>0</v>
          </cell>
          <cell r="AU614">
            <v>3.5000000000000003E-2</v>
          </cell>
          <cell r="AV614">
            <v>122.58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0.01</v>
          </cell>
          <cell r="BZ614">
            <v>36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0.02</v>
          </cell>
          <cell r="CH614">
            <v>69.12</v>
          </cell>
          <cell r="CI614">
            <v>0.03</v>
          </cell>
          <cell r="CJ614">
            <v>105.12</v>
          </cell>
          <cell r="CK614">
            <v>0.03</v>
          </cell>
          <cell r="CL614">
            <v>105.12</v>
          </cell>
          <cell r="CO614">
            <v>0</v>
          </cell>
          <cell r="CP614">
            <v>0</v>
          </cell>
          <cell r="CQ614">
            <v>0</v>
          </cell>
          <cell r="CR614">
            <v>0</v>
          </cell>
          <cell r="CS614">
            <v>0</v>
          </cell>
          <cell r="CT614">
            <v>0</v>
          </cell>
          <cell r="CU614">
            <v>0</v>
          </cell>
          <cell r="CV614">
            <v>0</v>
          </cell>
          <cell r="CW614">
            <v>0</v>
          </cell>
          <cell r="CX614">
            <v>0</v>
          </cell>
          <cell r="CY614">
            <v>0</v>
          </cell>
          <cell r="CZ614">
            <v>0</v>
          </cell>
          <cell r="DA614">
            <v>0</v>
          </cell>
          <cell r="DB614">
            <v>0</v>
          </cell>
          <cell r="DC614">
            <v>0</v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  <cell r="DH614">
            <v>0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M614">
            <v>0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3.4999999999999996E-2</v>
          </cell>
          <cell r="DX614">
            <v>122.58000000000001</v>
          </cell>
          <cell r="DY614" t="str">
            <v/>
          </cell>
          <cell r="DZ614">
            <v>0</v>
          </cell>
          <cell r="EA614">
            <v>3502.2857142857151</v>
          </cell>
        </row>
        <row r="615">
          <cell r="B615">
            <v>79797</v>
          </cell>
          <cell r="C615" t="str">
            <v>SAVILLE MAKARON KEPENEK_5 KG</v>
          </cell>
          <cell r="D615" t="str">
            <v>TON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O615">
            <v>0</v>
          </cell>
          <cell r="AP615">
            <v>0</v>
          </cell>
          <cell r="AS615">
            <v>0</v>
          </cell>
          <cell r="AT615">
            <v>0</v>
          </cell>
          <cell r="AU615">
            <v>0.02</v>
          </cell>
          <cell r="AV615">
            <v>72.36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0.01</v>
          </cell>
          <cell r="BZ615">
            <v>34.56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0.01</v>
          </cell>
          <cell r="CJ615">
            <v>34.56</v>
          </cell>
          <cell r="CK615">
            <v>0.01</v>
          </cell>
          <cell r="CL615">
            <v>34.56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0.01</v>
          </cell>
          <cell r="DB615">
            <v>37.799999999999997</v>
          </cell>
          <cell r="DC615">
            <v>0</v>
          </cell>
          <cell r="DD615">
            <v>0</v>
          </cell>
          <cell r="DE615">
            <v>0.01</v>
          </cell>
          <cell r="DF615">
            <v>37.799999999999997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M615">
            <v>0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0.02</v>
          </cell>
          <cell r="DX615">
            <v>72.36</v>
          </cell>
          <cell r="DY615" t="str">
            <v/>
          </cell>
          <cell r="DZ615">
            <v>0</v>
          </cell>
          <cell r="EA615">
            <v>3618</v>
          </cell>
        </row>
        <row r="616">
          <cell r="B616">
            <v>79798</v>
          </cell>
          <cell r="C616" t="str">
            <v>SAVILLE MAKARON LINGUINE_5 KG</v>
          </cell>
          <cell r="D616" t="str">
            <v>TON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O616">
            <v>0</v>
          </cell>
          <cell r="AP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  <cell r="DX616">
            <v>0</v>
          </cell>
          <cell r="DY616" t="str">
            <v/>
          </cell>
          <cell r="DZ616" t="str">
            <v>pasiv</v>
          </cell>
          <cell r="EA616" t="e">
            <v>#DIV/0!</v>
          </cell>
        </row>
        <row r="617">
          <cell r="B617">
            <v>79799</v>
          </cell>
          <cell r="C617" t="str">
            <v>SAVILLE MAKARON SPAGETTI_5 KG</v>
          </cell>
          <cell r="D617" t="str">
            <v>TON</v>
          </cell>
          <cell r="E617">
            <v>0</v>
          </cell>
          <cell r="F617">
            <v>0</v>
          </cell>
          <cell r="G617">
            <v>0.04</v>
          </cell>
          <cell r="H617">
            <v>139.68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O617">
            <v>0.04</v>
          </cell>
          <cell r="P617">
            <v>139.68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O617">
            <v>0</v>
          </cell>
          <cell r="AP617">
            <v>0</v>
          </cell>
          <cell r="AS617">
            <v>0</v>
          </cell>
          <cell r="AT617">
            <v>0</v>
          </cell>
          <cell r="AU617">
            <v>6.5000000000000002E-2</v>
          </cell>
          <cell r="AV617">
            <v>226.8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0.02</v>
          </cell>
          <cell r="CH617">
            <v>69.12</v>
          </cell>
          <cell r="CI617">
            <v>0.02</v>
          </cell>
          <cell r="CJ617">
            <v>69.12</v>
          </cell>
          <cell r="CK617">
            <v>0.02</v>
          </cell>
          <cell r="CL617">
            <v>69.12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5.0000000000000001E-3</v>
          </cell>
          <cell r="DL617">
            <v>18</v>
          </cell>
          <cell r="DM617">
            <v>5.0000000000000001E-3</v>
          </cell>
          <cell r="DN617">
            <v>18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6.5000000000000002E-2</v>
          </cell>
          <cell r="DX617">
            <v>226.8</v>
          </cell>
          <cell r="DY617" t="str">
            <v/>
          </cell>
          <cell r="DZ617">
            <v>0</v>
          </cell>
          <cell r="EA617">
            <v>3489.2307692307695</v>
          </cell>
        </row>
        <row r="618">
          <cell r="B618">
            <v>199212</v>
          </cell>
          <cell r="C618" t="str">
            <v>SAVILLE TEL SEHRIYE_5KQ</v>
          </cell>
          <cell r="D618" t="str">
            <v>TON</v>
          </cell>
          <cell r="E618">
            <v>0</v>
          </cell>
          <cell r="F618">
            <v>0</v>
          </cell>
          <cell r="G618">
            <v>0.05</v>
          </cell>
          <cell r="H618">
            <v>172.8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O618">
            <v>0.05</v>
          </cell>
          <cell r="P618">
            <v>172.8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-5.0000000000000001E-3</v>
          </cell>
          <cell r="AL618">
            <v>-16</v>
          </cell>
          <cell r="AO618">
            <v>-5.0000000000000001E-3</v>
          </cell>
          <cell r="AP618">
            <v>-16</v>
          </cell>
          <cell r="AS618">
            <v>0</v>
          </cell>
          <cell r="AT618">
            <v>0</v>
          </cell>
          <cell r="AU618">
            <v>3.5000000000000003E-2</v>
          </cell>
          <cell r="AV618">
            <v>116.8</v>
          </cell>
          <cell r="AW618">
            <v>0</v>
          </cell>
          <cell r="AX618">
            <v>0</v>
          </cell>
          <cell r="AY618">
            <v>-0.01</v>
          </cell>
          <cell r="AZ618">
            <v>-40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-0.01</v>
          </cell>
          <cell r="BF618">
            <v>-40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  <cell r="DL618">
            <v>0</v>
          </cell>
          <cell r="DM618">
            <v>0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3.5000000000000003E-2</v>
          </cell>
          <cell r="DX618">
            <v>116.80000000000001</v>
          </cell>
          <cell r="DY618" t="str">
            <v/>
          </cell>
          <cell r="DZ618">
            <v>0</v>
          </cell>
          <cell r="EA618">
            <v>3337.1428571428573</v>
          </cell>
        </row>
        <row r="619">
          <cell r="B619">
            <v>87284</v>
          </cell>
          <cell r="C619" t="str">
            <v>SAVILLE FIYONK MAKARON_500 GR*20</v>
          </cell>
          <cell r="D619" t="str">
            <v>TON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4.4999999999999997E-3</v>
          </cell>
          <cell r="AH619">
            <v>18.45</v>
          </cell>
          <cell r="AI619">
            <v>5.4999999999999997E-3</v>
          </cell>
          <cell r="AJ619">
            <v>22.55</v>
          </cell>
          <cell r="AK619">
            <v>1.4999999999999999E-2</v>
          </cell>
          <cell r="AL619">
            <v>58.97</v>
          </cell>
          <cell r="AO619">
            <v>2.4999999999999998E-2</v>
          </cell>
          <cell r="AP619">
            <v>99.97</v>
          </cell>
          <cell r="AS619">
            <v>0</v>
          </cell>
          <cell r="AT619">
            <v>0</v>
          </cell>
          <cell r="AU619">
            <v>0.3155</v>
          </cell>
          <cell r="AV619">
            <v>1243.78</v>
          </cell>
          <cell r="AW619">
            <v>0</v>
          </cell>
          <cell r="AX619">
            <v>0</v>
          </cell>
          <cell r="AY619">
            <v>0.01</v>
          </cell>
          <cell r="AZ619">
            <v>41</v>
          </cell>
          <cell r="BA619">
            <v>0</v>
          </cell>
          <cell r="BB619">
            <v>0</v>
          </cell>
          <cell r="BC619">
            <v>2E-3</v>
          </cell>
          <cell r="BD619">
            <v>8.1999999999999993</v>
          </cell>
          <cell r="BE619">
            <v>1.2E-2</v>
          </cell>
          <cell r="BF619">
            <v>49.2</v>
          </cell>
          <cell r="BG619">
            <v>5.0000000000000001E-3</v>
          </cell>
          <cell r="BH619">
            <v>20</v>
          </cell>
          <cell r="BI619">
            <v>0.03</v>
          </cell>
          <cell r="BJ619">
            <v>112.71</v>
          </cell>
          <cell r="BK619">
            <v>1.0999999999999999E-2</v>
          </cell>
          <cell r="BL619">
            <v>43.52</v>
          </cell>
          <cell r="BM619">
            <v>4.0000000000000001E-3</v>
          </cell>
          <cell r="BN619">
            <v>16.399999999999999</v>
          </cell>
          <cell r="BO619">
            <v>3.5000000000000003E-2</v>
          </cell>
          <cell r="BP619">
            <v>143.5</v>
          </cell>
          <cell r="BQ619">
            <v>0</v>
          </cell>
          <cell r="BR619">
            <v>0</v>
          </cell>
          <cell r="BS619">
            <v>8.7499999999999994E-2</v>
          </cell>
          <cell r="BT619">
            <v>346.38</v>
          </cell>
          <cell r="BU619">
            <v>2.6499999999999999E-2</v>
          </cell>
          <cell r="BV619">
            <v>100.54</v>
          </cell>
          <cell r="BW619">
            <v>0.01</v>
          </cell>
          <cell r="BX619">
            <v>37.83</v>
          </cell>
          <cell r="BY619">
            <v>3.6999999999999998E-2</v>
          </cell>
          <cell r="BZ619">
            <v>139.46</v>
          </cell>
          <cell r="CA619">
            <v>7.0000000000000001E-3</v>
          </cell>
          <cell r="CB619">
            <v>28.7</v>
          </cell>
          <cell r="CC619">
            <v>0</v>
          </cell>
          <cell r="CD619">
            <v>0</v>
          </cell>
          <cell r="CE619">
            <v>1.7500000000000002E-2</v>
          </cell>
          <cell r="CF619">
            <v>64.16</v>
          </cell>
          <cell r="CG619">
            <v>0</v>
          </cell>
          <cell r="CH619">
            <v>0</v>
          </cell>
          <cell r="CI619">
            <v>9.8000000000000004E-2</v>
          </cell>
          <cell r="CJ619">
            <v>370.69</v>
          </cell>
          <cell r="CK619">
            <v>0.1855</v>
          </cell>
          <cell r="CL619">
            <v>717.06999999999994</v>
          </cell>
          <cell r="CO619">
            <v>0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0</v>
          </cell>
          <cell r="CU619">
            <v>4.5999999999999999E-2</v>
          </cell>
          <cell r="CV619">
            <v>186.6</v>
          </cell>
          <cell r="CW619">
            <v>0</v>
          </cell>
          <cell r="CX619">
            <v>0</v>
          </cell>
          <cell r="CY619">
            <v>0.02</v>
          </cell>
          <cell r="CZ619">
            <v>84</v>
          </cell>
          <cell r="DA619">
            <v>9.4999999999999998E-3</v>
          </cell>
          <cell r="DB619">
            <v>38.950000000000003</v>
          </cell>
          <cell r="DC619">
            <v>0</v>
          </cell>
          <cell r="DD619">
            <v>0</v>
          </cell>
          <cell r="DE619">
            <v>2.9499999999999998E-2</v>
          </cell>
          <cell r="DF619">
            <v>122.95</v>
          </cell>
          <cell r="DG619">
            <v>0.01</v>
          </cell>
          <cell r="DH619">
            <v>37.44</v>
          </cell>
          <cell r="DI619">
            <v>4.0000000000000001E-3</v>
          </cell>
          <cell r="DJ619">
            <v>16.399999999999999</v>
          </cell>
          <cell r="DK619">
            <v>3.5000000000000001E-3</v>
          </cell>
          <cell r="DL619">
            <v>14.15</v>
          </cell>
          <cell r="DM619">
            <v>1.7500000000000002E-2</v>
          </cell>
          <cell r="DN619">
            <v>67.989999999999995</v>
          </cell>
          <cell r="DO619">
            <v>8.5000000000000006E-3</v>
          </cell>
          <cell r="DP619">
            <v>34.85</v>
          </cell>
          <cell r="DQ619">
            <v>5.0000000000000001E-3</v>
          </cell>
          <cell r="DR619">
            <v>20.5</v>
          </cell>
          <cell r="DS619">
            <v>3.2500000000000001E-2</v>
          </cell>
          <cell r="DT619">
            <v>131.25</v>
          </cell>
          <cell r="DU619">
            <v>4.5999999999999999E-2</v>
          </cell>
          <cell r="DV619">
            <v>186.6</v>
          </cell>
          <cell r="DW619">
            <v>0.3155</v>
          </cell>
          <cell r="DX619">
            <v>1243.78</v>
          </cell>
          <cell r="DY619" t="str">
            <v/>
          </cell>
          <cell r="DZ619">
            <v>0</v>
          </cell>
          <cell r="EA619">
            <v>3942.2503961965135</v>
          </cell>
        </row>
        <row r="620">
          <cell r="B620">
            <v>87285</v>
          </cell>
          <cell r="C620" t="str">
            <v>SAVILLE MANTI_500 GR*20</v>
          </cell>
          <cell r="D620" t="str">
            <v>TON</v>
          </cell>
          <cell r="E620">
            <v>0</v>
          </cell>
          <cell r="F620">
            <v>0</v>
          </cell>
          <cell r="G620">
            <v>0.01</v>
          </cell>
          <cell r="H620">
            <v>39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O620">
            <v>0.01</v>
          </cell>
          <cell r="P620">
            <v>39</v>
          </cell>
          <cell r="Q620">
            <v>0.03</v>
          </cell>
          <cell r="R620">
            <v>112.32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0.03</v>
          </cell>
          <cell r="Z620">
            <v>112.32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5.0000000000000001E-3</v>
          </cell>
          <cell r="AH620">
            <v>20.5</v>
          </cell>
          <cell r="AI620">
            <v>7.4999999999999997E-3</v>
          </cell>
          <cell r="AJ620">
            <v>30.75</v>
          </cell>
          <cell r="AK620">
            <v>0.01</v>
          </cell>
          <cell r="AL620">
            <v>37.97</v>
          </cell>
          <cell r="AO620">
            <v>2.2499999999999999E-2</v>
          </cell>
          <cell r="AP620">
            <v>89.22</v>
          </cell>
          <cell r="AS620">
            <v>0</v>
          </cell>
          <cell r="AT620">
            <v>0</v>
          </cell>
          <cell r="AU620">
            <v>0.55000000000000004</v>
          </cell>
          <cell r="AV620">
            <v>2165.91</v>
          </cell>
          <cell r="AW620">
            <v>0</v>
          </cell>
          <cell r="AX620">
            <v>0</v>
          </cell>
          <cell r="AY620">
            <v>0.01</v>
          </cell>
          <cell r="AZ620">
            <v>41</v>
          </cell>
          <cell r="BA620">
            <v>0</v>
          </cell>
          <cell r="BB620">
            <v>0</v>
          </cell>
          <cell r="BC620">
            <v>4.4999999999999997E-3</v>
          </cell>
          <cell r="BD620">
            <v>17.95</v>
          </cell>
          <cell r="BE620">
            <v>1.4499999999999999E-2</v>
          </cell>
          <cell r="BF620">
            <v>58.95</v>
          </cell>
          <cell r="BG620">
            <v>5.0000000000000001E-3</v>
          </cell>
          <cell r="BH620">
            <v>20</v>
          </cell>
          <cell r="BI620">
            <v>0.03</v>
          </cell>
          <cell r="BJ620">
            <v>112.71</v>
          </cell>
          <cell r="BK620">
            <v>6.0000000000000001E-3</v>
          </cell>
          <cell r="BL620">
            <v>24.6</v>
          </cell>
          <cell r="BM620">
            <v>1.4999999999999999E-2</v>
          </cell>
          <cell r="BN620">
            <v>60.71</v>
          </cell>
          <cell r="BO620">
            <v>4.2500000000000003E-2</v>
          </cell>
          <cell r="BP620">
            <v>174.25</v>
          </cell>
          <cell r="BQ620">
            <v>0</v>
          </cell>
          <cell r="BR620">
            <v>0</v>
          </cell>
          <cell r="BS620">
            <v>9.8500000000000004E-2</v>
          </cell>
          <cell r="BT620">
            <v>392.27</v>
          </cell>
          <cell r="BU620">
            <v>2.7E-2</v>
          </cell>
          <cell r="BV620">
            <v>102.43</v>
          </cell>
          <cell r="BW620">
            <v>1.4999999999999999E-2</v>
          </cell>
          <cell r="BX620">
            <v>57.04</v>
          </cell>
          <cell r="BY620">
            <v>1.6E-2</v>
          </cell>
          <cell r="BZ620">
            <v>63.6</v>
          </cell>
          <cell r="CA620">
            <v>6.0000000000000001E-3</v>
          </cell>
          <cell r="CB620">
            <v>24.6</v>
          </cell>
          <cell r="CC620">
            <v>0</v>
          </cell>
          <cell r="CD620">
            <v>0</v>
          </cell>
          <cell r="CE620">
            <v>5.6000000000000001E-2</v>
          </cell>
          <cell r="CF620">
            <v>215.97</v>
          </cell>
          <cell r="CG620">
            <v>0</v>
          </cell>
          <cell r="CH620">
            <v>0</v>
          </cell>
          <cell r="CI620">
            <v>0.12</v>
          </cell>
          <cell r="CJ620">
            <v>463.64</v>
          </cell>
          <cell r="CK620">
            <v>0.2185</v>
          </cell>
          <cell r="CL620">
            <v>855.91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0.188</v>
          </cell>
          <cell r="CV620">
            <v>736.06</v>
          </cell>
          <cell r="CW620">
            <v>0</v>
          </cell>
          <cell r="CX620">
            <v>0</v>
          </cell>
          <cell r="CY620">
            <v>0.04</v>
          </cell>
          <cell r="CZ620">
            <v>168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0.04</v>
          </cell>
          <cell r="DF620">
            <v>168</v>
          </cell>
          <cell r="DG620">
            <v>5.0000000000000001E-3</v>
          </cell>
          <cell r="DH620">
            <v>20.5</v>
          </cell>
          <cell r="DI620">
            <v>1.2999999999999999E-2</v>
          </cell>
          <cell r="DJ620">
            <v>51.8</v>
          </cell>
          <cell r="DK620">
            <v>8.5000000000000006E-3</v>
          </cell>
          <cell r="DL620">
            <v>34.15</v>
          </cell>
          <cell r="DM620">
            <v>2.6499999999999999E-2</v>
          </cell>
          <cell r="DN620">
            <v>106.45</v>
          </cell>
          <cell r="DO620">
            <v>2.35E-2</v>
          </cell>
          <cell r="DP620">
            <v>92.79</v>
          </cell>
          <cell r="DQ620">
            <v>0</v>
          </cell>
          <cell r="DR620">
            <v>0</v>
          </cell>
          <cell r="DS620">
            <v>0.16450000000000001</v>
          </cell>
          <cell r="DT620">
            <v>643.27</v>
          </cell>
          <cell r="DU620">
            <v>0.188</v>
          </cell>
          <cell r="DV620">
            <v>736.06</v>
          </cell>
          <cell r="DW620">
            <v>0.55000000000000004</v>
          </cell>
          <cell r="DX620">
            <v>2165.9100000000003</v>
          </cell>
          <cell r="DY620" t="str">
            <v/>
          </cell>
          <cell r="DZ620">
            <v>0</v>
          </cell>
          <cell r="EA620">
            <v>3938.0181818181823</v>
          </cell>
        </row>
        <row r="621">
          <cell r="B621">
            <v>87288</v>
          </cell>
          <cell r="C621" t="str">
            <v>SAVILLE ARPA SEHRIYE_500QR*20</v>
          </cell>
          <cell r="D621" t="str">
            <v>TON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O621">
            <v>0</v>
          </cell>
          <cell r="AP621">
            <v>0</v>
          </cell>
          <cell r="AS621">
            <v>0</v>
          </cell>
          <cell r="AT621">
            <v>0</v>
          </cell>
          <cell r="AU621">
            <v>3.5000000000000003E-2</v>
          </cell>
          <cell r="AV621">
            <v>137.75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5.0000000000000001E-3</v>
          </cell>
          <cell r="BD621">
            <v>18.920000000000002</v>
          </cell>
          <cell r="BE621">
            <v>5.0000000000000001E-3</v>
          </cell>
          <cell r="BF621">
            <v>18.920000000000002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0.01</v>
          </cell>
          <cell r="BN621">
            <v>37.83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0.01</v>
          </cell>
          <cell r="BT621">
            <v>37.83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0.01</v>
          </cell>
          <cell r="CL621">
            <v>37.83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0</v>
          </cell>
          <cell r="CU621">
            <v>0</v>
          </cell>
          <cell r="CV621">
            <v>0</v>
          </cell>
          <cell r="CW621">
            <v>0</v>
          </cell>
          <cell r="CX621">
            <v>0</v>
          </cell>
          <cell r="CY621">
            <v>0.01</v>
          </cell>
          <cell r="CZ621">
            <v>42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0.01</v>
          </cell>
          <cell r="DF621">
            <v>42</v>
          </cell>
          <cell r="DG621">
            <v>0.01</v>
          </cell>
          <cell r="DH621">
            <v>39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0.01</v>
          </cell>
          <cell r="DN621">
            <v>39</v>
          </cell>
          <cell r="DO621">
            <v>0</v>
          </cell>
          <cell r="DP621">
            <v>0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3.4999999999999996E-2</v>
          </cell>
          <cell r="DX621">
            <v>137.75</v>
          </cell>
          <cell r="DY621" t="str">
            <v/>
          </cell>
          <cell r="DZ621">
            <v>0</v>
          </cell>
          <cell r="EA621">
            <v>3935.7142857142862</v>
          </cell>
        </row>
        <row r="622">
          <cell r="B622">
            <v>87287</v>
          </cell>
          <cell r="C622" t="str">
            <v>SAVILLE TEL SEHRIYE_500 GR*20</v>
          </cell>
          <cell r="D622" t="str">
            <v>TON</v>
          </cell>
          <cell r="E622">
            <v>0</v>
          </cell>
          <cell r="F622">
            <v>0</v>
          </cell>
          <cell r="G622">
            <v>1.5E-3</v>
          </cell>
          <cell r="H622">
            <v>5.67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O622">
            <v>1.5E-3</v>
          </cell>
          <cell r="P622">
            <v>5.67</v>
          </cell>
          <cell r="Q622">
            <v>0.03</v>
          </cell>
          <cell r="R622">
            <v>112.32</v>
          </cell>
          <cell r="S622">
            <v>0.01</v>
          </cell>
          <cell r="T622">
            <v>37.83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0.04</v>
          </cell>
          <cell r="Z622">
            <v>150.14999999999998</v>
          </cell>
          <cell r="AA622">
            <v>0</v>
          </cell>
          <cell r="AB622">
            <v>0</v>
          </cell>
          <cell r="AC622">
            <v>2.5000000000000001E-3</v>
          </cell>
          <cell r="AD622">
            <v>10.25</v>
          </cell>
          <cell r="AE622">
            <v>0</v>
          </cell>
          <cell r="AF622">
            <v>0</v>
          </cell>
          <cell r="AG622">
            <v>1.0999999999999999E-2</v>
          </cell>
          <cell r="AH622">
            <v>45.1</v>
          </cell>
          <cell r="AI622">
            <v>0.01</v>
          </cell>
          <cell r="AJ622">
            <v>41</v>
          </cell>
          <cell r="AK622">
            <v>5.0000000000000001E-3</v>
          </cell>
          <cell r="AL622">
            <v>20</v>
          </cell>
          <cell r="AO622">
            <v>2.8500000000000001E-2</v>
          </cell>
          <cell r="AP622">
            <v>116.35</v>
          </cell>
          <cell r="AS622">
            <v>0</v>
          </cell>
          <cell r="AT622">
            <v>0</v>
          </cell>
          <cell r="AU622">
            <v>0.46150000000000002</v>
          </cell>
          <cell r="AV622">
            <v>1827.4</v>
          </cell>
          <cell r="AW622">
            <v>0</v>
          </cell>
          <cell r="AX622">
            <v>0</v>
          </cell>
          <cell r="AY622">
            <v>5.0000000000000001E-3</v>
          </cell>
          <cell r="AZ622">
            <v>20.5</v>
          </cell>
          <cell r="BA622">
            <v>0</v>
          </cell>
          <cell r="BB622">
            <v>0</v>
          </cell>
          <cell r="BC622">
            <v>8.0000000000000002E-3</v>
          </cell>
          <cell r="BD622">
            <v>32.799999999999997</v>
          </cell>
          <cell r="BE622">
            <v>1.3000000000000001E-2</v>
          </cell>
          <cell r="BF622">
            <v>53.3</v>
          </cell>
          <cell r="BG622">
            <v>1.55E-2</v>
          </cell>
          <cell r="BH622">
            <v>62.55</v>
          </cell>
          <cell r="BI622">
            <v>0.01</v>
          </cell>
          <cell r="BJ622">
            <v>37.83</v>
          </cell>
          <cell r="BK622">
            <v>1.2500000000000001E-2</v>
          </cell>
          <cell r="BL622">
            <v>49.67</v>
          </cell>
          <cell r="BM622">
            <v>0.01</v>
          </cell>
          <cell r="BN622">
            <v>39.42</v>
          </cell>
          <cell r="BO622">
            <v>7.4999999999999997E-3</v>
          </cell>
          <cell r="BP622">
            <v>30.75</v>
          </cell>
          <cell r="BQ622">
            <v>0</v>
          </cell>
          <cell r="BR622">
            <v>0</v>
          </cell>
          <cell r="BS622">
            <v>5.8000000000000003E-2</v>
          </cell>
          <cell r="BT622">
            <v>230.47</v>
          </cell>
          <cell r="BU622">
            <v>3.6999999999999998E-2</v>
          </cell>
          <cell r="BV622">
            <v>140.27000000000001</v>
          </cell>
          <cell r="BW622">
            <v>0</v>
          </cell>
          <cell r="BX622">
            <v>0</v>
          </cell>
          <cell r="BY622">
            <v>1.7999999999999999E-2</v>
          </cell>
          <cell r="BZ622">
            <v>69.459999999999994</v>
          </cell>
          <cell r="CA622">
            <v>5.0000000000000001E-3</v>
          </cell>
          <cell r="CB622">
            <v>20.5</v>
          </cell>
          <cell r="CC622">
            <v>0</v>
          </cell>
          <cell r="CD622">
            <v>0</v>
          </cell>
          <cell r="CE622">
            <v>3.2000000000000001E-2</v>
          </cell>
          <cell r="CF622">
            <v>122.64</v>
          </cell>
          <cell r="CG622">
            <v>0</v>
          </cell>
          <cell r="CH622">
            <v>0</v>
          </cell>
          <cell r="CI622">
            <v>9.1999999999999998E-2</v>
          </cell>
          <cell r="CJ622">
            <v>352.87</v>
          </cell>
          <cell r="CK622">
            <v>0.15</v>
          </cell>
          <cell r="CL622">
            <v>583.34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0.1515</v>
          </cell>
          <cell r="CV622">
            <v>597.39</v>
          </cell>
          <cell r="CW622">
            <v>0</v>
          </cell>
          <cell r="CX622">
            <v>0</v>
          </cell>
          <cell r="CY622">
            <v>0.06</v>
          </cell>
          <cell r="CZ622">
            <v>252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0.06</v>
          </cell>
          <cell r="DF622">
            <v>252</v>
          </cell>
          <cell r="DG622">
            <v>5.0000000000000001E-3</v>
          </cell>
          <cell r="DH622">
            <v>20.5</v>
          </cell>
          <cell r="DI622">
            <v>4.4999999999999997E-3</v>
          </cell>
          <cell r="DJ622">
            <v>18.45</v>
          </cell>
          <cell r="DK622">
            <v>7.4999999999999997E-3</v>
          </cell>
          <cell r="DL622">
            <v>30.25</v>
          </cell>
          <cell r="DM622">
            <v>1.7000000000000001E-2</v>
          </cell>
          <cell r="DN622">
            <v>69.2</v>
          </cell>
          <cell r="DO622">
            <v>2.1499999999999998E-2</v>
          </cell>
          <cell r="DP622">
            <v>86.57</v>
          </cell>
          <cell r="DQ622">
            <v>2.5000000000000001E-3</v>
          </cell>
          <cell r="DR622">
            <v>9.75</v>
          </cell>
          <cell r="DS622">
            <v>0.1275</v>
          </cell>
          <cell r="DT622">
            <v>501.07</v>
          </cell>
          <cell r="DU622">
            <v>0.1515</v>
          </cell>
          <cell r="DV622">
            <v>597.39</v>
          </cell>
          <cell r="DW622">
            <v>0.46149999999999997</v>
          </cell>
          <cell r="DX622">
            <v>1827.3999999999996</v>
          </cell>
          <cell r="DY622" t="str">
            <v/>
          </cell>
          <cell r="DZ622">
            <v>0</v>
          </cell>
          <cell r="EA622">
            <v>3959.6966413867817</v>
          </cell>
        </row>
        <row r="623">
          <cell r="B623">
            <v>99291</v>
          </cell>
          <cell r="C623" t="str">
            <v>SAVILLE MAKARON FIRIN_500 GR*20</v>
          </cell>
          <cell r="D623" t="str">
            <v>TON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O623">
            <v>0</v>
          </cell>
          <cell r="AP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O623">
            <v>0</v>
          </cell>
          <cell r="CP623">
            <v>0</v>
          </cell>
          <cell r="CQ623">
            <v>0</v>
          </cell>
          <cell r="CR623">
            <v>0</v>
          </cell>
          <cell r="CS623">
            <v>0</v>
          </cell>
          <cell r="CT623">
            <v>0</v>
          </cell>
          <cell r="CU623">
            <v>0</v>
          </cell>
          <cell r="CV623">
            <v>0</v>
          </cell>
          <cell r="CW623">
            <v>0</v>
          </cell>
          <cell r="CX623">
            <v>0</v>
          </cell>
          <cell r="CY623">
            <v>0</v>
          </cell>
          <cell r="CZ623">
            <v>0</v>
          </cell>
          <cell r="DA623">
            <v>0</v>
          </cell>
          <cell r="DB623">
            <v>0</v>
          </cell>
          <cell r="DC623">
            <v>0</v>
          </cell>
          <cell r="DD623">
            <v>0</v>
          </cell>
          <cell r="DE623">
            <v>0</v>
          </cell>
          <cell r="DF623">
            <v>0</v>
          </cell>
          <cell r="DG623">
            <v>0</v>
          </cell>
          <cell r="DH623">
            <v>0</v>
          </cell>
          <cell r="DI623">
            <v>0</v>
          </cell>
          <cell r="DJ623">
            <v>0</v>
          </cell>
          <cell r="DK623">
            <v>0</v>
          </cell>
          <cell r="DL623">
            <v>0</v>
          </cell>
          <cell r="DM623">
            <v>0</v>
          </cell>
          <cell r="DN623">
            <v>0</v>
          </cell>
          <cell r="DO623">
            <v>0</v>
          </cell>
          <cell r="DP623">
            <v>0</v>
          </cell>
          <cell r="DQ623">
            <v>0</v>
          </cell>
          <cell r="DR623">
            <v>0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  <cell r="DX623">
            <v>0</v>
          </cell>
          <cell r="DY623" t="str">
            <v/>
          </cell>
          <cell r="DZ623" t="str">
            <v>pasiv</v>
          </cell>
          <cell r="EA623" t="e">
            <v>#DIV/0!</v>
          </cell>
        </row>
        <row r="624">
          <cell r="B624">
            <v>141063</v>
          </cell>
          <cell r="C624" t="str">
            <v>მაკარონი-სავილე-მსხვ.სპაგეტი-500გრ*20</v>
          </cell>
          <cell r="D624" t="str">
            <v>TON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0.01</v>
          </cell>
          <cell r="T624">
            <v>37.83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0.01</v>
          </cell>
          <cell r="Z624">
            <v>37.83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0.02</v>
          </cell>
          <cell r="AL624">
            <v>76.25</v>
          </cell>
          <cell r="AO624">
            <v>0.02</v>
          </cell>
          <cell r="AP624">
            <v>76.25</v>
          </cell>
          <cell r="AS624">
            <v>0</v>
          </cell>
          <cell r="AT624">
            <v>0</v>
          </cell>
          <cell r="AU624">
            <v>0.35899999999999999</v>
          </cell>
          <cell r="AV624">
            <v>1413.94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0.01</v>
          </cell>
          <cell r="BD624">
            <v>37.83</v>
          </cell>
          <cell r="BE624">
            <v>0.01</v>
          </cell>
          <cell r="BF624">
            <v>37.83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2.5000000000000001E-3</v>
          </cell>
          <cell r="BP624">
            <v>10.25</v>
          </cell>
          <cell r="BQ624">
            <v>0</v>
          </cell>
          <cell r="BR624">
            <v>0</v>
          </cell>
          <cell r="BS624">
            <v>2.5000000000000001E-3</v>
          </cell>
          <cell r="BT624">
            <v>10.25</v>
          </cell>
          <cell r="BU624">
            <v>0.01</v>
          </cell>
          <cell r="BV624">
            <v>37.83</v>
          </cell>
          <cell r="BW624">
            <v>2.5000000000000001E-3</v>
          </cell>
          <cell r="BX624">
            <v>9.75</v>
          </cell>
          <cell r="BY624">
            <v>2.1499999999999998E-2</v>
          </cell>
          <cell r="BZ624">
            <v>84.59</v>
          </cell>
          <cell r="CA624">
            <v>7.4999999999999997E-3</v>
          </cell>
          <cell r="CB624">
            <v>30.75</v>
          </cell>
          <cell r="CC624">
            <v>0</v>
          </cell>
          <cell r="CD624">
            <v>0</v>
          </cell>
          <cell r="CE624">
            <v>0.02</v>
          </cell>
          <cell r="CF624">
            <v>84</v>
          </cell>
          <cell r="CG624">
            <v>0</v>
          </cell>
          <cell r="CH624">
            <v>0</v>
          </cell>
          <cell r="CI624">
            <v>6.1499999999999999E-2</v>
          </cell>
          <cell r="CJ624">
            <v>246.92</v>
          </cell>
          <cell r="CK624">
            <v>6.4000000000000001E-2</v>
          </cell>
          <cell r="CL624">
            <v>257.16999999999996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0.20749999999999999</v>
          </cell>
          <cell r="CV624">
            <v>806.9</v>
          </cell>
          <cell r="CW624">
            <v>0</v>
          </cell>
          <cell r="CX624">
            <v>0</v>
          </cell>
          <cell r="CY624">
            <v>0.04</v>
          </cell>
          <cell r="CZ624">
            <v>168</v>
          </cell>
          <cell r="DA624">
            <v>5.0000000000000001E-3</v>
          </cell>
          <cell r="DB624">
            <v>20.5</v>
          </cell>
          <cell r="DC624">
            <v>0</v>
          </cell>
          <cell r="DD624">
            <v>0</v>
          </cell>
          <cell r="DE624">
            <v>4.4999999999999998E-2</v>
          </cell>
          <cell r="DF624">
            <v>188.5</v>
          </cell>
          <cell r="DG624">
            <v>2.5000000000000001E-3</v>
          </cell>
          <cell r="DH624">
            <v>9.4600000000000009</v>
          </cell>
          <cell r="DI624">
            <v>0</v>
          </cell>
          <cell r="DJ624">
            <v>0</v>
          </cell>
          <cell r="DK624">
            <v>0</v>
          </cell>
          <cell r="DL624">
            <v>0</v>
          </cell>
          <cell r="DM624">
            <v>2.5000000000000001E-3</v>
          </cell>
          <cell r="DN624">
            <v>9.4600000000000009</v>
          </cell>
          <cell r="DO624">
            <v>1.2500000000000001E-2</v>
          </cell>
          <cell r="DP624">
            <v>48.08</v>
          </cell>
          <cell r="DQ624">
            <v>0</v>
          </cell>
          <cell r="DR624">
            <v>0</v>
          </cell>
          <cell r="DS624">
            <v>0.19500000000000001</v>
          </cell>
          <cell r="DT624">
            <v>758.82</v>
          </cell>
          <cell r="DU624">
            <v>0.20749999999999999</v>
          </cell>
          <cell r="DV624">
            <v>806.9</v>
          </cell>
          <cell r="DW624">
            <v>0.35900000000000004</v>
          </cell>
          <cell r="DX624">
            <v>1413.9399999999998</v>
          </cell>
          <cell r="DY624" t="str">
            <v/>
          </cell>
          <cell r="DZ624">
            <v>0</v>
          </cell>
          <cell r="EA624">
            <v>3938.5515320334252</v>
          </cell>
        </row>
        <row r="625">
          <cell r="B625">
            <v>361853</v>
          </cell>
          <cell r="C625" t="str">
            <v>მაკარონი_საოცრება_მოხრილი მილი_20კგ</v>
          </cell>
          <cell r="D625" t="str">
            <v>TON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O625">
            <v>0</v>
          </cell>
          <cell r="AP625">
            <v>0</v>
          </cell>
          <cell r="AS625">
            <v>0</v>
          </cell>
          <cell r="AT625">
            <v>0</v>
          </cell>
          <cell r="AU625">
            <v>0.26</v>
          </cell>
          <cell r="AV625">
            <v>384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0.06</v>
          </cell>
          <cell r="BD625">
            <v>90</v>
          </cell>
          <cell r="BE625">
            <v>0.06</v>
          </cell>
          <cell r="BF625">
            <v>90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0.16</v>
          </cell>
          <cell r="BL625">
            <v>234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0.16</v>
          </cell>
          <cell r="BT625">
            <v>234</v>
          </cell>
          <cell r="BU625">
            <v>0.02</v>
          </cell>
          <cell r="BV625">
            <v>30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0.02</v>
          </cell>
          <cell r="CJ625">
            <v>30</v>
          </cell>
          <cell r="CK625">
            <v>0.18</v>
          </cell>
          <cell r="CL625">
            <v>264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0.02</v>
          </cell>
          <cell r="DJ625">
            <v>30</v>
          </cell>
          <cell r="DK625">
            <v>0</v>
          </cell>
          <cell r="DL625">
            <v>0</v>
          </cell>
          <cell r="DM625">
            <v>0.02</v>
          </cell>
          <cell r="DN625">
            <v>30</v>
          </cell>
          <cell r="DO625">
            <v>0</v>
          </cell>
          <cell r="DP625">
            <v>0</v>
          </cell>
          <cell r="DQ625">
            <v>0</v>
          </cell>
          <cell r="DR625">
            <v>0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0.26</v>
          </cell>
          <cell r="DX625">
            <v>384</v>
          </cell>
          <cell r="DY625" t="str">
            <v/>
          </cell>
          <cell r="DZ625">
            <v>0</v>
          </cell>
          <cell r="EA625">
            <v>1476.9230769230769</v>
          </cell>
        </row>
        <row r="626">
          <cell r="B626">
            <v>363850</v>
          </cell>
          <cell r="C626" t="str">
            <v>მაკარონი_ლაზეტი_სპაგეტი_0.5კგ*20</v>
          </cell>
          <cell r="D626" t="str">
            <v>TON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O626">
            <v>0</v>
          </cell>
          <cell r="P626">
            <v>0</v>
          </cell>
          <cell r="Q626">
            <v>0.05</v>
          </cell>
          <cell r="R626">
            <v>152.63999999999999</v>
          </cell>
          <cell r="S626">
            <v>0.05</v>
          </cell>
          <cell r="T626">
            <v>146.30000000000001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0.1</v>
          </cell>
          <cell r="Z626">
            <v>298.94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6.0000000000000001E-3</v>
          </cell>
          <cell r="AJ626">
            <v>19.079999999999998</v>
          </cell>
          <cell r="AK626">
            <v>0.01</v>
          </cell>
          <cell r="AL626">
            <v>31.72</v>
          </cell>
          <cell r="AO626">
            <v>1.6E-2</v>
          </cell>
          <cell r="AP626">
            <v>50.8</v>
          </cell>
          <cell r="AS626">
            <v>0</v>
          </cell>
          <cell r="AT626">
            <v>0</v>
          </cell>
          <cell r="AU626">
            <v>0.21049999999999999</v>
          </cell>
          <cell r="AV626">
            <v>633.30999999999995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5.0000000000000001E-3</v>
          </cell>
          <cell r="BD626">
            <v>16.3</v>
          </cell>
          <cell r="BE626">
            <v>5.0000000000000001E-3</v>
          </cell>
          <cell r="BF626">
            <v>16.3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5.0000000000000001E-3</v>
          </cell>
          <cell r="BL626">
            <v>15.9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5.0000000000000001E-3</v>
          </cell>
          <cell r="BT626">
            <v>15.9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0.03</v>
          </cell>
          <cell r="BZ626">
            <v>89.67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0.03</v>
          </cell>
          <cell r="CF626">
            <v>89.68</v>
          </cell>
          <cell r="CG626">
            <v>0</v>
          </cell>
          <cell r="CH626">
            <v>0</v>
          </cell>
          <cell r="CI626">
            <v>0.06</v>
          </cell>
          <cell r="CJ626">
            <v>179.35</v>
          </cell>
          <cell r="CK626">
            <v>6.5000000000000002E-2</v>
          </cell>
          <cell r="CL626">
            <v>195.25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2.3E-2</v>
          </cell>
          <cell r="DD626">
            <v>67.25</v>
          </cell>
          <cell r="DE626">
            <v>2.3E-2</v>
          </cell>
          <cell r="DF626">
            <v>67.25</v>
          </cell>
          <cell r="DG626">
            <v>0</v>
          </cell>
          <cell r="DH626">
            <v>0</v>
          </cell>
          <cell r="DI626">
            <v>1.5E-3</v>
          </cell>
          <cell r="DJ626">
            <v>4.7699999999999996</v>
          </cell>
          <cell r="DK626">
            <v>0</v>
          </cell>
          <cell r="DL626">
            <v>0</v>
          </cell>
          <cell r="DM626">
            <v>1.5E-3</v>
          </cell>
          <cell r="DN626">
            <v>4.7699999999999996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0.21050000000000002</v>
          </cell>
          <cell r="DX626">
            <v>633.30999999999995</v>
          </cell>
          <cell r="DY626" t="str">
            <v/>
          </cell>
          <cell r="DZ626">
            <v>0</v>
          </cell>
          <cell r="EA626">
            <v>3008.5985748218523</v>
          </cell>
        </row>
        <row r="627">
          <cell r="B627">
            <v>363853</v>
          </cell>
          <cell r="C627" t="str">
            <v>მაკარონი_ლაზეტი_პიპე რიგატე_0.5კგ*20</v>
          </cell>
          <cell r="D627" t="str">
            <v>TON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0.02</v>
          </cell>
          <cell r="T627">
            <v>58.52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0.02</v>
          </cell>
          <cell r="Z627">
            <v>58.52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8.9999999999999993E-3</v>
          </cell>
          <cell r="AL627">
            <v>28.81</v>
          </cell>
          <cell r="AO627">
            <v>8.9999999999999993E-3</v>
          </cell>
          <cell r="AP627">
            <v>28.81</v>
          </cell>
          <cell r="AS627">
            <v>0</v>
          </cell>
          <cell r="AT627">
            <v>0</v>
          </cell>
          <cell r="AU627">
            <v>0.10249999999999999</v>
          </cell>
          <cell r="AV627">
            <v>306.70999999999998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-5.0000000000000001E-4</v>
          </cell>
          <cell r="BD627">
            <v>-1.63</v>
          </cell>
          <cell r="BE627">
            <v>-5.0000000000000001E-4</v>
          </cell>
          <cell r="BF627">
            <v>-1.63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0.02</v>
          </cell>
          <cell r="BZ627">
            <v>60.42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7.0000000000000001E-3</v>
          </cell>
          <cell r="CF627">
            <v>20.91</v>
          </cell>
          <cell r="CG627">
            <v>0</v>
          </cell>
          <cell r="CH627">
            <v>0</v>
          </cell>
          <cell r="CI627">
            <v>2.7E-2</v>
          </cell>
          <cell r="CJ627">
            <v>81.33</v>
          </cell>
          <cell r="CK627">
            <v>2.7E-2</v>
          </cell>
          <cell r="CL627">
            <v>81.33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0</v>
          </cell>
          <cell r="CU627">
            <v>0</v>
          </cell>
          <cell r="CV627">
            <v>0</v>
          </cell>
          <cell r="CW627">
            <v>0</v>
          </cell>
          <cell r="CX627">
            <v>0</v>
          </cell>
          <cell r="CY627">
            <v>0</v>
          </cell>
          <cell r="CZ627">
            <v>0</v>
          </cell>
          <cell r="DA627">
            <v>0</v>
          </cell>
          <cell r="DB627">
            <v>0</v>
          </cell>
          <cell r="DC627">
            <v>3.5999999999999997E-2</v>
          </cell>
          <cell r="DD627">
            <v>105.65</v>
          </cell>
          <cell r="DE627">
            <v>3.5999999999999997E-2</v>
          </cell>
          <cell r="DF627">
            <v>105.65</v>
          </cell>
          <cell r="DG627">
            <v>0.01</v>
          </cell>
          <cell r="DH627">
            <v>30.85</v>
          </cell>
          <cell r="DI627">
            <v>0</v>
          </cell>
          <cell r="DJ627">
            <v>0</v>
          </cell>
          <cell r="DK627">
            <v>1E-3</v>
          </cell>
          <cell r="DL627">
            <v>3.18</v>
          </cell>
          <cell r="DM627">
            <v>1.0999999999999999E-2</v>
          </cell>
          <cell r="DN627">
            <v>34.03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0.10249999999999999</v>
          </cell>
          <cell r="DX627">
            <v>306.70999999999998</v>
          </cell>
          <cell r="DY627" t="str">
            <v/>
          </cell>
          <cell r="DZ627">
            <v>0</v>
          </cell>
          <cell r="EA627">
            <v>2992.2926829268295</v>
          </cell>
        </row>
        <row r="628">
          <cell r="B628">
            <v>363854</v>
          </cell>
          <cell r="C628" t="str">
            <v>მაკარონი_ლაზეტი_ფუსილი_0.5კგ*20</v>
          </cell>
          <cell r="D628" t="str">
            <v>TON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0.02</v>
          </cell>
          <cell r="T628">
            <v>58.52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0.02</v>
          </cell>
          <cell r="Z628">
            <v>58.52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8.0000000000000002E-3</v>
          </cell>
          <cell r="AL628">
            <v>25.55</v>
          </cell>
          <cell r="AO628">
            <v>8.0000000000000002E-3</v>
          </cell>
          <cell r="AP628">
            <v>25.55</v>
          </cell>
          <cell r="AS628">
            <v>0</v>
          </cell>
          <cell r="AT628">
            <v>0</v>
          </cell>
          <cell r="AU628">
            <v>9.6000000000000002E-2</v>
          </cell>
          <cell r="AV628">
            <v>286.81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0.02</v>
          </cell>
          <cell r="BZ628">
            <v>59.78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1.0999999999999999E-2</v>
          </cell>
          <cell r="CF628">
            <v>32.94</v>
          </cell>
          <cell r="CG628">
            <v>0</v>
          </cell>
          <cell r="CH628">
            <v>0</v>
          </cell>
          <cell r="CI628">
            <v>3.1E-2</v>
          </cell>
          <cell r="CJ628">
            <v>92.72</v>
          </cell>
          <cell r="CK628">
            <v>3.1E-2</v>
          </cell>
          <cell r="CL628">
            <v>92.72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2.5999999999999999E-2</v>
          </cell>
          <cell r="DD628">
            <v>75.989999999999995</v>
          </cell>
          <cell r="DE628">
            <v>2.5999999999999999E-2</v>
          </cell>
          <cell r="DF628">
            <v>75.989999999999995</v>
          </cell>
          <cell r="DG628">
            <v>0.01</v>
          </cell>
          <cell r="DH628">
            <v>30.85</v>
          </cell>
          <cell r="DI628">
            <v>0</v>
          </cell>
          <cell r="DJ628">
            <v>0</v>
          </cell>
          <cell r="DK628">
            <v>1E-3</v>
          </cell>
          <cell r="DL628">
            <v>3.18</v>
          </cell>
          <cell r="DM628">
            <v>1.0999999999999999E-2</v>
          </cell>
          <cell r="DN628">
            <v>34.03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9.6000000000000016E-2</v>
          </cell>
          <cell r="DX628">
            <v>286.81</v>
          </cell>
          <cell r="DY628" t="str">
            <v/>
          </cell>
          <cell r="DZ628">
            <v>0</v>
          </cell>
          <cell r="EA628">
            <v>2987.6041666666661</v>
          </cell>
        </row>
        <row r="629">
          <cell r="B629">
            <v>363851</v>
          </cell>
          <cell r="C629" t="str">
            <v>მაკარონი_ლაზეტი_პენე რიგატე_0.5კგ*20</v>
          </cell>
          <cell r="D629" t="str">
            <v>TON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0.02</v>
          </cell>
          <cell r="T629">
            <v>58.52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0.02</v>
          </cell>
          <cell r="Z629">
            <v>58.52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1.5E-3</v>
          </cell>
          <cell r="AF629">
            <v>4.4800000000000004</v>
          </cell>
          <cell r="AG629">
            <v>0</v>
          </cell>
          <cell r="AH629">
            <v>0</v>
          </cell>
          <cell r="AI629">
            <v>5.0000000000000001E-3</v>
          </cell>
          <cell r="AJ629">
            <v>15.9</v>
          </cell>
          <cell r="AK629">
            <v>3.0000000000000001E-3</v>
          </cell>
          <cell r="AL629">
            <v>9.25</v>
          </cell>
          <cell r="AO629">
            <v>9.5000000000000015E-3</v>
          </cell>
          <cell r="AP629">
            <v>29.630000000000003</v>
          </cell>
          <cell r="AS629">
            <v>0</v>
          </cell>
          <cell r="AT629">
            <v>0</v>
          </cell>
          <cell r="AU629">
            <v>0.11600000000000001</v>
          </cell>
          <cell r="AV629">
            <v>349.08</v>
          </cell>
          <cell r="AW629">
            <v>0</v>
          </cell>
          <cell r="AX629">
            <v>0</v>
          </cell>
          <cell r="AY629">
            <v>3.0000000000000001E-3</v>
          </cell>
          <cell r="AZ629">
            <v>9.7799999999999994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3.0000000000000001E-3</v>
          </cell>
          <cell r="BF629">
            <v>9.7799999999999994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0.01</v>
          </cell>
          <cell r="BZ629">
            <v>29.89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3.9E-2</v>
          </cell>
          <cell r="CF629">
            <v>116.71</v>
          </cell>
          <cell r="CG629">
            <v>0</v>
          </cell>
          <cell r="CH629">
            <v>0</v>
          </cell>
          <cell r="CI629">
            <v>4.9000000000000002E-2</v>
          </cell>
          <cell r="CJ629">
            <v>146.6</v>
          </cell>
          <cell r="CK629">
            <v>4.9000000000000002E-2</v>
          </cell>
          <cell r="CL629">
            <v>146.6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2.5000000000000001E-3</v>
          </cell>
          <cell r="CV629">
            <v>8.15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1.7999999999999999E-2</v>
          </cell>
          <cell r="DD629">
            <v>52.83</v>
          </cell>
          <cell r="DE629">
            <v>1.7999999999999999E-2</v>
          </cell>
          <cell r="DF629">
            <v>52.83</v>
          </cell>
          <cell r="DG629">
            <v>0.01</v>
          </cell>
          <cell r="DH629">
            <v>30.85</v>
          </cell>
          <cell r="DI629">
            <v>3.0000000000000001E-3</v>
          </cell>
          <cell r="DJ629">
            <v>9.5399999999999991</v>
          </cell>
          <cell r="DK629">
            <v>1E-3</v>
          </cell>
          <cell r="DL629">
            <v>3.18</v>
          </cell>
          <cell r="DM629">
            <v>1.4E-2</v>
          </cell>
          <cell r="DN629">
            <v>43.57</v>
          </cell>
          <cell r="DO629">
            <v>2.5000000000000001E-3</v>
          </cell>
          <cell r="DP629">
            <v>8.15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2.5000000000000001E-3</v>
          </cell>
          <cell r="DV629">
            <v>8.15</v>
          </cell>
          <cell r="DW629">
            <v>0.11600000000000001</v>
          </cell>
          <cell r="DX629">
            <v>349.08</v>
          </cell>
          <cell r="DY629" t="str">
            <v/>
          </cell>
          <cell r="DZ629">
            <v>0</v>
          </cell>
          <cell r="EA629">
            <v>3009.3103448275861</v>
          </cell>
        </row>
        <row r="630">
          <cell r="B630">
            <v>363852</v>
          </cell>
          <cell r="C630" t="str">
            <v>მაკარონი_ლაზეტი_ვერმიშელი_0.5კგ*20</v>
          </cell>
          <cell r="D630" t="str">
            <v>TON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1.5E-3</v>
          </cell>
          <cell r="AF630">
            <v>4.4800000000000004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O630">
            <v>1.5E-3</v>
          </cell>
          <cell r="AP630">
            <v>4.4800000000000004</v>
          </cell>
          <cell r="AS630">
            <v>0</v>
          </cell>
          <cell r="AT630">
            <v>0</v>
          </cell>
          <cell r="AU630">
            <v>3.9E-2</v>
          </cell>
          <cell r="AV630">
            <v>117.02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0.01</v>
          </cell>
          <cell r="BZ630">
            <v>30.53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1.15E-2</v>
          </cell>
          <cell r="CF630">
            <v>34.380000000000003</v>
          </cell>
          <cell r="CG630">
            <v>0</v>
          </cell>
          <cell r="CH630">
            <v>0</v>
          </cell>
          <cell r="CI630">
            <v>2.1499999999999998E-2</v>
          </cell>
          <cell r="CJ630">
            <v>64.91</v>
          </cell>
          <cell r="CK630">
            <v>2.1499999999999998E-2</v>
          </cell>
          <cell r="CL630">
            <v>64.91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2.5000000000000001E-3</v>
          </cell>
          <cell r="CV630">
            <v>7.63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1.0999999999999999E-2</v>
          </cell>
          <cell r="DD630">
            <v>32.049999999999997</v>
          </cell>
          <cell r="DE630">
            <v>1.0999999999999999E-2</v>
          </cell>
          <cell r="DF630">
            <v>32.049999999999997</v>
          </cell>
          <cell r="DG630">
            <v>0</v>
          </cell>
          <cell r="DH630">
            <v>0</v>
          </cell>
          <cell r="DI630">
            <v>2.5000000000000001E-3</v>
          </cell>
          <cell r="DJ630">
            <v>7.95</v>
          </cell>
          <cell r="DK630">
            <v>0</v>
          </cell>
          <cell r="DL630">
            <v>0</v>
          </cell>
          <cell r="DM630">
            <v>2.5000000000000001E-3</v>
          </cell>
          <cell r="DN630">
            <v>7.95</v>
          </cell>
          <cell r="DO630">
            <v>2.5000000000000001E-3</v>
          </cell>
          <cell r="DP630">
            <v>7.63</v>
          </cell>
          <cell r="DQ630">
            <v>0</v>
          </cell>
          <cell r="DR630">
            <v>0</v>
          </cell>
          <cell r="DS630">
            <v>0</v>
          </cell>
          <cell r="DT630">
            <v>0</v>
          </cell>
          <cell r="DU630">
            <v>2.5000000000000001E-3</v>
          </cell>
          <cell r="DV630">
            <v>7.63</v>
          </cell>
          <cell r="DW630">
            <v>3.9E-2</v>
          </cell>
          <cell r="DX630">
            <v>117.02</v>
          </cell>
          <cell r="DY630" t="str">
            <v/>
          </cell>
          <cell r="DZ630">
            <v>0</v>
          </cell>
          <cell r="EA630">
            <v>3000.5128205128203</v>
          </cell>
        </row>
        <row r="631">
          <cell r="B631">
            <v>379914</v>
          </cell>
          <cell r="C631" t="str">
            <v>მაკარონი_ლაზეტი_კვადრეტი_0.5კგ*20</v>
          </cell>
          <cell r="D631" t="str">
            <v>TON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O631">
            <v>0</v>
          </cell>
          <cell r="AP631">
            <v>0</v>
          </cell>
          <cell r="AS631">
            <v>0</v>
          </cell>
          <cell r="AT631">
            <v>0</v>
          </cell>
          <cell r="AU631">
            <v>1.2500000000000001E-2</v>
          </cell>
          <cell r="AV631">
            <v>38.799999999999997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O631">
            <v>0</v>
          </cell>
          <cell r="CP631">
            <v>0</v>
          </cell>
          <cell r="CQ631">
            <v>0</v>
          </cell>
          <cell r="CR631">
            <v>0</v>
          </cell>
          <cell r="CS631">
            <v>0</v>
          </cell>
          <cell r="CT631">
            <v>0</v>
          </cell>
          <cell r="CU631">
            <v>0</v>
          </cell>
          <cell r="CV631">
            <v>0</v>
          </cell>
          <cell r="CW631">
            <v>0</v>
          </cell>
          <cell r="CX631">
            <v>0</v>
          </cell>
          <cell r="CY631">
            <v>0</v>
          </cell>
          <cell r="CZ631">
            <v>0</v>
          </cell>
          <cell r="DA631">
            <v>0</v>
          </cell>
          <cell r="DB631">
            <v>0</v>
          </cell>
          <cell r="DC631">
            <v>0</v>
          </cell>
          <cell r="DD631">
            <v>0</v>
          </cell>
          <cell r="DE631">
            <v>0</v>
          </cell>
          <cell r="DF631">
            <v>0</v>
          </cell>
          <cell r="DG631">
            <v>0.01</v>
          </cell>
          <cell r="DH631">
            <v>30.85</v>
          </cell>
          <cell r="DI631">
            <v>1.5E-3</v>
          </cell>
          <cell r="DJ631">
            <v>4.7699999999999996</v>
          </cell>
          <cell r="DK631">
            <v>1E-3</v>
          </cell>
          <cell r="DL631">
            <v>3.18</v>
          </cell>
          <cell r="DM631">
            <v>1.2500000000000001E-2</v>
          </cell>
          <cell r="DN631">
            <v>38.799999999999997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1.2500000000000001E-2</v>
          </cell>
          <cell r="DX631">
            <v>38.799999999999997</v>
          </cell>
          <cell r="DY631" t="str">
            <v/>
          </cell>
          <cell r="DZ631">
            <v>0</v>
          </cell>
          <cell r="EA631">
            <v>3103.9999999999995</v>
          </cell>
        </row>
        <row r="632">
          <cell r="B632">
            <v>361850</v>
          </cell>
          <cell r="C632" t="str">
            <v>მაკარონი_საოცრება_კალამი_20კგ</v>
          </cell>
          <cell r="D632" t="str">
            <v>TON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O632">
            <v>0</v>
          </cell>
          <cell r="P632">
            <v>0</v>
          </cell>
          <cell r="Q632">
            <v>0.24</v>
          </cell>
          <cell r="R632">
            <v>360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0.24</v>
          </cell>
          <cell r="Z632">
            <v>360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0.02</v>
          </cell>
          <cell r="AL632">
            <v>30</v>
          </cell>
          <cell r="AO632">
            <v>0.02</v>
          </cell>
          <cell r="AP632">
            <v>30</v>
          </cell>
          <cell r="AS632">
            <v>0</v>
          </cell>
          <cell r="AT632">
            <v>0</v>
          </cell>
          <cell r="AU632">
            <v>0.7</v>
          </cell>
          <cell r="AV632">
            <v>1050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0.1</v>
          </cell>
          <cell r="BD632">
            <v>150</v>
          </cell>
          <cell r="BE632">
            <v>0.1</v>
          </cell>
          <cell r="BF632">
            <v>150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0.02</v>
          </cell>
          <cell r="BL632">
            <v>30</v>
          </cell>
          <cell r="BM632">
            <v>0.06</v>
          </cell>
          <cell r="BN632">
            <v>90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0.08</v>
          </cell>
          <cell r="BT632">
            <v>120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0.02</v>
          </cell>
          <cell r="CD632">
            <v>30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0.02</v>
          </cell>
          <cell r="CJ632">
            <v>30</v>
          </cell>
          <cell r="CK632">
            <v>0.1</v>
          </cell>
          <cell r="CL632">
            <v>150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0.04</v>
          </cell>
          <cell r="CV632">
            <v>60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0.02</v>
          </cell>
          <cell r="DH632">
            <v>30</v>
          </cell>
          <cell r="DI632">
            <v>0.08</v>
          </cell>
          <cell r="DJ632">
            <v>120</v>
          </cell>
          <cell r="DK632">
            <v>0.1</v>
          </cell>
          <cell r="DL632">
            <v>150</v>
          </cell>
          <cell r="DM632">
            <v>0.2</v>
          </cell>
          <cell r="DN632">
            <v>300</v>
          </cell>
          <cell r="DO632">
            <v>0.02</v>
          </cell>
          <cell r="DP632">
            <v>30</v>
          </cell>
          <cell r="DQ632">
            <v>0.02</v>
          </cell>
          <cell r="DR632">
            <v>30</v>
          </cell>
          <cell r="DS632">
            <v>0</v>
          </cell>
          <cell r="DT632">
            <v>0</v>
          </cell>
          <cell r="DU632">
            <v>0.04</v>
          </cell>
          <cell r="DV632">
            <v>60</v>
          </cell>
          <cell r="DW632">
            <v>0.70000000000000007</v>
          </cell>
          <cell r="DX632">
            <v>1050</v>
          </cell>
          <cell r="DY632" t="str">
            <v/>
          </cell>
          <cell r="DZ632">
            <v>0</v>
          </cell>
          <cell r="EA632">
            <v>1499.9999999999998</v>
          </cell>
        </row>
        <row r="633">
          <cell r="B633">
            <v>361851</v>
          </cell>
          <cell r="C633" t="str">
            <v>მაკარონი_საოცრება_მსხვილი მილი_20კგ</v>
          </cell>
          <cell r="D633" t="str">
            <v>TON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O633">
            <v>0</v>
          </cell>
          <cell r="AP633">
            <v>0</v>
          </cell>
          <cell r="AS633">
            <v>0</v>
          </cell>
          <cell r="AT633">
            <v>0</v>
          </cell>
          <cell r="AU633">
            <v>0.16</v>
          </cell>
          <cell r="AV633">
            <v>240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0.08</v>
          </cell>
          <cell r="BD633">
            <v>120</v>
          </cell>
          <cell r="BE633">
            <v>0.08</v>
          </cell>
          <cell r="BF633">
            <v>120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0.02</v>
          </cell>
          <cell r="BN633">
            <v>30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0.02</v>
          </cell>
          <cell r="BT633">
            <v>30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0.02</v>
          </cell>
          <cell r="CL633">
            <v>30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0.04</v>
          </cell>
          <cell r="DJ633">
            <v>60</v>
          </cell>
          <cell r="DK633">
            <v>0.02</v>
          </cell>
          <cell r="DL633">
            <v>30</v>
          </cell>
          <cell r="DM633">
            <v>0.06</v>
          </cell>
          <cell r="DN633">
            <v>90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0.16</v>
          </cell>
          <cell r="DX633">
            <v>240</v>
          </cell>
          <cell r="DY633" t="str">
            <v/>
          </cell>
          <cell r="DZ633">
            <v>0</v>
          </cell>
          <cell r="EA633">
            <v>1500</v>
          </cell>
        </row>
        <row r="634">
          <cell r="B634">
            <v>361854</v>
          </cell>
          <cell r="C634" t="str">
            <v>მაკარონი_საოცრება_ვერმიშელი_20კგ</v>
          </cell>
          <cell r="D634" t="str">
            <v>TON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0.02</v>
          </cell>
          <cell r="AL634">
            <v>30</v>
          </cell>
          <cell r="AO634">
            <v>0.02</v>
          </cell>
          <cell r="AP634">
            <v>30</v>
          </cell>
          <cell r="AS634">
            <v>0</v>
          </cell>
          <cell r="AT634">
            <v>0</v>
          </cell>
          <cell r="AU634">
            <v>0.26</v>
          </cell>
          <cell r="AV634">
            <v>390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0.08</v>
          </cell>
          <cell r="BD634">
            <v>120</v>
          </cell>
          <cell r="BE634">
            <v>0.08</v>
          </cell>
          <cell r="BF634">
            <v>120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0.02</v>
          </cell>
          <cell r="BL634">
            <v>30</v>
          </cell>
          <cell r="BM634">
            <v>0.04</v>
          </cell>
          <cell r="BN634">
            <v>60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0.06</v>
          </cell>
          <cell r="BT634">
            <v>90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0.06</v>
          </cell>
          <cell r="CL634">
            <v>90</v>
          </cell>
          <cell r="CO634">
            <v>0</v>
          </cell>
          <cell r="CP634">
            <v>0</v>
          </cell>
          <cell r="CQ634">
            <v>0</v>
          </cell>
          <cell r="CR634">
            <v>0</v>
          </cell>
          <cell r="CS634">
            <v>0</v>
          </cell>
          <cell r="CT634">
            <v>0</v>
          </cell>
          <cell r="CU634">
            <v>0.04</v>
          </cell>
          <cell r="CV634">
            <v>60</v>
          </cell>
          <cell r="CW634">
            <v>0</v>
          </cell>
          <cell r="CX634">
            <v>0</v>
          </cell>
          <cell r="CY634">
            <v>0</v>
          </cell>
          <cell r="CZ634">
            <v>0</v>
          </cell>
          <cell r="DA634">
            <v>0</v>
          </cell>
          <cell r="DB634">
            <v>0</v>
          </cell>
          <cell r="DC634">
            <v>0</v>
          </cell>
          <cell r="DD634">
            <v>0</v>
          </cell>
          <cell r="DE634">
            <v>0</v>
          </cell>
          <cell r="DF634">
            <v>0</v>
          </cell>
          <cell r="DG634">
            <v>0.02</v>
          </cell>
          <cell r="DH634">
            <v>30</v>
          </cell>
          <cell r="DI634">
            <v>0</v>
          </cell>
          <cell r="DJ634">
            <v>0</v>
          </cell>
          <cell r="DK634">
            <v>0.04</v>
          </cell>
          <cell r="DL634">
            <v>60</v>
          </cell>
          <cell r="DM634">
            <v>0.06</v>
          </cell>
          <cell r="DN634">
            <v>90</v>
          </cell>
          <cell r="DO634">
            <v>0.02</v>
          </cell>
          <cell r="DP634">
            <v>30</v>
          </cell>
          <cell r="DQ634">
            <v>0</v>
          </cell>
          <cell r="DR634">
            <v>0</v>
          </cell>
          <cell r="DS634">
            <v>0.02</v>
          </cell>
          <cell r="DT634">
            <v>30</v>
          </cell>
          <cell r="DU634">
            <v>0.04</v>
          </cell>
          <cell r="DV634">
            <v>60</v>
          </cell>
          <cell r="DW634">
            <v>0.26</v>
          </cell>
          <cell r="DX634">
            <v>390</v>
          </cell>
          <cell r="DY634" t="str">
            <v/>
          </cell>
          <cell r="DZ634">
            <v>0</v>
          </cell>
          <cell r="EA634">
            <v>1500</v>
          </cell>
        </row>
        <row r="635">
          <cell r="B635">
            <v>361923</v>
          </cell>
          <cell r="C635" t="str">
            <v>მაკარონი_საოცრება_სპაგეტი_10კგ</v>
          </cell>
          <cell r="D635" t="str">
            <v>TON</v>
          </cell>
          <cell r="E635">
            <v>0.02</v>
          </cell>
          <cell r="F635">
            <v>30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O635">
            <v>0.02</v>
          </cell>
          <cell r="P635">
            <v>30</v>
          </cell>
          <cell r="Q635">
            <v>0</v>
          </cell>
          <cell r="R635">
            <v>0</v>
          </cell>
          <cell r="S635">
            <v>0.04</v>
          </cell>
          <cell r="T635">
            <v>60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0.04</v>
          </cell>
          <cell r="Z635">
            <v>60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O635">
            <v>0</v>
          </cell>
          <cell r="AP635">
            <v>0</v>
          </cell>
          <cell r="AS635">
            <v>0</v>
          </cell>
          <cell r="AT635">
            <v>0</v>
          </cell>
          <cell r="AU635">
            <v>0.21</v>
          </cell>
          <cell r="AV635">
            <v>312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0.06</v>
          </cell>
          <cell r="BD635">
            <v>90</v>
          </cell>
          <cell r="BE635">
            <v>0.06</v>
          </cell>
          <cell r="BF635">
            <v>90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0.08</v>
          </cell>
          <cell r="BL635">
            <v>117</v>
          </cell>
          <cell r="BM635">
            <v>0.01</v>
          </cell>
          <cell r="BN635">
            <v>15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0.09</v>
          </cell>
          <cell r="BT635">
            <v>132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0.09</v>
          </cell>
          <cell r="CL635">
            <v>132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  <cell r="DL635">
            <v>0</v>
          </cell>
          <cell r="DM635">
            <v>0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0.21</v>
          </cell>
          <cell r="DX635">
            <v>312</v>
          </cell>
          <cell r="DY635" t="str">
            <v/>
          </cell>
          <cell r="DZ635">
            <v>0</v>
          </cell>
          <cell r="EA635">
            <v>1485.7142857142858</v>
          </cell>
        </row>
        <row r="636">
          <cell r="B636">
            <v>362535</v>
          </cell>
          <cell r="C636" t="str">
            <v>მაკარონი_საოცრება_ნიჟარა_15კგ</v>
          </cell>
          <cell r="D636" t="str">
            <v>TON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O636">
            <v>0</v>
          </cell>
          <cell r="AP636">
            <v>0</v>
          </cell>
          <cell r="AS636">
            <v>0</v>
          </cell>
          <cell r="AT636">
            <v>0</v>
          </cell>
          <cell r="AU636">
            <v>0.24</v>
          </cell>
          <cell r="AV636">
            <v>355.5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0.06</v>
          </cell>
          <cell r="BD636">
            <v>90</v>
          </cell>
          <cell r="BE636">
            <v>0.06</v>
          </cell>
          <cell r="BF636">
            <v>90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0.09</v>
          </cell>
          <cell r="BL636">
            <v>130.5</v>
          </cell>
          <cell r="BM636">
            <v>4.4999999999999998E-2</v>
          </cell>
          <cell r="BN636">
            <v>67.5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0.13500000000000001</v>
          </cell>
          <cell r="BT636">
            <v>198</v>
          </cell>
          <cell r="BU636">
            <v>1.4999999999999999E-2</v>
          </cell>
          <cell r="BV636">
            <v>22.5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1.4999999999999999E-2</v>
          </cell>
          <cell r="CJ636">
            <v>22.5</v>
          </cell>
          <cell r="CK636">
            <v>0.15000000000000002</v>
          </cell>
          <cell r="CL636">
            <v>220.5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1.4999999999999999E-2</v>
          </cell>
          <cell r="CV636">
            <v>22.5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1.4999999999999999E-2</v>
          </cell>
          <cell r="DL636">
            <v>22.5</v>
          </cell>
          <cell r="DM636">
            <v>1.4999999999999999E-2</v>
          </cell>
          <cell r="DN636">
            <v>22.5</v>
          </cell>
          <cell r="DO636">
            <v>1.4999999999999999E-2</v>
          </cell>
          <cell r="DP636">
            <v>22.5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>
            <v>1.4999999999999999E-2</v>
          </cell>
          <cell r="DV636">
            <v>22.5</v>
          </cell>
          <cell r="DW636">
            <v>0.24000000000000002</v>
          </cell>
          <cell r="DX636">
            <v>355.5</v>
          </cell>
          <cell r="DY636" t="str">
            <v/>
          </cell>
          <cell r="DZ636">
            <v>0</v>
          </cell>
          <cell r="EA636">
            <v>1481.2499999999998</v>
          </cell>
        </row>
        <row r="637">
          <cell r="B637">
            <v>362536</v>
          </cell>
          <cell r="C637" t="str">
            <v>მაკარონი_საოცრება_სპირალი_15კგ</v>
          </cell>
          <cell r="D637" t="str">
            <v>TON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1.4999999999999999E-2</v>
          </cell>
          <cell r="AL637">
            <v>22.5</v>
          </cell>
          <cell r="AO637">
            <v>1.4999999999999999E-2</v>
          </cell>
          <cell r="AP637">
            <v>22.5</v>
          </cell>
          <cell r="AS637">
            <v>0</v>
          </cell>
          <cell r="AT637">
            <v>0</v>
          </cell>
          <cell r="AU637">
            <v>0.315</v>
          </cell>
          <cell r="AV637">
            <v>472.5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4.4999999999999998E-2</v>
          </cell>
          <cell r="BD637">
            <v>67.5</v>
          </cell>
          <cell r="BE637">
            <v>4.4999999999999998E-2</v>
          </cell>
          <cell r="BF637">
            <v>67.5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0.12</v>
          </cell>
          <cell r="BL637">
            <v>180</v>
          </cell>
          <cell r="BM637">
            <v>0.03</v>
          </cell>
          <cell r="BN637">
            <v>45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0.15</v>
          </cell>
          <cell r="BT637">
            <v>225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1.4999999999999999E-2</v>
          </cell>
          <cell r="CD637">
            <v>22.5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1.4999999999999999E-2</v>
          </cell>
          <cell r="CJ637">
            <v>22.5</v>
          </cell>
          <cell r="CK637">
            <v>0.16499999999999998</v>
          </cell>
          <cell r="CL637">
            <v>247.5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1.4999999999999999E-2</v>
          </cell>
          <cell r="CV637">
            <v>22.5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0.03</v>
          </cell>
          <cell r="DJ637">
            <v>45</v>
          </cell>
          <cell r="DK637">
            <v>4.4999999999999998E-2</v>
          </cell>
          <cell r="DL637">
            <v>67.5</v>
          </cell>
          <cell r="DM637">
            <v>7.4999999999999997E-2</v>
          </cell>
          <cell r="DN637">
            <v>112.5</v>
          </cell>
          <cell r="DO637">
            <v>1.4999999999999999E-2</v>
          </cell>
          <cell r="DP637">
            <v>22.5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1.4999999999999999E-2</v>
          </cell>
          <cell r="DV637">
            <v>22.5</v>
          </cell>
          <cell r="DW637">
            <v>0.315</v>
          </cell>
          <cell r="DX637">
            <v>472.5</v>
          </cell>
          <cell r="DY637" t="str">
            <v/>
          </cell>
          <cell r="DZ637">
            <v>0</v>
          </cell>
          <cell r="EA637">
            <v>1500</v>
          </cell>
        </row>
        <row r="638">
          <cell r="A638">
            <v>45</v>
          </cell>
          <cell r="C638" t="str">
            <v>MAKARON</v>
          </cell>
          <cell r="D638" t="str">
            <v>TON</v>
          </cell>
          <cell r="E638">
            <v>0.02</v>
          </cell>
          <cell r="F638">
            <v>30</v>
          </cell>
          <cell r="G638">
            <v>0.1075</v>
          </cell>
          <cell r="H638">
            <v>378.39000000000004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O638">
            <v>0.1275</v>
          </cell>
          <cell r="P638">
            <v>408.39000000000004</v>
          </cell>
          <cell r="Q638">
            <v>0.48</v>
          </cell>
          <cell r="R638">
            <v>1224</v>
          </cell>
          <cell r="S638">
            <v>0.24</v>
          </cell>
          <cell r="T638">
            <v>718.81999999999994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0.72000000000000008</v>
          </cell>
          <cell r="Z638">
            <v>1942.82</v>
          </cell>
          <cell r="AA638">
            <v>0</v>
          </cell>
          <cell r="AB638">
            <v>0</v>
          </cell>
          <cell r="AC638">
            <v>1.9E-2</v>
          </cell>
          <cell r="AD638">
            <v>77.37</v>
          </cell>
          <cell r="AE638">
            <v>6.5000000000000006E-3</v>
          </cell>
          <cell r="AF638">
            <v>21.8</v>
          </cell>
          <cell r="AG638">
            <v>8.1500000000000003E-2</v>
          </cell>
          <cell r="AH638">
            <v>334.15000000000003</v>
          </cell>
          <cell r="AI638">
            <v>0.10650000000000003</v>
          </cell>
          <cell r="AJ638">
            <v>426.53</v>
          </cell>
          <cell r="AK638">
            <v>0.19450000000000001</v>
          </cell>
          <cell r="AL638">
            <v>607.53000000000009</v>
          </cell>
          <cell r="AO638">
            <v>0.40800000000000003</v>
          </cell>
          <cell r="AP638">
            <v>1467.38</v>
          </cell>
          <cell r="AS638">
            <v>0</v>
          </cell>
          <cell r="AT638">
            <v>0</v>
          </cell>
          <cell r="AU638">
            <v>7.3755000000000006</v>
          </cell>
          <cell r="AV638">
            <v>23221.370000000003</v>
          </cell>
          <cell r="AW638">
            <v>0</v>
          </cell>
          <cell r="AX638">
            <v>0</v>
          </cell>
          <cell r="AY638">
            <v>8.2000000000000003E-2</v>
          </cell>
          <cell r="AZ638">
            <v>335.17999999999995</v>
          </cell>
          <cell r="BA638">
            <v>0</v>
          </cell>
          <cell r="BB638">
            <v>0</v>
          </cell>
          <cell r="BC638">
            <v>0.59050000000000002</v>
          </cell>
          <cell r="BD638">
            <v>1133.68</v>
          </cell>
          <cell r="BE638">
            <v>0.67250000000000021</v>
          </cell>
          <cell r="BF638">
            <v>1468.8600000000001</v>
          </cell>
          <cell r="BG638">
            <v>0.10550000000000001</v>
          </cell>
          <cell r="BH638">
            <v>423.55</v>
          </cell>
          <cell r="BI638">
            <v>0.23</v>
          </cell>
          <cell r="BJ638">
            <v>863.86</v>
          </cell>
          <cell r="BK638">
            <v>0.57750000000000001</v>
          </cell>
          <cell r="BL638">
            <v>1066.17</v>
          </cell>
          <cell r="BM638">
            <v>0.33399999999999996</v>
          </cell>
          <cell r="BN638">
            <v>826.91</v>
          </cell>
          <cell r="BO638">
            <v>0.27100000000000002</v>
          </cell>
          <cell r="BP638">
            <v>1107.92</v>
          </cell>
          <cell r="BQ638">
            <v>0</v>
          </cell>
          <cell r="BR638">
            <v>0</v>
          </cell>
          <cell r="BS638">
            <v>1.5355000000000001</v>
          </cell>
          <cell r="BT638">
            <v>4360.16</v>
          </cell>
          <cell r="BU638">
            <v>0.26300000000000001</v>
          </cell>
          <cell r="BV638">
            <v>917.08</v>
          </cell>
          <cell r="BW638">
            <v>7.5000000000000011E-2</v>
          </cell>
          <cell r="BX638">
            <v>284.91000000000003</v>
          </cell>
          <cell r="BY638">
            <v>0.29199999999999998</v>
          </cell>
          <cell r="BZ638">
            <v>1040.23</v>
          </cell>
          <cell r="CA638">
            <v>6.4000000000000001E-2</v>
          </cell>
          <cell r="CB638">
            <v>262.39999999999998</v>
          </cell>
          <cell r="CC638">
            <v>0.04</v>
          </cell>
          <cell r="CD638">
            <v>72</v>
          </cell>
          <cell r="CE638">
            <v>0.27100000000000002</v>
          </cell>
          <cell r="CF638">
            <v>964.4</v>
          </cell>
          <cell r="CG638">
            <v>0.06</v>
          </cell>
          <cell r="CH638">
            <v>207.36</v>
          </cell>
          <cell r="CI638">
            <v>1.0649999999999999</v>
          </cell>
          <cell r="CJ638">
            <v>3748.3799999999992</v>
          </cell>
          <cell r="CK638">
            <v>2.6004999999999998</v>
          </cell>
          <cell r="CL638">
            <v>8108.54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1.5569999999999997</v>
          </cell>
          <cell r="CV638">
            <v>5850.6399999999994</v>
          </cell>
          <cell r="CW638">
            <v>0</v>
          </cell>
          <cell r="CX638">
            <v>0</v>
          </cell>
          <cell r="CY638">
            <v>0.37</v>
          </cell>
          <cell r="CZ638">
            <v>1554</v>
          </cell>
          <cell r="DA638">
            <v>0.05</v>
          </cell>
          <cell r="DB638">
            <v>198.59999999999997</v>
          </cell>
          <cell r="DC638">
            <v>0.11399999999999999</v>
          </cell>
          <cell r="DD638">
            <v>333.77</v>
          </cell>
          <cell r="DE638">
            <v>0.53400000000000003</v>
          </cell>
          <cell r="DF638">
            <v>2086.3700000000003</v>
          </cell>
          <cell r="DG638">
            <v>0.20600000000000002</v>
          </cell>
          <cell r="DH638">
            <v>672.57</v>
          </cell>
          <cell r="DI638">
            <v>0.2515</v>
          </cell>
          <cell r="DJ638">
            <v>576.92999999999995</v>
          </cell>
          <cell r="DK638">
            <v>0.29849999999999999</v>
          </cell>
          <cell r="DL638">
            <v>638.87</v>
          </cell>
          <cell r="DM638">
            <v>0.75600000000000012</v>
          </cell>
          <cell r="DN638">
            <v>1888.37</v>
          </cell>
          <cell r="DO638">
            <v>0.24049999999999999</v>
          </cell>
          <cell r="DP638">
            <v>780.25000000000011</v>
          </cell>
          <cell r="DQ638">
            <v>4.2499999999999996E-2</v>
          </cell>
          <cell r="DR638">
            <v>121.75</v>
          </cell>
          <cell r="DS638">
            <v>1.274</v>
          </cell>
          <cell r="DT638">
            <v>4948.6399999999994</v>
          </cell>
          <cell r="DU638">
            <v>1.5569999999999997</v>
          </cell>
          <cell r="DV638">
            <v>5850.6399999999994</v>
          </cell>
          <cell r="DW638">
            <v>7.3755000000000006</v>
          </cell>
          <cell r="DX638">
            <v>23221.37</v>
          </cell>
          <cell r="DY638" t="str">
            <v>Hedef</v>
          </cell>
          <cell r="DZ638">
            <v>0</v>
          </cell>
          <cell r="EA638">
            <v>3148.4468849569516</v>
          </cell>
        </row>
        <row r="639">
          <cell r="A639">
            <v>11</v>
          </cell>
          <cell r="C639" t="str">
            <v>PAKETLI URUNLER ve MAKARON</v>
          </cell>
          <cell r="D639" t="str">
            <v>TON</v>
          </cell>
          <cell r="E639">
            <v>8.9999999999999993E-3</v>
          </cell>
          <cell r="F639">
            <v>19.010000000000002</v>
          </cell>
          <cell r="G639">
            <v>0.11839999999999999</v>
          </cell>
          <cell r="H639">
            <v>455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O639">
            <v>0.12739999999999999</v>
          </cell>
          <cell r="P639">
            <v>474.01</v>
          </cell>
          <cell r="Q639">
            <v>0</v>
          </cell>
          <cell r="R639">
            <v>0</v>
          </cell>
          <cell r="S639">
            <v>6.5000000000000002E-2</v>
          </cell>
          <cell r="T639">
            <v>253.76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6.5000000000000002E-2</v>
          </cell>
          <cell r="Z639">
            <v>253.76</v>
          </cell>
          <cell r="AA639">
            <v>0</v>
          </cell>
          <cell r="AB639">
            <v>0</v>
          </cell>
          <cell r="AC639">
            <v>0.2908</v>
          </cell>
          <cell r="AD639">
            <v>1195.1100000000001</v>
          </cell>
          <cell r="AE639">
            <v>6.0000000000000001E-3</v>
          </cell>
          <cell r="AF639">
            <v>18.7</v>
          </cell>
          <cell r="AG639">
            <v>3.9300000000000002E-2</v>
          </cell>
          <cell r="AH639">
            <v>144.17000000000002</v>
          </cell>
          <cell r="AI639">
            <v>0.32890000000000003</v>
          </cell>
          <cell r="AJ639">
            <v>1399.7800000000002</v>
          </cell>
          <cell r="AK639">
            <v>0.26590000000000003</v>
          </cell>
          <cell r="AL639">
            <v>1119.27</v>
          </cell>
          <cell r="AO639">
            <v>0.93090000000000006</v>
          </cell>
          <cell r="AP639">
            <v>3877.03</v>
          </cell>
          <cell r="AS639">
            <v>0</v>
          </cell>
          <cell r="AT639">
            <v>0</v>
          </cell>
          <cell r="AU639">
            <v>7.5089000000000015</v>
          </cell>
          <cell r="AV639">
            <v>32702.879999999997</v>
          </cell>
          <cell r="AW639">
            <v>0</v>
          </cell>
          <cell r="AX639">
            <v>0</v>
          </cell>
          <cell r="AY639">
            <v>0.28039999999999998</v>
          </cell>
          <cell r="AZ639">
            <v>1445.76</v>
          </cell>
          <cell r="BA639">
            <v>0</v>
          </cell>
          <cell r="BB639">
            <v>0</v>
          </cell>
          <cell r="BC639">
            <v>0.1023</v>
          </cell>
          <cell r="BD639">
            <v>382.71000000000004</v>
          </cell>
          <cell r="BE639">
            <v>0.38269999999999998</v>
          </cell>
          <cell r="BF639">
            <v>1828.47</v>
          </cell>
          <cell r="BG639">
            <v>0.13155</v>
          </cell>
          <cell r="BH639">
            <v>507.09000000000003</v>
          </cell>
          <cell r="BI639">
            <v>0.14879999999999999</v>
          </cell>
          <cell r="BJ639">
            <v>568.94000000000005</v>
          </cell>
          <cell r="BK639">
            <v>0.13169999999999998</v>
          </cell>
          <cell r="BL639">
            <v>504.98</v>
          </cell>
          <cell r="BM639">
            <v>0.1681</v>
          </cell>
          <cell r="BN639">
            <v>609.34999999999991</v>
          </cell>
          <cell r="BO639">
            <v>0.32325000000000004</v>
          </cell>
          <cell r="BP639">
            <v>1330.02</v>
          </cell>
          <cell r="BQ639">
            <v>0</v>
          </cell>
          <cell r="BR639">
            <v>0</v>
          </cell>
          <cell r="BS639">
            <v>0.91669999999999996</v>
          </cell>
          <cell r="BT639">
            <v>3567.24</v>
          </cell>
          <cell r="BU639">
            <v>0.18065000000000001</v>
          </cell>
          <cell r="BV639">
            <v>671.34999999999991</v>
          </cell>
          <cell r="BW639">
            <v>0.15129999999999999</v>
          </cell>
          <cell r="BX639">
            <v>593.44000000000005</v>
          </cell>
          <cell r="BY639">
            <v>5.04E-2</v>
          </cell>
          <cell r="BZ639">
            <v>213.54000000000002</v>
          </cell>
          <cell r="CA639">
            <v>0.24750000000000003</v>
          </cell>
          <cell r="CB639">
            <v>1246.95</v>
          </cell>
          <cell r="CC639">
            <v>0.1152</v>
          </cell>
          <cell r="CD639">
            <v>555.26</v>
          </cell>
          <cell r="CE639">
            <v>0.53525</v>
          </cell>
          <cell r="CF639">
            <v>2616.6499999999996</v>
          </cell>
          <cell r="CG639">
            <v>1.4200000000000001E-2</v>
          </cell>
          <cell r="CH639">
            <v>51.65</v>
          </cell>
          <cell r="CI639">
            <v>1.2945000000000002</v>
          </cell>
          <cell r="CJ639">
            <v>5948.8399999999992</v>
          </cell>
          <cell r="CK639">
            <v>2.2111999999999998</v>
          </cell>
          <cell r="CL639">
            <v>9516.08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1.3002999999999998</v>
          </cell>
          <cell r="CV639">
            <v>5289.98</v>
          </cell>
          <cell r="CW639">
            <v>0</v>
          </cell>
          <cell r="CX639">
            <v>0</v>
          </cell>
          <cell r="CY639">
            <v>1.1172</v>
          </cell>
          <cell r="CZ639">
            <v>5513.11</v>
          </cell>
          <cell r="DA639">
            <v>0.18049999999999999</v>
          </cell>
          <cell r="DB639">
            <v>815.4</v>
          </cell>
          <cell r="DC639">
            <v>0.65690000000000004</v>
          </cell>
          <cell r="DD639">
            <v>2890.3999999999996</v>
          </cell>
          <cell r="DE639">
            <v>1.9546000000000001</v>
          </cell>
          <cell r="DF639">
            <v>9218.91</v>
          </cell>
          <cell r="DG639">
            <v>0.35449999999999993</v>
          </cell>
          <cell r="DH639">
            <v>1489.15</v>
          </cell>
          <cell r="DI639">
            <v>0.10890000000000001</v>
          </cell>
          <cell r="DJ639">
            <v>445.72</v>
          </cell>
          <cell r="DK639">
            <v>7.3400000000000007E-2</v>
          </cell>
          <cell r="DL639">
            <v>309.77</v>
          </cell>
          <cell r="DM639">
            <v>0.53679999999999994</v>
          </cell>
          <cell r="DN639">
            <v>2244.6400000000003</v>
          </cell>
          <cell r="DO639">
            <v>0.62219999999999998</v>
          </cell>
          <cell r="DP639">
            <v>2258.62</v>
          </cell>
          <cell r="DQ639">
            <v>0.28300000000000003</v>
          </cell>
          <cell r="DR639">
            <v>1241.21</v>
          </cell>
          <cell r="DS639">
            <v>0.39510000000000001</v>
          </cell>
          <cell r="DT639">
            <v>1790.15</v>
          </cell>
          <cell r="DU639">
            <v>1.3002999999999998</v>
          </cell>
          <cell r="DV639">
            <v>5289.98</v>
          </cell>
          <cell r="DW639">
            <v>7.5089000000000015</v>
          </cell>
          <cell r="DX639">
            <v>32702.879999999997</v>
          </cell>
          <cell r="DY639" t="str">
            <v>Hedef</v>
          </cell>
          <cell r="DZ639">
            <v>0</v>
          </cell>
          <cell r="EA639">
            <v>4355.2158105714543</v>
          </cell>
        </row>
        <row r="640">
          <cell r="A640">
            <v>10</v>
          </cell>
          <cell r="C640" t="str">
            <v>Paketli Urunler</v>
          </cell>
          <cell r="D640" t="str">
            <v>TON</v>
          </cell>
          <cell r="E640">
            <v>8.9999999999999993E-3</v>
          </cell>
          <cell r="F640">
            <v>19.010000000000002</v>
          </cell>
          <cell r="G640">
            <v>0.11839999999999999</v>
          </cell>
          <cell r="H640">
            <v>455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O640">
            <v>0.12739999999999999</v>
          </cell>
          <cell r="P640">
            <v>474.01</v>
          </cell>
          <cell r="Q640">
            <v>0</v>
          </cell>
          <cell r="R640">
            <v>0</v>
          </cell>
          <cell r="S640">
            <v>6.5000000000000002E-2</v>
          </cell>
          <cell r="T640">
            <v>253.76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6.5000000000000002E-2</v>
          </cell>
          <cell r="Z640">
            <v>253.76</v>
          </cell>
          <cell r="AA640">
            <v>0</v>
          </cell>
          <cell r="AB640">
            <v>0</v>
          </cell>
          <cell r="AC640">
            <v>0.2908</v>
          </cell>
          <cell r="AD640">
            <v>1195.1100000000001</v>
          </cell>
          <cell r="AE640">
            <v>6.0000000000000001E-3</v>
          </cell>
          <cell r="AF640">
            <v>18.7</v>
          </cell>
          <cell r="AG640">
            <v>3.9300000000000002E-2</v>
          </cell>
          <cell r="AH640">
            <v>144.17000000000002</v>
          </cell>
          <cell r="AI640">
            <v>0.32890000000000003</v>
          </cell>
          <cell r="AJ640">
            <v>1399.7800000000002</v>
          </cell>
          <cell r="AK640">
            <v>0.26590000000000003</v>
          </cell>
          <cell r="AL640">
            <v>1119.27</v>
          </cell>
          <cell r="AO640">
            <v>0.93090000000000006</v>
          </cell>
          <cell r="AP640">
            <v>3877.03</v>
          </cell>
          <cell r="AS640">
            <v>0</v>
          </cell>
          <cell r="AT640">
            <v>0</v>
          </cell>
          <cell r="AU640">
            <v>7.5089000000000015</v>
          </cell>
          <cell r="AV640">
            <v>32702.879999999997</v>
          </cell>
          <cell r="AW640">
            <v>0</v>
          </cell>
          <cell r="AX640">
            <v>0</v>
          </cell>
          <cell r="AY640">
            <v>0.28039999999999998</v>
          </cell>
          <cell r="AZ640">
            <v>1445.76</v>
          </cell>
          <cell r="BA640">
            <v>0</v>
          </cell>
          <cell r="BB640">
            <v>0</v>
          </cell>
          <cell r="BC640">
            <v>0.1023</v>
          </cell>
          <cell r="BD640">
            <v>382.71000000000004</v>
          </cell>
          <cell r="BE640">
            <v>0.38269999999999998</v>
          </cell>
          <cell r="BF640">
            <v>1828.47</v>
          </cell>
          <cell r="BG640">
            <v>0.13155</v>
          </cell>
          <cell r="BH640">
            <v>507.09000000000003</v>
          </cell>
          <cell r="BI640">
            <v>0.14879999999999999</v>
          </cell>
          <cell r="BJ640">
            <v>568.94000000000005</v>
          </cell>
          <cell r="BK640">
            <v>0.13169999999999998</v>
          </cell>
          <cell r="BL640">
            <v>504.98</v>
          </cell>
          <cell r="BM640">
            <v>0.1681</v>
          </cell>
          <cell r="BN640">
            <v>609.34999999999991</v>
          </cell>
          <cell r="BO640">
            <v>0.32325000000000004</v>
          </cell>
          <cell r="BP640">
            <v>1330.02</v>
          </cell>
          <cell r="BQ640">
            <v>0</v>
          </cell>
          <cell r="BR640">
            <v>0</v>
          </cell>
          <cell r="BS640">
            <v>0.91669999999999996</v>
          </cell>
          <cell r="BT640">
            <v>3567.24</v>
          </cell>
          <cell r="BU640">
            <v>0.18065000000000001</v>
          </cell>
          <cell r="BV640">
            <v>671.34999999999991</v>
          </cell>
          <cell r="BW640">
            <v>0.15129999999999999</v>
          </cell>
          <cell r="BX640">
            <v>593.44000000000005</v>
          </cell>
          <cell r="BY640">
            <v>5.04E-2</v>
          </cell>
          <cell r="BZ640">
            <v>213.54000000000002</v>
          </cell>
          <cell r="CA640">
            <v>0.24750000000000003</v>
          </cell>
          <cell r="CB640">
            <v>1246.95</v>
          </cell>
          <cell r="CC640">
            <v>0.1152</v>
          </cell>
          <cell r="CD640">
            <v>555.26</v>
          </cell>
          <cell r="CE640">
            <v>0.53525</v>
          </cell>
          <cell r="CF640">
            <v>2616.6499999999996</v>
          </cell>
          <cell r="CG640">
            <v>1.4200000000000001E-2</v>
          </cell>
          <cell r="CH640">
            <v>51.65</v>
          </cell>
          <cell r="CI640">
            <v>1.2945000000000002</v>
          </cell>
          <cell r="CJ640">
            <v>5948.8399999999992</v>
          </cell>
          <cell r="CK640">
            <v>2.2111999999999998</v>
          </cell>
          <cell r="CL640">
            <v>9516.08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1.3002999999999998</v>
          </cell>
          <cell r="CV640">
            <v>5289.98</v>
          </cell>
          <cell r="CW640">
            <v>0</v>
          </cell>
          <cell r="CX640">
            <v>0</v>
          </cell>
          <cell r="CY640">
            <v>1.1172</v>
          </cell>
          <cell r="CZ640">
            <v>5513.11</v>
          </cell>
          <cell r="DA640">
            <v>0.18049999999999999</v>
          </cell>
          <cell r="DB640">
            <v>815.4</v>
          </cell>
          <cell r="DC640">
            <v>0.65690000000000004</v>
          </cell>
          <cell r="DD640">
            <v>2890.3999999999996</v>
          </cell>
          <cell r="DE640">
            <v>1.9546000000000001</v>
          </cell>
          <cell r="DF640">
            <v>9218.91</v>
          </cell>
          <cell r="DG640">
            <v>0.35449999999999993</v>
          </cell>
          <cell r="DH640">
            <v>1489.15</v>
          </cell>
          <cell r="DI640">
            <v>0.10890000000000001</v>
          </cell>
          <cell r="DJ640">
            <v>445.72</v>
          </cell>
          <cell r="DK640">
            <v>7.3400000000000007E-2</v>
          </cell>
          <cell r="DL640">
            <v>309.77</v>
          </cell>
          <cell r="DM640">
            <v>0.53679999999999994</v>
          </cell>
          <cell r="DN640">
            <v>2244.6400000000003</v>
          </cell>
          <cell r="DO640">
            <v>0.62219999999999998</v>
          </cell>
          <cell r="DP640">
            <v>2258.62</v>
          </cell>
          <cell r="DQ640">
            <v>0.28300000000000003</v>
          </cell>
          <cell r="DR640">
            <v>1241.21</v>
          </cell>
          <cell r="DS640">
            <v>0.39510000000000001</v>
          </cell>
          <cell r="DT640">
            <v>1790.15</v>
          </cell>
          <cell r="DU640">
            <v>1.3002999999999998</v>
          </cell>
          <cell r="DV640">
            <v>5289.98</v>
          </cell>
          <cell r="DW640">
            <v>7.5089000000000015</v>
          </cell>
          <cell r="DX640">
            <v>32702.879999999997</v>
          </cell>
          <cell r="DZ640">
            <v>0</v>
          </cell>
          <cell r="EA640">
            <v>4355.2158105714543</v>
          </cell>
        </row>
        <row r="641">
          <cell r="B641">
            <v>264515</v>
          </cell>
          <cell r="C641" t="str">
            <v>ტ-პასტა-ფინალი-275გრ*20</v>
          </cell>
          <cell r="D641" t="str">
            <v>TON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O641">
            <v>0</v>
          </cell>
          <cell r="AP641">
            <v>0</v>
          </cell>
          <cell r="AS641">
            <v>0</v>
          </cell>
          <cell r="AT641">
            <v>0</v>
          </cell>
          <cell r="AU641">
            <v>-2.7500000000000002E-4</v>
          </cell>
          <cell r="AV641">
            <v>-2.4700000000000002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-2.7500000000000002E-4</v>
          </cell>
          <cell r="BD641">
            <v>-2.4700000000000002</v>
          </cell>
          <cell r="BE641">
            <v>-2.7500000000000002E-4</v>
          </cell>
          <cell r="BF641">
            <v>-2.4700000000000002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O641">
            <v>0</v>
          </cell>
          <cell r="CP641">
            <v>0</v>
          </cell>
          <cell r="CQ641">
            <v>0</v>
          </cell>
          <cell r="CR641">
            <v>0</v>
          </cell>
          <cell r="CS641">
            <v>0</v>
          </cell>
          <cell r="CT641">
            <v>0</v>
          </cell>
          <cell r="CU641">
            <v>0</v>
          </cell>
          <cell r="CV641">
            <v>0</v>
          </cell>
          <cell r="CW641">
            <v>0</v>
          </cell>
          <cell r="CX641">
            <v>0</v>
          </cell>
          <cell r="CY641">
            <v>0</v>
          </cell>
          <cell r="CZ641">
            <v>0</v>
          </cell>
          <cell r="DA641">
            <v>0</v>
          </cell>
          <cell r="DB641">
            <v>0</v>
          </cell>
          <cell r="DC641">
            <v>0</v>
          </cell>
          <cell r="DD641">
            <v>0</v>
          </cell>
          <cell r="DE641">
            <v>0</v>
          </cell>
          <cell r="DF641">
            <v>0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0</v>
          </cell>
          <cell r="DL641">
            <v>0</v>
          </cell>
          <cell r="DM641">
            <v>0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-2.7500000000000002E-4</v>
          </cell>
          <cell r="DX641">
            <v>-2.4700000000000002</v>
          </cell>
          <cell r="DY641" t="str">
            <v/>
          </cell>
          <cell r="DZ641">
            <v>0</v>
          </cell>
          <cell r="EA641">
            <v>8981.818181818182</v>
          </cell>
        </row>
        <row r="642">
          <cell r="B642">
            <v>97344</v>
          </cell>
          <cell r="C642" t="str">
            <v>CHVENI SUPRA TOMAT PASTASI_720 GR*12</v>
          </cell>
          <cell r="D642" t="str">
            <v>TON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O642">
            <v>0</v>
          </cell>
          <cell r="AP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0</v>
          </cell>
          <cell r="CY642">
            <v>0</v>
          </cell>
          <cell r="CZ642">
            <v>0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  <cell r="DX642">
            <v>0</v>
          </cell>
          <cell r="DY642" t="str">
            <v/>
          </cell>
          <cell r="DZ642" t="str">
            <v>pasiv</v>
          </cell>
          <cell r="EA642" t="e">
            <v>#DIV/0!</v>
          </cell>
        </row>
        <row r="643">
          <cell r="B643">
            <v>374040</v>
          </cell>
          <cell r="C643" t="str">
            <v>ტ-პასტა-ფინალი-4.3კგ*4</v>
          </cell>
          <cell r="D643" t="str">
            <v>TON</v>
          </cell>
          <cell r="E643">
            <v>0</v>
          </cell>
          <cell r="F643">
            <v>0</v>
          </cell>
          <cell r="G643">
            <v>8.6E-3</v>
          </cell>
          <cell r="H643">
            <v>72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O643">
            <v>8.6E-3</v>
          </cell>
          <cell r="P643">
            <v>72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O643">
            <v>0</v>
          </cell>
          <cell r="AP643">
            <v>0</v>
          </cell>
          <cell r="AS643">
            <v>0</v>
          </cell>
          <cell r="AT643">
            <v>0</v>
          </cell>
          <cell r="AU643">
            <v>8.6E-3</v>
          </cell>
          <cell r="AV643">
            <v>72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  <cell r="DL643">
            <v>0</v>
          </cell>
          <cell r="DM643">
            <v>0</v>
          </cell>
          <cell r="DN643">
            <v>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8.6E-3</v>
          </cell>
          <cell r="DX643">
            <v>72</v>
          </cell>
          <cell r="DY643" t="str">
            <v/>
          </cell>
          <cell r="DZ643">
            <v>0</v>
          </cell>
          <cell r="EA643">
            <v>8372.0930232558148</v>
          </cell>
        </row>
        <row r="644">
          <cell r="B644">
            <v>17464</v>
          </cell>
          <cell r="C644" t="str">
            <v>FINAL SALCA 720*12</v>
          </cell>
          <cell r="D644" t="str">
            <v>TON</v>
          </cell>
          <cell r="E644">
            <v>8.6400000000000001E-3</v>
          </cell>
          <cell r="F644">
            <v>66</v>
          </cell>
          <cell r="G644">
            <v>4.3200000000000001E-3</v>
          </cell>
          <cell r="H644">
            <v>32.01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O644">
            <v>1.2959999999999999E-2</v>
          </cell>
          <cell r="P644">
            <v>98.009999999999991</v>
          </cell>
          <cell r="Q644">
            <v>4.3200000000000002E-2</v>
          </cell>
          <cell r="R644">
            <v>320.10000000000002</v>
          </cell>
          <cell r="S644">
            <v>7.7759999999999996E-2</v>
          </cell>
          <cell r="T644">
            <v>569.58000000000004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0.12096</v>
          </cell>
          <cell r="Z644">
            <v>889.68000000000006</v>
          </cell>
          <cell r="AA644">
            <v>0</v>
          </cell>
          <cell r="AB644">
            <v>0</v>
          </cell>
          <cell r="AC644">
            <v>8.6400000000000001E-3</v>
          </cell>
          <cell r="AD644">
            <v>69.36</v>
          </cell>
          <cell r="AE644">
            <v>0</v>
          </cell>
          <cell r="AF644">
            <v>0</v>
          </cell>
          <cell r="AG644">
            <v>1.728E-2</v>
          </cell>
          <cell r="AH644">
            <v>133.38</v>
          </cell>
          <cell r="AI644">
            <v>2.1600000000000001E-2</v>
          </cell>
          <cell r="AJ644">
            <v>173.4</v>
          </cell>
          <cell r="AK644">
            <v>8.6400000000000001E-3</v>
          </cell>
          <cell r="AL644">
            <v>66</v>
          </cell>
          <cell r="AO644">
            <v>5.6160000000000002E-2</v>
          </cell>
          <cell r="AP644">
            <v>442.14</v>
          </cell>
          <cell r="AS644">
            <v>0</v>
          </cell>
          <cell r="AT644">
            <v>0</v>
          </cell>
          <cell r="AU644">
            <v>0.74375999999999998</v>
          </cell>
          <cell r="AV644">
            <v>5563.89</v>
          </cell>
          <cell r="AW644">
            <v>0</v>
          </cell>
          <cell r="AX644">
            <v>0</v>
          </cell>
          <cell r="AY644">
            <v>8.6400000000000001E-3</v>
          </cell>
          <cell r="AZ644">
            <v>66</v>
          </cell>
          <cell r="BA644">
            <v>0</v>
          </cell>
          <cell r="BB644">
            <v>0</v>
          </cell>
          <cell r="BC644">
            <v>4.3200000000000002E-2</v>
          </cell>
          <cell r="BD644">
            <v>320.10000000000002</v>
          </cell>
          <cell r="BE644">
            <v>5.1840000000000004E-2</v>
          </cell>
          <cell r="BF644">
            <v>386.1</v>
          </cell>
          <cell r="BG644">
            <v>6.9120000000000001E-2</v>
          </cell>
          <cell r="BH644">
            <v>514.14</v>
          </cell>
          <cell r="BI644">
            <v>3.456E-2</v>
          </cell>
          <cell r="BJ644">
            <v>254.46</v>
          </cell>
          <cell r="BK644">
            <v>4.3200000000000001E-3</v>
          </cell>
          <cell r="BL644">
            <v>32.01</v>
          </cell>
          <cell r="BM644">
            <v>6.8400000000000002E-2</v>
          </cell>
          <cell r="BN644">
            <v>513.59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0.1764</v>
          </cell>
          <cell r="BT644">
            <v>1314.2</v>
          </cell>
          <cell r="BU644">
            <v>4.3200000000000001E-3</v>
          </cell>
          <cell r="BV644">
            <v>32.01</v>
          </cell>
          <cell r="BW644">
            <v>2.16E-3</v>
          </cell>
          <cell r="BX644">
            <v>16.010000000000002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2.1600000000000001E-2</v>
          </cell>
          <cell r="CD644">
            <v>159.06</v>
          </cell>
          <cell r="CE644">
            <v>4.3200000000000001E-3</v>
          </cell>
          <cell r="CF644">
            <v>31.02</v>
          </cell>
          <cell r="CG644">
            <v>0</v>
          </cell>
          <cell r="CH644">
            <v>0</v>
          </cell>
          <cell r="CI644">
            <v>3.2399999999999998E-2</v>
          </cell>
          <cell r="CJ644">
            <v>238.1</v>
          </cell>
          <cell r="CK644">
            <v>0.20879999999999999</v>
          </cell>
          <cell r="CL644">
            <v>1552.3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0.16847999999999999</v>
          </cell>
          <cell r="CV644">
            <v>1273.5899999999999</v>
          </cell>
          <cell r="CW644">
            <v>0</v>
          </cell>
          <cell r="CX644">
            <v>0</v>
          </cell>
          <cell r="CY644">
            <v>5.1839999999999997E-2</v>
          </cell>
          <cell r="CZ644">
            <v>382.32</v>
          </cell>
          <cell r="DA644">
            <v>8.6400000000000001E-3</v>
          </cell>
          <cell r="DB644">
            <v>69.36</v>
          </cell>
          <cell r="DC644">
            <v>4.5359999999999998E-2</v>
          </cell>
          <cell r="DD644">
            <v>329.37</v>
          </cell>
          <cell r="DE644">
            <v>0.10583999999999999</v>
          </cell>
          <cell r="DF644">
            <v>781.05</v>
          </cell>
          <cell r="DG644">
            <v>4.3200000000000001E-3</v>
          </cell>
          <cell r="DH644">
            <v>33</v>
          </cell>
          <cell r="DI644">
            <v>0</v>
          </cell>
          <cell r="DJ644">
            <v>0</v>
          </cell>
          <cell r="DK644">
            <v>1.44E-2</v>
          </cell>
          <cell r="DL644">
            <v>108.02</v>
          </cell>
          <cell r="DM644">
            <v>1.8720000000000001E-2</v>
          </cell>
          <cell r="DN644">
            <v>141.02000000000001</v>
          </cell>
          <cell r="DO644">
            <v>3.8879999999999998E-2</v>
          </cell>
          <cell r="DP644">
            <v>282.14999999999998</v>
          </cell>
          <cell r="DQ644">
            <v>3.024E-2</v>
          </cell>
          <cell r="DR644">
            <v>229.08</v>
          </cell>
          <cell r="DS644">
            <v>9.9360000000000004E-2</v>
          </cell>
          <cell r="DT644">
            <v>762.36</v>
          </cell>
          <cell r="DU644">
            <v>0.16847999999999999</v>
          </cell>
          <cell r="DV644">
            <v>1273.5899999999999</v>
          </cell>
          <cell r="DW644">
            <v>0.74375999999999987</v>
          </cell>
          <cell r="DX644">
            <v>5563.8900000000012</v>
          </cell>
          <cell r="DY644" t="str">
            <v/>
          </cell>
          <cell r="DZ644">
            <v>0</v>
          </cell>
          <cell r="EA644">
            <v>7480.759922555666</v>
          </cell>
        </row>
        <row r="645">
          <cell r="B645">
            <v>269173</v>
          </cell>
          <cell r="C645" t="str">
            <v>პიცის სოუსი_ფინალი_680გ*12</v>
          </cell>
          <cell r="D645" t="str">
            <v>TON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O645">
            <v>0</v>
          </cell>
          <cell r="AP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O645">
            <v>0</v>
          </cell>
          <cell r="CP645">
            <v>0</v>
          </cell>
          <cell r="CQ645">
            <v>0</v>
          </cell>
          <cell r="CR645">
            <v>0</v>
          </cell>
          <cell r="CS645">
            <v>0</v>
          </cell>
          <cell r="CT645">
            <v>0</v>
          </cell>
          <cell r="CU645">
            <v>0</v>
          </cell>
          <cell r="CV645">
            <v>0</v>
          </cell>
          <cell r="CW645">
            <v>0</v>
          </cell>
          <cell r="CX645">
            <v>0</v>
          </cell>
          <cell r="CY645">
            <v>0</v>
          </cell>
          <cell r="CZ645">
            <v>0</v>
          </cell>
          <cell r="DA645">
            <v>0</v>
          </cell>
          <cell r="DB645">
            <v>0</v>
          </cell>
          <cell r="DC645">
            <v>0</v>
          </cell>
          <cell r="DD645">
            <v>0</v>
          </cell>
          <cell r="DE645">
            <v>0</v>
          </cell>
          <cell r="DF645">
            <v>0</v>
          </cell>
          <cell r="DG645">
            <v>0</v>
          </cell>
          <cell r="DH645">
            <v>0</v>
          </cell>
          <cell r="DI645">
            <v>0</v>
          </cell>
          <cell r="DJ645">
            <v>0</v>
          </cell>
          <cell r="DK645">
            <v>0</v>
          </cell>
          <cell r="DL645">
            <v>0</v>
          </cell>
          <cell r="DM645">
            <v>0</v>
          </cell>
          <cell r="DN645">
            <v>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  <cell r="DX645">
            <v>0</v>
          </cell>
          <cell r="DY645" t="str">
            <v/>
          </cell>
          <cell r="DZ645" t="str">
            <v>pasiv</v>
          </cell>
          <cell r="EA645" t="e">
            <v>#DIV/0!</v>
          </cell>
        </row>
        <row r="646">
          <cell r="B646">
            <v>0</v>
          </cell>
          <cell r="C646" t="str">
            <v>FINAL SALCA</v>
          </cell>
          <cell r="D646" t="str">
            <v>TON</v>
          </cell>
          <cell r="E646">
            <v>8.6400000000000001E-3</v>
          </cell>
          <cell r="F646">
            <v>66</v>
          </cell>
          <cell r="G646">
            <v>1.2920000000000001E-2</v>
          </cell>
          <cell r="H646">
            <v>104.00999999999999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O646">
            <v>2.1559999999999999E-2</v>
          </cell>
          <cell r="P646">
            <v>170.01</v>
          </cell>
          <cell r="Q646">
            <v>4.3200000000000002E-2</v>
          </cell>
          <cell r="R646">
            <v>320.10000000000002</v>
          </cell>
          <cell r="S646">
            <v>7.7759999999999996E-2</v>
          </cell>
          <cell r="T646">
            <v>569.58000000000004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0.12096</v>
          </cell>
          <cell r="Z646">
            <v>889.68000000000006</v>
          </cell>
          <cell r="AA646">
            <v>0</v>
          </cell>
          <cell r="AB646">
            <v>0</v>
          </cell>
          <cell r="AC646">
            <v>8.6400000000000001E-3</v>
          </cell>
          <cell r="AD646">
            <v>69.36</v>
          </cell>
          <cell r="AE646">
            <v>0</v>
          </cell>
          <cell r="AF646">
            <v>0</v>
          </cell>
          <cell r="AG646">
            <v>1.728E-2</v>
          </cell>
          <cell r="AH646">
            <v>133.38</v>
          </cell>
          <cell r="AI646">
            <v>2.1600000000000001E-2</v>
          </cell>
          <cell r="AJ646">
            <v>173.4</v>
          </cell>
          <cell r="AK646">
            <v>8.6400000000000001E-3</v>
          </cell>
          <cell r="AL646">
            <v>66</v>
          </cell>
          <cell r="AO646">
            <v>5.6160000000000002E-2</v>
          </cell>
          <cell r="AP646">
            <v>442.14</v>
          </cell>
          <cell r="AS646">
            <v>0</v>
          </cell>
          <cell r="AT646">
            <v>0</v>
          </cell>
          <cell r="AU646">
            <v>0.752085</v>
          </cell>
          <cell r="AV646">
            <v>5633.42</v>
          </cell>
          <cell r="AW646">
            <v>0</v>
          </cell>
          <cell r="AX646">
            <v>0</v>
          </cell>
          <cell r="AY646">
            <v>8.6400000000000001E-3</v>
          </cell>
          <cell r="AZ646">
            <v>66</v>
          </cell>
          <cell r="BA646">
            <v>0</v>
          </cell>
          <cell r="BB646">
            <v>0</v>
          </cell>
          <cell r="BC646">
            <v>4.2925000000000005E-2</v>
          </cell>
          <cell r="BD646">
            <v>317.63</v>
          </cell>
          <cell r="BE646">
            <v>5.1565000000000007E-2</v>
          </cell>
          <cell r="BF646">
            <v>383.63</v>
          </cell>
          <cell r="BG646">
            <v>6.9120000000000001E-2</v>
          </cell>
          <cell r="BH646">
            <v>514.14</v>
          </cell>
          <cell r="BI646">
            <v>3.456E-2</v>
          </cell>
          <cell r="BJ646">
            <v>254.46</v>
          </cell>
          <cell r="BK646">
            <v>4.3200000000000001E-3</v>
          </cell>
          <cell r="BL646">
            <v>32.01</v>
          </cell>
          <cell r="BM646">
            <v>6.8400000000000002E-2</v>
          </cell>
          <cell r="BN646">
            <v>513.59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0.1764</v>
          </cell>
          <cell r="BT646">
            <v>1314.2</v>
          </cell>
          <cell r="BU646">
            <v>4.3200000000000001E-3</v>
          </cell>
          <cell r="BV646">
            <v>32.01</v>
          </cell>
          <cell r="BW646">
            <v>2.16E-3</v>
          </cell>
          <cell r="BX646">
            <v>16.010000000000002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2.1600000000000001E-2</v>
          </cell>
          <cell r="CD646">
            <v>159.06</v>
          </cell>
          <cell r="CE646">
            <v>4.3200000000000001E-3</v>
          </cell>
          <cell r="CF646">
            <v>31.02</v>
          </cell>
          <cell r="CG646">
            <v>0</v>
          </cell>
          <cell r="CH646">
            <v>0</v>
          </cell>
          <cell r="CI646">
            <v>3.2399999999999998E-2</v>
          </cell>
          <cell r="CJ646">
            <v>238.1</v>
          </cell>
          <cell r="CK646">
            <v>0.20879999999999999</v>
          </cell>
          <cell r="CL646">
            <v>1552.3</v>
          </cell>
          <cell r="CO646">
            <v>0</v>
          </cell>
          <cell r="CP646">
            <v>0</v>
          </cell>
          <cell r="CQ646">
            <v>0</v>
          </cell>
          <cell r="CR646">
            <v>0</v>
          </cell>
          <cell r="CS646">
            <v>0</v>
          </cell>
          <cell r="CT646">
            <v>0</v>
          </cell>
          <cell r="CU646">
            <v>0.16847999999999999</v>
          </cell>
          <cell r="CV646">
            <v>1273.5899999999999</v>
          </cell>
          <cell r="CW646">
            <v>0</v>
          </cell>
          <cell r="CX646">
            <v>0</v>
          </cell>
          <cell r="CY646">
            <v>5.1839999999999997E-2</v>
          </cell>
          <cell r="CZ646">
            <v>382.32</v>
          </cell>
          <cell r="DA646">
            <v>8.6400000000000001E-3</v>
          </cell>
          <cell r="DB646">
            <v>69.36</v>
          </cell>
          <cell r="DC646">
            <v>4.5359999999999998E-2</v>
          </cell>
          <cell r="DD646">
            <v>329.37</v>
          </cell>
          <cell r="DE646">
            <v>0.10583999999999999</v>
          </cell>
          <cell r="DF646">
            <v>781.05</v>
          </cell>
          <cell r="DG646">
            <v>4.3200000000000001E-3</v>
          </cell>
          <cell r="DH646">
            <v>33</v>
          </cell>
          <cell r="DI646">
            <v>0</v>
          </cell>
          <cell r="DJ646">
            <v>0</v>
          </cell>
          <cell r="DK646">
            <v>1.44E-2</v>
          </cell>
          <cell r="DL646">
            <v>108.02</v>
          </cell>
          <cell r="DM646">
            <v>1.8720000000000001E-2</v>
          </cell>
          <cell r="DN646">
            <v>141.02000000000001</v>
          </cell>
          <cell r="DO646">
            <v>3.8879999999999998E-2</v>
          </cell>
          <cell r="DP646">
            <v>282.14999999999998</v>
          </cell>
          <cell r="DQ646">
            <v>3.024E-2</v>
          </cell>
          <cell r="DR646">
            <v>229.08</v>
          </cell>
          <cell r="DS646">
            <v>9.9360000000000004E-2</v>
          </cell>
          <cell r="DT646">
            <v>762.36</v>
          </cell>
          <cell r="DU646">
            <v>0.16847999999999999</v>
          </cell>
          <cell r="DV646">
            <v>1273.5899999999999</v>
          </cell>
          <cell r="DW646">
            <v>0.75208499999999989</v>
          </cell>
          <cell r="DX646">
            <v>5633.420000000001</v>
          </cell>
          <cell r="DY646" t="str">
            <v/>
          </cell>
          <cell r="DZ646">
            <v>0</v>
          </cell>
          <cell r="EA646">
            <v>7490.4033453665497</v>
          </cell>
        </row>
        <row r="647">
          <cell r="B647">
            <v>299471</v>
          </cell>
          <cell r="C647" t="str">
            <v>ტ-პასტა ჩვენი სუფრა_275გ*20</v>
          </cell>
          <cell r="D647" t="str">
            <v>TON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O647">
            <v>0</v>
          </cell>
          <cell r="AP647">
            <v>0</v>
          </cell>
          <cell r="AS647">
            <v>0</v>
          </cell>
          <cell r="AT647">
            <v>0</v>
          </cell>
          <cell r="AU647">
            <v>1.9250000000000001E-3</v>
          </cell>
          <cell r="AV647">
            <v>17.29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O647">
            <v>0</v>
          </cell>
          <cell r="CP647">
            <v>0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1.9250000000000001E-3</v>
          </cell>
          <cell r="CZ647">
            <v>17.29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1.9250000000000001E-3</v>
          </cell>
          <cell r="DF647">
            <v>17.29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1.9250000000000001E-3</v>
          </cell>
          <cell r="DX647">
            <v>17.29</v>
          </cell>
          <cell r="DY647" t="str">
            <v/>
          </cell>
          <cell r="DZ647">
            <v>0</v>
          </cell>
          <cell r="EA647">
            <v>8981.818181818182</v>
          </cell>
        </row>
        <row r="648">
          <cell r="B648">
            <v>299959</v>
          </cell>
          <cell r="C648" t="str">
            <v>ტ-პასტა ჩვენი სუფრა_275გ_11ც+1ც</v>
          </cell>
          <cell r="D648" t="str">
            <v>TON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O648">
            <v>0</v>
          </cell>
          <cell r="AP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  <cell r="DL648">
            <v>0</v>
          </cell>
          <cell r="DM648">
            <v>0</v>
          </cell>
          <cell r="DN648">
            <v>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  <cell r="DX648">
            <v>0</v>
          </cell>
          <cell r="DY648" t="str">
            <v/>
          </cell>
          <cell r="DZ648" t="str">
            <v>pasiv</v>
          </cell>
          <cell r="EA648" t="e">
            <v>#DIV/0!</v>
          </cell>
        </row>
        <row r="649">
          <cell r="B649">
            <v>293685</v>
          </cell>
          <cell r="C649" t="str">
            <v>ტ-პასტა-ფინალი-275გ_11ც+1ც</v>
          </cell>
          <cell r="D649" t="str">
            <v>TON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O649">
            <v>0</v>
          </cell>
          <cell r="AP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0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  <cell r="DX649">
            <v>0</v>
          </cell>
          <cell r="DY649" t="str">
            <v/>
          </cell>
          <cell r="DZ649" t="str">
            <v>pasiv</v>
          </cell>
          <cell r="EA649" t="e">
            <v>#DIV/0!</v>
          </cell>
        </row>
        <row r="650">
          <cell r="B650">
            <v>293700</v>
          </cell>
          <cell r="C650" t="str">
            <v>ტ-პასტა-ფინალი-720გ_11ც+1ც</v>
          </cell>
          <cell r="D650" t="str">
            <v>TON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O650">
            <v>0</v>
          </cell>
          <cell r="AP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CS650">
            <v>0</v>
          </cell>
          <cell r="CT650">
            <v>0</v>
          </cell>
          <cell r="CU650">
            <v>0</v>
          </cell>
          <cell r="CV650">
            <v>0</v>
          </cell>
          <cell r="CW650">
            <v>0</v>
          </cell>
          <cell r="CX650">
            <v>0</v>
          </cell>
          <cell r="CY650">
            <v>0</v>
          </cell>
          <cell r="CZ650">
            <v>0</v>
          </cell>
          <cell r="DA650">
            <v>0</v>
          </cell>
          <cell r="DB650">
            <v>0</v>
          </cell>
          <cell r="DC650">
            <v>0</v>
          </cell>
          <cell r="DD650">
            <v>0</v>
          </cell>
          <cell r="DE650">
            <v>0</v>
          </cell>
          <cell r="DF650">
            <v>0</v>
          </cell>
          <cell r="DG650">
            <v>0</v>
          </cell>
          <cell r="DH650">
            <v>0</v>
          </cell>
          <cell r="DI650">
            <v>0</v>
          </cell>
          <cell r="DJ650">
            <v>0</v>
          </cell>
          <cell r="DK650">
            <v>0</v>
          </cell>
          <cell r="DL650">
            <v>0</v>
          </cell>
          <cell r="DM650">
            <v>0</v>
          </cell>
          <cell r="DN650">
            <v>0</v>
          </cell>
          <cell r="DO650">
            <v>0</v>
          </cell>
          <cell r="DP650">
            <v>0</v>
          </cell>
          <cell r="DQ650">
            <v>0</v>
          </cell>
          <cell r="DR650">
            <v>0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  <cell r="DX650">
            <v>0</v>
          </cell>
          <cell r="DY650" t="str">
            <v/>
          </cell>
          <cell r="DZ650" t="str">
            <v>pasiv</v>
          </cell>
          <cell r="EA650" t="e">
            <v>#DIV/0!</v>
          </cell>
        </row>
        <row r="651">
          <cell r="B651">
            <v>293702</v>
          </cell>
          <cell r="C651" t="str">
            <v>ტ-პასტა-ბიზიმ-ტარლა-720გ_11ც+1ც</v>
          </cell>
          <cell r="D651" t="str">
            <v>TON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O651">
            <v>0</v>
          </cell>
          <cell r="AP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  <cell r="DL651">
            <v>0</v>
          </cell>
          <cell r="DM651">
            <v>0</v>
          </cell>
          <cell r="DN651">
            <v>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  <cell r="DX651">
            <v>0</v>
          </cell>
          <cell r="DY651" t="str">
            <v/>
          </cell>
          <cell r="DZ651" t="str">
            <v>pasiv</v>
          </cell>
          <cell r="EA651" t="e">
            <v>#DIV/0!</v>
          </cell>
        </row>
        <row r="652">
          <cell r="B652">
            <v>293699</v>
          </cell>
          <cell r="C652" t="str">
            <v>ტ-პასტა-ბლენდო-720გ_11ც+1ც</v>
          </cell>
          <cell r="D652" t="str">
            <v>TON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O652">
            <v>0</v>
          </cell>
          <cell r="AP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  <cell r="DL652">
            <v>0</v>
          </cell>
          <cell r="DM652">
            <v>0</v>
          </cell>
          <cell r="DN652">
            <v>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  <cell r="DX652">
            <v>0</v>
          </cell>
          <cell r="DY652" t="str">
            <v/>
          </cell>
          <cell r="DZ652" t="str">
            <v>pasiv</v>
          </cell>
          <cell r="EA652" t="e">
            <v>#DIV/0!</v>
          </cell>
        </row>
        <row r="653">
          <cell r="B653">
            <v>293770</v>
          </cell>
          <cell r="C653" t="str">
            <v>ტ-პასტა-ბლენდო_275გ_11ც+1ც</v>
          </cell>
          <cell r="D653" t="str">
            <v>TON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O653">
            <v>0</v>
          </cell>
          <cell r="AP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0</v>
          </cell>
          <cell r="CW653">
            <v>0</v>
          </cell>
          <cell r="CX653">
            <v>0</v>
          </cell>
          <cell r="CY653">
            <v>0</v>
          </cell>
          <cell r="CZ653">
            <v>0</v>
          </cell>
          <cell r="DA653">
            <v>0</v>
          </cell>
          <cell r="DB653">
            <v>0</v>
          </cell>
          <cell r="DC653">
            <v>0</v>
          </cell>
          <cell r="DD653">
            <v>0</v>
          </cell>
          <cell r="DE653">
            <v>0</v>
          </cell>
          <cell r="DF653">
            <v>0</v>
          </cell>
          <cell r="DG653">
            <v>0</v>
          </cell>
          <cell r="DH653">
            <v>0</v>
          </cell>
          <cell r="DI653">
            <v>0</v>
          </cell>
          <cell r="DJ653">
            <v>0</v>
          </cell>
          <cell r="DK653">
            <v>0</v>
          </cell>
          <cell r="DL653">
            <v>0</v>
          </cell>
          <cell r="DM653">
            <v>0</v>
          </cell>
          <cell r="DN653">
            <v>0</v>
          </cell>
          <cell r="DO653">
            <v>0</v>
          </cell>
          <cell r="DP653">
            <v>0</v>
          </cell>
          <cell r="DQ653">
            <v>0</v>
          </cell>
          <cell r="DR653">
            <v>0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  <cell r="DX653">
            <v>0</v>
          </cell>
          <cell r="DY653" t="str">
            <v/>
          </cell>
          <cell r="DZ653" t="str">
            <v>pasiv</v>
          </cell>
          <cell r="EA653" t="e">
            <v>#DIV/0!</v>
          </cell>
        </row>
        <row r="654">
          <cell r="B654">
            <v>264437</v>
          </cell>
          <cell r="C654" t="str">
            <v>ტ-პასტა-ბიზიმ-ტარლა-5.5კგ/275გ*20</v>
          </cell>
          <cell r="D654" t="str">
            <v>TON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O654">
            <v>0</v>
          </cell>
          <cell r="AP654">
            <v>0</v>
          </cell>
          <cell r="AS654">
            <v>0</v>
          </cell>
          <cell r="AT654">
            <v>0</v>
          </cell>
          <cell r="AU654">
            <v>2.7499999999999998E-3</v>
          </cell>
          <cell r="AV654">
            <v>23.5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2.7499999999999998E-3</v>
          </cell>
          <cell r="BL654">
            <v>23.5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2.7499999999999998E-3</v>
          </cell>
          <cell r="BT654">
            <v>23.5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2.7499999999999998E-3</v>
          </cell>
          <cell r="CL654">
            <v>23.5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CW654">
            <v>0</v>
          </cell>
          <cell r="CX654">
            <v>0</v>
          </cell>
          <cell r="CY654">
            <v>0</v>
          </cell>
          <cell r="CZ654">
            <v>0</v>
          </cell>
          <cell r="DA654">
            <v>0</v>
          </cell>
          <cell r="DB654">
            <v>0</v>
          </cell>
          <cell r="DC654">
            <v>0</v>
          </cell>
          <cell r="DD654">
            <v>0</v>
          </cell>
          <cell r="DE654">
            <v>0</v>
          </cell>
          <cell r="DF654">
            <v>0</v>
          </cell>
          <cell r="DG654">
            <v>0</v>
          </cell>
          <cell r="DH654">
            <v>0</v>
          </cell>
          <cell r="DI654">
            <v>0</v>
          </cell>
          <cell r="DJ654">
            <v>0</v>
          </cell>
          <cell r="DK654">
            <v>0</v>
          </cell>
          <cell r="DL654">
            <v>0</v>
          </cell>
          <cell r="DM654">
            <v>0</v>
          </cell>
          <cell r="DN654">
            <v>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2.7499999999999998E-3</v>
          </cell>
          <cell r="DX654">
            <v>23.5</v>
          </cell>
          <cell r="DY654" t="str">
            <v/>
          </cell>
          <cell r="DZ654">
            <v>0</v>
          </cell>
          <cell r="EA654">
            <v>8545.454545454546</v>
          </cell>
        </row>
        <row r="655">
          <cell r="B655">
            <v>295834</v>
          </cell>
          <cell r="C655" t="str">
            <v>ბიზიმ ტარლა_დაჭ.გაფრცქვნილი პომიდ_640გ*12</v>
          </cell>
          <cell r="D655" t="str">
            <v>TON</v>
          </cell>
          <cell r="E655">
            <v>0</v>
          </cell>
          <cell r="F655">
            <v>0</v>
          </cell>
          <cell r="G655">
            <v>3.5839999999999997E-2</v>
          </cell>
          <cell r="H655">
            <v>178.46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O655">
            <v>3.5839999999999997E-2</v>
          </cell>
          <cell r="P655">
            <v>178.46</v>
          </cell>
          <cell r="Q655">
            <v>0</v>
          </cell>
          <cell r="R655">
            <v>0</v>
          </cell>
          <cell r="S655">
            <v>7.6800000000000002E-3</v>
          </cell>
          <cell r="T655">
            <v>37.22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7.6800000000000002E-3</v>
          </cell>
          <cell r="Z655">
            <v>37.22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O655">
            <v>0</v>
          </cell>
          <cell r="AP655">
            <v>0</v>
          </cell>
          <cell r="AS655">
            <v>0</v>
          </cell>
          <cell r="AT655">
            <v>0</v>
          </cell>
          <cell r="AU655">
            <v>0.15104000000000001</v>
          </cell>
          <cell r="AV655">
            <v>792.52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CX655">
            <v>0</v>
          </cell>
          <cell r="CY655">
            <v>0.10752</v>
          </cell>
          <cell r="CZ655">
            <v>576.84</v>
          </cell>
          <cell r="DA655">
            <v>0</v>
          </cell>
          <cell r="DB655">
            <v>0</v>
          </cell>
          <cell r="DC655">
            <v>0</v>
          </cell>
          <cell r="DD655">
            <v>0</v>
          </cell>
          <cell r="DE655">
            <v>0.10752</v>
          </cell>
          <cell r="DF655">
            <v>576.84</v>
          </cell>
          <cell r="DG655">
            <v>0</v>
          </cell>
          <cell r="DH655">
            <v>0</v>
          </cell>
          <cell r="DI655">
            <v>0</v>
          </cell>
          <cell r="DJ655">
            <v>0</v>
          </cell>
          <cell r="DK655">
            <v>0</v>
          </cell>
          <cell r="DL655">
            <v>0</v>
          </cell>
          <cell r="DM655">
            <v>0</v>
          </cell>
          <cell r="DN655">
            <v>0</v>
          </cell>
          <cell r="DO655">
            <v>0</v>
          </cell>
          <cell r="DP655">
            <v>0</v>
          </cell>
          <cell r="DQ655">
            <v>0</v>
          </cell>
          <cell r="DR655">
            <v>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0.15104000000000001</v>
          </cell>
          <cell r="DX655">
            <v>792.5200000000001</v>
          </cell>
          <cell r="DY655" t="str">
            <v/>
          </cell>
          <cell r="DZ655">
            <v>0</v>
          </cell>
          <cell r="EA655">
            <v>5247.0868644067805</v>
          </cell>
        </row>
        <row r="656">
          <cell r="B656">
            <v>17472</v>
          </cell>
          <cell r="C656" t="str">
            <v>BIZIM TARLA SALCA 720*12</v>
          </cell>
          <cell r="D656" t="str">
            <v>TON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3.456E-2</v>
          </cell>
          <cell r="T656">
            <v>246.24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3.456E-2</v>
          </cell>
          <cell r="Z656">
            <v>246.24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8.6400000000000001E-3</v>
          </cell>
          <cell r="AL656">
            <v>64.8</v>
          </cell>
          <cell r="AO656">
            <v>8.6400000000000001E-3</v>
          </cell>
          <cell r="AP656">
            <v>64.8</v>
          </cell>
          <cell r="AS656">
            <v>0</v>
          </cell>
          <cell r="AT656">
            <v>0</v>
          </cell>
          <cell r="AU656">
            <v>5.3999999999999999E-2</v>
          </cell>
          <cell r="AV656">
            <v>388.53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-7.2000000000000005E-4</v>
          </cell>
          <cell r="BD656">
            <v>-5.67</v>
          </cell>
          <cell r="BE656">
            <v>-7.2000000000000005E-4</v>
          </cell>
          <cell r="BF656">
            <v>-5.67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2.8800000000000002E-3</v>
          </cell>
          <cell r="BX656">
            <v>20.95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2.8800000000000002E-3</v>
          </cell>
          <cell r="CJ656">
            <v>20.95</v>
          </cell>
          <cell r="CK656">
            <v>2.8800000000000002E-3</v>
          </cell>
          <cell r="CL656">
            <v>20.95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8.6400000000000001E-3</v>
          </cell>
          <cell r="CV656">
            <v>62.21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8.6400000000000001E-3</v>
          </cell>
          <cell r="DR656">
            <v>62.21</v>
          </cell>
          <cell r="DS656">
            <v>0</v>
          </cell>
          <cell r="DT656">
            <v>0</v>
          </cell>
          <cell r="DU656">
            <v>8.6400000000000001E-3</v>
          </cell>
          <cell r="DV656">
            <v>62.21</v>
          </cell>
          <cell r="DW656">
            <v>5.3999999999999999E-2</v>
          </cell>
          <cell r="DX656">
            <v>388.53</v>
          </cell>
          <cell r="DY656" t="str">
            <v/>
          </cell>
          <cell r="DZ656">
            <v>0</v>
          </cell>
          <cell r="EA656">
            <v>7195</v>
          </cell>
        </row>
        <row r="657">
          <cell r="B657">
            <v>0</v>
          </cell>
          <cell r="C657" t="str">
            <v>BIZIM TARLA SALCA</v>
          </cell>
          <cell r="D657" t="str">
            <v>TON</v>
          </cell>
          <cell r="E657">
            <v>0</v>
          </cell>
          <cell r="F657">
            <v>0</v>
          </cell>
          <cell r="G657">
            <v>3.5839999999999997E-2</v>
          </cell>
          <cell r="H657">
            <v>178.46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O657">
            <v>3.5839999999999997E-2</v>
          </cell>
          <cell r="P657">
            <v>178.46</v>
          </cell>
          <cell r="Q657">
            <v>0</v>
          </cell>
          <cell r="R657">
            <v>0</v>
          </cell>
          <cell r="S657">
            <v>4.224E-2</v>
          </cell>
          <cell r="T657">
            <v>283.46000000000004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4.224E-2</v>
          </cell>
          <cell r="Z657">
            <v>283.46000000000004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8.6400000000000001E-3</v>
          </cell>
          <cell r="AL657">
            <v>64.8</v>
          </cell>
          <cell r="AO657">
            <v>8.6400000000000001E-3</v>
          </cell>
          <cell r="AP657">
            <v>64.8</v>
          </cell>
          <cell r="AS657">
            <v>0</v>
          </cell>
          <cell r="AT657">
            <v>0</v>
          </cell>
          <cell r="AU657">
            <v>0.20971500000000001</v>
          </cell>
          <cell r="AV657">
            <v>1221.8399999999999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-7.2000000000000005E-4</v>
          </cell>
          <cell r="BD657">
            <v>-5.67</v>
          </cell>
          <cell r="BE657">
            <v>-7.2000000000000005E-4</v>
          </cell>
          <cell r="BF657">
            <v>-5.67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2.7499999999999998E-3</v>
          </cell>
          <cell r="BL657">
            <v>23.5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2.7499999999999998E-3</v>
          </cell>
          <cell r="BT657">
            <v>23.5</v>
          </cell>
          <cell r="BU657">
            <v>0</v>
          </cell>
          <cell r="BV657">
            <v>0</v>
          </cell>
          <cell r="BW657">
            <v>2.8800000000000002E-3</v>
          </cell>
          <cell r="BX657">
            <v>20.95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2.8800000000000002E-3</v>
          </cell>
          <cell r="CJ657">
            <v>20.95</v>
          </cell>
          <cell r="CK657">
            <v>5.6299999999999996E-3</v>
          </cell>
          <cell r="CL657">
            <v>44.45</v>
          </cell>
          <cell r="CO657">
            <v>0</v>
          </cell>
          <cell r="CP657">
            <v>0</v>
          </cell>
          <cell r="CQ657">
            <v>0</v>
          </cell>
          <cell r="CR657">
            <v>0</v>
          </cell>
          <cell r="CS657">
            <v>0</v>
          </cell>
          <cell r="CT657">
            <v>0</v>
          </cell>
          <cell r="CU657">
            <v>8.6400000000000001E-3</v>
          </cell>
          <cell r="CV657">
            <v>62.21</v>
          </cell>
          <cell r="CW657">
            <v>0</v>
          </cell>
          <cell r="CX657">
            <v>0</v>
          </cell>
          <cell r="CY657">
            <v>0.109445</v>
          </cell>
          <cell r="CZ657">
            <v>594.13</v>
          </cell>
          <cell r="DA657">
            <v>0</v>
          </cell>
          <cell r="DB657">
            <v>0</v>
          </cell>
          <cell r="DC657">
            <v>0</v>
          </cell>
          <cell r="DD657">
            <v>0</v>
          </cell>
          <cell r="DE657">
            <v>0.109445</v>
          </cell>
          <cell r="DF657">
            <v>594.13</v>
          </cell>
          <cell r="DG657">
            <v>0</v>
          </cell>
          <cell r="DH657">
            <v>0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8.6400000000000001E-3</v>
          </cell>
          <cell r="DR657">
            <v>62.21</v>
          </cell>
          <cell r="DS657">
            <v>0</v>
          </cell>
          <cell r="DT657">
            <v>0</v>
          </cell>
          <cell r="DU657">
            <v>8.6400000000000001E-3</v>
          </cell>
          <cell r="DV657">
            <v>62.21</v>
          </cell>
          <cell r="DW657">
            <v>0.20971500000000001</v>
          </cell>
          <cell r="DX657">
            <v>1221.8400000000001</v>
          </cell>
          <cell r="DY657" t="str">
            <v/>
          </cell>
          <cell r="DZ657">
            <v>0</v>
          </cell>
          <cell r="EA657">
            <v>5826.1926900793942</v>
          </cell>
        </row>
        <row r="658">
          <cell r="B658">
            <v>296885</v>
          </cell>
          <cell r="C658" t="str">
            <v>ტ-პასტა ჩვენი სუფრა_720გ_11ც+1ც</v>
          </cell>
          <cell r="D658" t="str">
            <v>TON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O658">
            <v>0</v>
          </cell>
          <cell r="AP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O658">
            <v>0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  <cell r="DX658">
            <v>0</v>
          </cell>
          <cell r="DY658" t="str">
            <v/>
          </cell>
          <cell r="DZ658" t="str">
            <v>pasiv</v>
          </cell>
          <cell r="EA658" t="e">
            <v>#DIV/0!</v>
          </cell>
        </row>
        <row r="659">
          <cell r="B659">
            <v>376380</v>
          </cell>
          <cell r="C659" t="str">
            <v>ტ-პასტა-ფინალი-370გ*20</v>
          </cell>
          <cell r="D659" t="str">
            <v>TON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O659">
            <v>0</v>
          </cell>
          <cell r="AP659">
            <v>0</v>
          </cell>
          <cell r="AS659">
            <v>0</v>
          </cell>
          <cell r="AT659">
            <v>0</v>
          </cell>
          <cell r="AU659">
            <v>0.28822999999999999</v>
          </cell>
          <cell r="AV659">
            <v>2575.3200000000002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4.4400000000000002E-2</v>
          </cell>
          <cell r="BH659">
            <v>389.94</v>
          </cell>
          <cell r="BI659">
            <v>3.1820000000000001E-2</v>
          </cell>
          <cell r="BJ659">
            <v>279.45999999999998</v>
          </cell>
          <cell r="BK659">
            <v>0</v>
          </cell>
          <cell r="BL659">
            <v>0</v>
          </cell>
          <cell r="BM659">
            <v>8.8800000000000007E-3</v>
          </cell>
          <cell r="BN659">
            <v>84.48</v>
          </cell>
          <cell r="BO659">
            <v>7.4000000000000003E-3</v>
          </cell>
          <cell r="BP659">
            <v>64.319999999999993</v>
          </cell>
          <cell r="BQ659">
            <v>0</v>
          </cell>
          <cell r="BR659">
            <v>0</v>
          </cell>
          <cell r="BS659">
            <v>9.2499999999999999E-2</v>
          </cell>
          <cell r="BT659">
            <v>818.2</v>
          </cell>
          <cell r="BU659">
            <v>8.8800000000000007E-3</v>
          </cell>
          <cell r="BV659">
            <v>78.599999999999994</v>
          </cell>
          <cell r="BW659">
            <v>1.8500000000000001E-3</v>
          </cell>
          <cell r="BX659">
            <v>16.25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1.11E-2</v>
          </cell>
          <cell r="CD659">
            <v>98.49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2.1829999999999999E-2</v>
          </cell>
          <cell r="CJ659">
            <v>193.34</v>
          </cell>
          <cell r="CK659">
            <v>0.11433</v>
          </cell>
          <cell r="CL659">
            <v>1011.5400000000001</v>
          </cell>
          <cell r="CO659">
            <v>0</v>
          </cell>
          <cell r="CP659">
            <v>0</v>
          </cell>
          <cell r="CQ659">
            <v>0</v>
          </cell>
          <cell r="CR659">
            <v>0</v>
          </cell>
          <cell r="CS659">
            <v>0</v>
          </cell>
          <cell r="CT659">
            <v>0</v>
          </cell>
          <cell r="CU659">
            <v>0.1739</v>
          </cell>
          <cell r="CV659">
            <v>1563.78</v>
          </cell>
          <cell r="CW659">
            <v>0</v>
          </cell>
          <cell r="CX659">
            <v>0</v>
          </cell>
          <cell r="CY659">
            <v>0</v>
          </cell>
          <cell r="CZ659">
            <v>0</v>
          </cell>
          <cell r="DA659">
            <v>0</v>
          </cell>
          <cell r="DB659">
            <v>0</v>
          </cell>
          <cell r="DC659">
            <v>0</v>
          </cell>
          <cell r="DD659">
            <v>0</v>
          </cell>
          <cell r="DE659">
            <v>0</v>
          </cell>
          <cell r="DF659">
            <v>0</v>
          </cell>
          <cell r="DG659">
            <v>0</v>
          </cell>
          <cell r="DH659">
            <v>0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1.4800000000000001E-2</v>
          </cell>
          <cell r="DP659">
            <v>125.96</v>
          </cell>
          <cell r="DQ659">
            <v>1.11E-2</v>
          </cell>
          <cell r="DR659">
            <v>97.82</v>
          </cell>
          <cell r="DS659">
            <v>0.14799999999999999</v>
          </cell>
          <cell r="DT659">
            <v>1340</v>
          </cell>
          <cell r="DU659">
            <v>0.1739</v>
          </cell>
          <cell r="DV659">
            <v>1563.78</v>
          </cell>
          <cell r="DW659">
            <v>0.28822999999999999</v>
          </cell>
          <cell r="DX659">
            <v>2575.3200000000002</v>
          </cell>
          <cell r="DY659" t="str">
            <v/>
          </cell>
          <cell r="DZ659">
            <v>0</v>
          </cell>
          <cell r="EA659">
            <v>8934.9477847552316</v>
          </cell>
        </row>
        <row r="660">
          <cell r="B660">
            <v>376823</v>
          </cell>
          <cell r="C660" t="str">
            <v>ტ-პასტა-ბლენდო-370გ*20</v>
          </cell>
          <cell r="D660" t="str">
            <v>TON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4.07E-2</v>
          </cell>
          <cell r="T660">
            <v>315.3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4.07E-2</v>
          </cell>
          <cell r="Z660">
            <v>315.3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3.6999999999999999E-4</v>
          </cell>
          <cell r="AL660">
            <v>2.91</v>
          </cell>
          <cell r="AO660">
            <v>3.6999999999999999E-4</v>
          </cell>
          <cell r="AP660">
            <v>2.91</v>
          </cell>
          <cell r="AS660">
            <v>0</v>
          </cell>
          <cell r="AT660">
            <v>0</v>
          </cell>
          <cell r="AU660">
            <v>0.39885999999999999</v>
          </cell>
          <cell r="AV660">
            <v>3171.18</v>
          </cell>
          <cell r="AW660">
            <v>0</v>
          </cell>
          <cell r="AX660">
            <v>0</v>
          </cell>
          <cell r="AY660">
            <v>1.4800000000000001E-2</v>
          </cell>
          <cell r="AZ660">
            <v>116.7</v>
          </cell>
          <cell r="BA660">
            <v>0</v>
          </cell>
          <cell r="BB660">
            <v>0</v>
          </cell>
          <cell r="BC660">
            <v>1.6650000000000002E-2</v>
          </cell>
          <cell r="BD660">
            <v>133.19999999999999</v>
          </cell>
          <cell r="BE660">
            <v>3.1450000000000006E-2</v>
          </cell>
          <cell r="BF660">
            <v>249.89999999999998</v>
          </cell>
          <cell r="BG660">
            <v>7.4000000000000003E-3</v>
          </cell>
          <cell r="BH660">
            <v>58.2</v>
          </cell>
          <cell r="BI660">
            <v>7.4000000000000003E-3</v>
          </cell>
          <cell r="BJ660">
            <v>58.2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9.6200000000000001E-3</v>
          </cell>
          <cell r="BP660">
            <v>75.06</v>
          </cell>
          <cell r="BQ660">
            <v>0</v>
          </cell>
          <cell r="BR660">
            <v>0</v>
          </cell>
          <cell r="BS660">
            <v>2.4420000000000001E-2</v>
          </cell>
          <cell r="BT660">
            <v>191.46</v>
          </cell>
          <cell r="BU660">
            <v>2.2200000000000002E-3</v>
          </cell>
          <cell r="BV660">
            <v>17.46</v>
          </cell>
          <cell r="BW660">
            <v>1.8500000000000001E-3</v>
          </cell>
          <cell r="BX660">
            <v>14.55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4.0699999999999998E-3</v>
          </cell>
          <cell r="CJ660">
            <v>32.01</v>
          </cell>
          <cell r="CK660">
            <v>2.8490000000000001E-2</v>
          </cell>
          <cell r="CL660">
            <v>223.47</v>
          </cell>
          <cell r="CO660">
            <v>0</v>
          </cell>
          <cell r="CP660">
            <v>0</v>
          </cell>
          <cell r="CQ660">
            <v>0</v>
          </cell>
          <cell r="CR660">
            <v>0</v>
          </cell>
          <cell r="CS660">
            <v>0</v>
          </cell>
          <cell r="CT660">
            <v>0</v>
          </cell>
          <cell r="CU660">
            <v>0.24604999999999999</v>
          </cell>
          <cell r="CV660">
            <v>1965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1.4800000000000001E-2</v>
          </cell>
          <cell r="DH660">
            <v>116.4</v>
          </cell>
          <cell r="DI660">
            <v>1.2579999999999999E-2</v>
          </cell>
          <cell r="DJ660">
            <v>100.2</v>
          </cell>
          <cell r="DK660">
            <v>2.4420000000000001E-2</v>
          </cell>
          <cell r="DL660">
            <v>198</v>
          </cell>
          <cell r="DM660">
            <v>5.1799999999999999E-2</v>
          </cell>
          <cell r="DN660">
            <v>414.6</v>
          </cell>
          <cell r="DO660">
            <v>3.6999999999999998E-2</v>
          </cell>
          <cell r="DP660">
            <v>285.60000000000002</v>
          </cell>
          <cell r="DQ660">
            <v>3.3300000000000003E-2</v>
          </cell>
          <cell r="DR660">
            <v>265.2</v>
          </cell>
          <cell r="DS660">
            <v>0.17574999999999999</v>
          </cell>
          <cell r="DT660">
            <v>1414.2</v>
          </cell>
          <cell r="DU660">
            <v>0.24604999999999999</v>
          </cell>
          <cell r="DV660">
            <v>1965</v>
          </cell>
          <cell r="DW660">
            <v>0.39886000000000005</v>
          </cell>
          <cell r="DX660">
            <v>3171.18</v>
          </cell>
          <cell r="DY660" t="str">
            <v/>
          </cell>
          <cell r="DZ660">
            <v>0</v>
          </cell>
          <cell r="EA660">
            <v>7950.6092363235202</v>
          </cell>
        </row>
        <row r="661">
          <cell r="B661">
            <v>376573</v>
          </cell>
          <cell r="C661" t="str">
            <v>ტ-პასტა-ჩვენი სუფრა-370გ*20</v>
          </cell>
          <cell r="D661" t="str">
            <v>TON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2.5899999999999999E-2</v>
          </cell>
          <cell r="T661">
            <v>216.13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2.5899999999999999E-2</v>
          </cell>
          <cell r="Z661">
            <v>216.13</v>
          </cell>
          <cell r="AA661">
            <v>0</v>
          </cell>
          <cell r="AB661">
            <v>0</v>
          </cell>
          <cell r="AC661">
            <v>3.7000000000000002E-3</v>
          </cell>
          <cell r="AD661">
            <v>33.6</v>
          </cell>
          <cell r="AE661">
            <v>0</v>
          </cell>
          <cell r="AF661">
            <v>0</v>
          </cell>
          <cell r="AG661">
            <v>2.2200000000000002E-3</v>
          </cell>
          <cell r="AH661">
            <v>20.16</v>
          </cell>
          <cell r="AI661">
            <v>5.9199999999999999E-3</v>
          </cell>
          <cell r="AJ661">
            <v>53.76</v>
          </cell>
          <cell r="AK661">
            <v>5.9199999999999999E-3</v>
          </cell>
          <cell r="AL661">
            <v>53.76</v>
          </cell>
          <cell r="AO661">
            <v>1.7759999999999998E-2</v>
          </cell>
          <cell r="AP661">
            <v>161.28</v>
          </cell>
          <cell r="AS661">
            <v>0</v>
          </cell>
          <cell r="AT661">
            <v>0</v>
          </cell>
          <cell r="AU661">
            <v>0.65416026000000105</v>
          </cell>
          <cell r="AV661">
            <v>5738.4</v>
          </cell>
          <cell r="AW661">
            <v>0</v>
          </cell>
          <cell r="AX661">
            <v>0</v>
          </cell>
          <cell r="AY661">
            <v>7.4000000000000003E-3</v>
          </cell>
          <cell r="AZ661">
            <v>62.4</v>
          </cell>
          <cell r="BA661">
            <v>0</v>
          </cell>
          <cell r="BB661">
            <v>0</v>
          </cell>
          <cell r="BC661">
            <v>1.4800000000000001E-2</v>
          </cell>
          <cell r="BD661">
            <v>128.05000000000001</v>
          </cell>
          <cell r="BE661">
            <v>2.2200000000000001E-2</v>
          </cell>
          <cell r="BF661">
            <v>190.45000000000002</v>
          </cell>
          <cell r="BG661">
            <v>1.6279999999999999E-2</v>
          </cell>
          <cell r="BH661">
            <v>147.84</v>
          </cell>
          <cell r="BI661">
            <v>2.4420000000000001E-2</v>
          </cell>
          <cell r="BJ661">
            <v>208.07</v>
          </cell>
          <cell r="BK661">
            <v>1.11E-2</v>
          </cell>
          <cell r="BL661">
            <v>100.8</v>
          </cell>
          <cell r="BM661">
            <v>7.7330259999999998E-2</v>
          </cell>
          <cell r="BN661">
            <v>669.91</v>
          </cell>
          <cell r="BO661">
            <v>9.4350000000000003E-2</v>
          </cell>
          <cell r="BP661">
            <v>850.21</v>
          </cell>
          <cell r="BQ661">
            <v>0</v>
          </cell>
          <cell r="BR661">
            <v>0</v>
          </cell>
          <cell r="BS661">
            <v>0.22903026000000001</v>
          </cell>
          <cell r="BT661">
            <v>2027.23</v>
          </cell>
          <cell r="BU661">
            <v>1.0359999999999999E-2</v>
          </cell>
          <cell r="BV661">
            <v>89.26</v>
          </cell>
          <cell r="BW661">
            <v>0</v>
          </cell>
          <cell r="BX661">
            <v>0</v>
          </cell>
          <cell r="BY661">
            <v>3.9960000000000002E-2</v>
          </cell>
          <cell r="BZ661">
            <v>356.28</v>
          </cell>
          <cell r="CA661">
            <v>7.4000000000000003E-3</v>
          </cell>
          <cell r="CB661">
            <v>67.2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5.772E-2</v>
          </cell>
          <cell r="CJ661">
            <v>512.74</v>
          </cell>
          <cell r="CK661">
            <v>0.28675026000000003</v>
          </cell>
          <cell r="CL661">
            <v>2539.9700000000003</v>
          </cell>
          <cell r="CO661">
            <v>0</v>
          </cell>
          <cell r="CP661">
            <v>0</v>
          </cell>
          <cell r="CQ661">
            <v>0</v>
          </cell>
          <cell r="CR661">
            <v>0</v>
          </cell>
          <cell r="CS661">
            <v>0</v>
          </cell>
          <cell r="CT661">
            <v>0</v>
          </cell>
          <cell r="CU661">
            <v>0.25086000000000003</v>
          </cell>
          <cell r="CV661">
            <v>2192.87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2.5899999999999999E-2</v>
          </cell>
          <cell r="DH661">
            <v>225.8</v>
          </cell>
          <cell r="DI661">
            <v>2.479E-2</v>
          </cell>
          <cell r="DJ661">
            <v>211.9</v>
          </cell>
          <cell r="DK661">
            <v>0</v>
          </cell>
          <cell r="DL661">
            <v>0</v>
          </cell>
          <cell r="DM661">
            <v>5.0689999999999999E-2</v>
          </cell>
          <cell r="DN661">
            <v>437.7</v>
          </cell>
          <cell r="DO661">
            <v>3.5150000000000001E-2</v>
          </cell>
          <cell r="DP661">
            <v>296.08999999999997</v>
          </cell>
          <cell r="DQ661">
            <v>7.4000000000000003E-3</v>
          </cell>
          <cell r="DR661">
            <v>62.4</v>
          </cell>
          <cell r="DS661">
            <v>0.20831</v>
          </cell>
          <cell r="DT661">
            <v>1834.38</v>
          </cell>
          <cell r="DU661">
            <v>0.25086000000000003</v>
          </cell>
          <cell r="DV661">
            <v>2192.87</v>
          </cell>
          <cell r="DW661">
            <v>0.65416026000000005</v>
          </cell>
          <cell r="DX661">
            <v>5738.4</v>
          </cell>
          <cell r="DY661" t="str">
            <v/>
          </cell>
          <cell r="DZ661">
            <v>0</v>
          </cell>
          <cell r="EA661">
            <v>8772.1623444383476</v>
          </cell>
        </row>
        <row r="662">
          <cell r="B662">
            <v>120128</v>
          </cell>
          <cell r="C662" t="str">
            <v>BLENDO T.PASTASI_2.1KQ*4</v>
          </cell>
          <cell r="D662" t="str">
            <v>TON</v>
          </cell>
          <cell r="E662">
            <v>7.5600000000000001E-2</v>
          </cell>
          <cell r="F662">
            <v>470.88</v>
          </cell>
          <cell r="G662">
            <v>3.78E-2</v>
          </cell>
          <cell r="H662">
            <v>235.71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O662">
            <v>0.1134</v>
          </cell>
          <cell r="P662">
            <v>706.59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O662">
            <v>0</v>
          </cell>
          <cell r="AP662">
            <v>0</v>
          </cell>
          <cell r="AS662">
            <v>0</v>
          </cell>
          <cell r="AT662">
            <v>0</v>
          </cell>
          <cell r="AU662">
            <v>0.189</v>
          </cell>
          <cell r="AV662">
            <v>1175.8499999999999</v>
          </cell>
          <cell r="AW662">
            <v>0</v>
          </cell>
          <cell r="AX662">
            <v>0</v>
          </cell>
          <cell r="AY662">
            <v>8.3999999999999995E-3</v>
          </cell>
          <cell r="AZ662">
            <v>51.84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8.3999999999999995E-3</v>
          </cell>
          <cell r="BF662">
            <v>51.84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4.2000000000000003E-2</v>
          </cell>
          <cell r="BP662">
            <v>261.89999999999998</v>
          </cell>
          <cell r="BQ662">
            <v>0</v>
          </cell>
          <cell r="BR662">
            <v>0</v>
          </cell>
          <cell r="BS662">
            <v>4.2000000000000003E-2</v>
          </cell>
          <cell r="BT662">
            <v>261.89999999999998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4.2000000000000003E-2</v>
          </cell>
          <cell r="CL662">
            <v>261.89999999999998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0</v>
          </cell>
          <cell r="CT662">
            <v>0</v>
          </cell>
          <cell r="CU662">
            <v>2.52E-2</v>
          </cell>
          <cell r="CV662">
            <v>155.52000000000001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0</v>
          </cell>
          <cell r="DN662">
            <v>0</v>
          </cell>
          <cell r="DO662">
            <v>2.52E-2</v>
          </cell>
          <cell r="DP662">
            <v>155.52000000000001</v>
          </cell>
          <cell r="DQ662">
            <v>0</v>
          </cell>
          <cell r="DR662">
            <v>0</v>
          </cell>
          <cell r="DS662">
            <v>0</v>
          </cell>
          <cell r="DT662">
            <v>0</v>
          </cell>
          <cell r="DU662">
            <v>2.52E-2</v>
          </cell>
          <cell r="DV662">
            <v>155.52000000000001</v>
          </cell>
          <cell r="DW662">
            <v>0.189</v>
          </cell>
          <cell r="DX662">
            <v>1175.8499999999999</v>
          </cell>
          <cell r="DY662" t="str">
            <v/>
          </cell>
          <cell r="DZ662">
            <v>0</v>
          </cell>
          <cell r="EA662">
            <v>6221.4285714285706</v>
          </cell>
        </row>
        <row r="663">
          <cell r="B663">
            <v>323752</v>
          </cell>
          <cell r="C663" t="str">
            <v>ტ-პასტა-ბიზიმ-ტარლა-275გ_11ც+1ც</v>
          </cell>
          <cell r="D663" t="str">
            <v>TON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O663">
            <v>0</v>
          </cell>
          <cell r="AP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  <cell r="DX663">
            <v>0</v>
          </cell>
          <cell r="DY663" t="str">
            <v/>
          </cell>
          <cell r="DZ663" t="str">
            <v>pasiv</v>
          </cell>
          <cell r="EA663" t="e">
            <v>#DIV/0!</v>
          </cell>
        </row>
        <row r="664">
          <cell r="B664">
            <v>17477</v>
          </cell>
          <cell r="C664" t="str">
            <v>BLENDO SALCA 720*12</v>
          </cell>
          <cell r="D664" t="str">
            <v>TON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1.728E-2</v>
          </cell>
          <cell r="AL664">
            <v>125.29</v>
          </cell>
          <cell r="AO664">
            <v>1.728E-2</v>
          </cell>
          <cell r="AP664">
            <v>125.29</v>
          </cell>
          <cell r="AS664">
            <v>0</v>
          </cell>
          <cell r="AT664">
            <v>0</v>
          </cell>
          <cell r="AU664">
            <v>0.18720000000000001</v>
          </cell>
          <cell r="AV664">
            <v>1339.18</v>
          </cell>
          <cell r="AW664">
            <v>0</v>
          </cell>
          <cell r="AX664">
            <v>0</v>
          </cell>
          <cell r="AY664">
            <v>8.6400000000000001E-3</v>
          </cell>
          <cell r="AZ664">
            <v>61.06</v>
          </cell>
          <cell r="BA664">
            <v>0</v>
          </cell>
          <cell r="BB664">
            <v>0</v>
          </cell>
          <cell r="BC664">
            <v>8.6400000000000001E-3</v>
          </cell>
          <cell r="BD664">
            <v>61.69</v>
          </cell>
          <cell r="BE664">
            <v>1.728E-2</v>
          </cell>
          <cell r="BF664">
            <v>122.75</v>
          </cell>
          <cell r="BG664">
            <v>0</v>
          </cell>
          <cell r="BH664">
            <v>0</v>
          </cell>
          <cell r="BI664">
            <v>1.728E-2</v>
          </cell>
          <cell r="BJ664">
            <v>122.11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1.728E-2</v>
          </cell>
          <cell r="BT664">
            <v>122.11</v>
          </cell>
          <cell r="BU664">
            <v>8.6400000000000001E-3</v>
          </cell>
          <cell r="BV664">
            <v>61.69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1.008E-2</v>
          </cell>
          <cell r="CF664">
            <v>73.56</v>
          </cell>
          <cell r="CG664">
            <v>0</v>
          </cell>
          <cell r="CH664">
            <v>0</v>
          </cell>
          <cell r="CI664">
            <v>1.8720000000000001E-2</v>
          </cell>
          <cell r="CJ664">
            <v>135.25</v>
          </cell>
          <cell r="CK664">
            <v>3.6000000000000004E-2</v>
          </cell>
          <cell r="CL664">
            <v>257.36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5.1839999999999997E-2</v>
          </cell>
          <cell r="CV664">
            <v>366.33</v>
          </cell>
          <cell r="CW664">
            <v>0</v>
          </cell>
          <cell r="CX664">
            <v>0</v>
          </cell>
          <cell r="CY664">
            <v>8.6400000000000001E-3</v>
          </cell>
          <cell r="CZ664">
            <v>63.6</v>
          </cell>
          <cell r="DA664">
            <v>0</v>
          </cell>
          <cell r="DB664">
            <v>0</v>
          </cell>
          <cell r="DC664">
            <v>1.2959999999999999E-2</v>
          </cell>
          <cell r="DD664">
            <v>89.67</v>
          </cell>
          <cell r="DE664">
            <v>2.1600000000000001E-2</v>
          </cell>
          <cell r="DF664">
            <v>153.27000000000001</v>
          </cell>
          <cell r="DG664">
            <v>0</v>
          </cell>
          <cell r="DH664">
            <v>0</v>
          </cell>
          <cell r="DI664">
            <v>1.2959999999999999E-2</v>
          </cell>
          <cell r="DJ664">
            <v>93.49</v>
          </cell>
          <cell r="DK664">
            <v>3.024E-2</v>
          </cell>
          <cell r="DL664">
            <v>220.69</v>
          </cell>
          <cell r="DM664">
            <v>4.3200000000000002E-2</v>
          </cell>
          <cell r="DN664">
            <v>314.18</v>
          </cell>
          <cell r="DO664">
            <v>4.3200000000000002E-2</v>
          </cell>
          <cell r="DP664">
            <v>302.73</v>
          </cell>
          <cell r="DQ664">
            <v>4.3200000000000001E-3</v>
          </cell>
          <cell r="DR664">
            <v>31.8</v>
          </cell>
          <cell r="DS664">
            <v>4.3200000000000001E-3</v>
          </cell>
          <cell r="DT664">
            <v>31.8</v>
          </cell>
          <cell r="DU664">
            <v>5.1839999999999997E-2</v>
          </cell>
          <cell r="DV664">
            <v>366.33</v>
          </cell>
          <cell r="DW664">
            <v>0.18719999999999998</v>
          </cell>
          <cell r="DX664">
            <v>1339.1799999999998</v>
          </cell>
          <cell r="DY664" t="str">
            <v/>
          </cell>
          <cell r="DZ664">
            <v>0</v>
          </cell>
          <cell r="EA664">
            <v>7153.7393162393164</v>
          </cell>
        </row>
        <row r="665">
          <cell r="B665">
            <v>265103</v>
          </cell>
          <cell r="C665" t="str">
            <v>ტ-პასტა-ბლენდო_275გ*20</v>
          </cell>
          <cell r="D665" t="str">
            <v>TON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O665">
            <v>0</v>
          </cell>
          <cell r="AP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0</v>
          </cell>
          <cell r="DN665">
            <v>0</v>
          </cell>
          <cell r="DO665">
            <v>0</v>
          </cell>
          <cell r="DP665">
            <v>0</v>
          </cell>
          <cell r="DQ665">
            <v>0</v>
          </cell>
          <cell r="DR665">
            <v>0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  <cell r="DX665">
            <v>0</v>
          </cell>
          <cell r="DY665" t="str">
            <v/>
          </cell>
          <cell r="DZ665" t="str">
            <v>pasiv</v>
          </cell>
          <cell r="EA665" t="e">
            <v>#DIV/0!</v>
          </cell>
        </row>
        <row r="666">
          <cell r="A666">
            <v>0.39560400000000001</v>
          </cell>
          <cell r="B666">
            <v>349322</v>
          </cell>
          <cell r="C666" t="str">
            <v>ჩვ.სუფრა_ტ-პასტა 720გ+მარ.კიტრი700გ+ბარდ.კონს400გ</v>
          </cell>
          <cell r="D666" t="str">
            <v>TON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O666">
            <v>0</v>
          </cell>
          <cell r="AP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  <cell r="DX666">
            <v>0</v>
          </cell>
          <cell r="DY666" t="str">
            <v/>
          </cell>
          <cell r="DZ666" t="str">
            <v>pasiv</v>
          </cell>
          <cell r="EA666" t="e">
            <v>#DIV/0!</v>
          </cell>
        </row>
        <row r="667">
          <cell r="A667">
            <v>0.39560400000000001</v>
          </cell>
          <cell r="B667">
            <v>349327</v>
          </cell>
          <cell r="C667" t="str">
            <v>ჩვ.სუფრა_ბარდ.კონს.700გ+ტ-პასტა 720გ+ბარდ.კონს400გ</v>
          </cell>
          <cell r="D667" t="str">
            <v>TON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O667">
            <v>0</v>
          </cell>
          <cell r="AP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O667">
            <v>0</v>
          </cell>
          <cell r="CP667">
            <v>0</v>
          </cell>
          <cell r="CQ667">
            <v>0</v>
          </cell>
          <cell r="CR667">
            <v>0</v>
          </cell>
          <cell r="CS667">
            <v>0</v>
          </cell>
          <cell r="CT667">
            <v>0</v>
          </cell>
          <cell r="CU667">
            <v>0</v>
          </cell>
          <cell r="CV667">
            <v>0</v>
          </cell>
          <cell r="CW667">
            <v>0</v>
          </cell>
          <cell r="CX667">
            <v>0</v>
          </cell>
          <cell r="CY667">
            <v>0</v>
          </cell>
          <cell r="CZ667">
            <v>0</v>
          </cell>
          <cell r="DA667">
            <v>0</v>
          </cell>
          <cell r="DB667">
            <v>0</v>
          </cell>
          <cell r="DC667">
            <v>0</v>
          </cell>
          <cell r="DD667">
            <v>0</v>
          </cell>
          <cell r="DE667">
            <v>0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0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0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  <cell r="DX667">
            <v>0</v>
          </cell>
          <cell r="DY667" t="str">
            <v/>
          </cell>
          <cell r="DZ667" t="str">
            <v>pasiv</v>
          </cell>
          <cell r="EA667" t="e">
            <v>#DIV/0!</v>
          </cell>
        </row>
        <row r="668">
          <cell r="A668">
            <v>1</v>
          </cell>
          <cell r="B668">
            <v>275439</v>
          </cell>
          <cell r="C668" t="str">
            <v>ტ-პასტა-ბლენდო-2.1კგ_11ც+1ც</v>
          </cell>
          <cell r="D668" t="str">
            <v>TON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O668">
            <v>0</v>
          </cell>
          <cell r="AP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  <cell r="DX668">
            <v>0</v>
          </cell>
          <cell r="DY668" t="str">
            <v>Hedef</v>
          </cell>
          <cell r="DZ668" t="str">
            <v>pasiv</v>
          </cell>
          <cell r="EA668" t="e">
            <v>#DIV/0!</v>
          </cell>
        </row>
        <row r="669">
          <cell r="B669">
            <v>320927</v>
          </cell>
          <cell r="C669" t="str">
            <v>ტ-პასტა-ტოლიდო-830გ-11ც+1ც</v>
          </cell>
          <cell r="D669" t="str">
            <v>TON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O669">
            <v>0</v>
          </cell>
          <cell r="AP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0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  <cell r="DX669">
            <v>0</v>
          </cell>
          <cell r="DY669" t="str">
            <v/>
          </cell>
          <cell r="DZ669" t="str">
            <v>pasiv</v>
          </cell>
          <cell r="EA669" t="e">
            <v>#DIV/0!</v>
          </cell>
        </row>
        <row r="670">
          <cell r="B670">
            <v>240421</v>
          </cell>
          <cell r="C670" t="str">
            <v>ტ-პასტა-ტოლიდო-830გრ*12-თუნუქი</v>
          </cell>
          <cell r="D670" t="str">
            <v>TON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O670">
            <v>0</v>
          </cell>
          <cell r="AP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O670">
            <v>0</v>
          </cell>
          <cell r="CP670">
            <v>0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0</v>
          </cell>
          <cell r="DA670">
            <v>0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  <cell r="DX670">
            <v>0</v>
          </cell>
          <cell r="DY670" t="str">
            <v/>
          </cell>
          <cell r="DZ670" t="str">
            <v>pasiv</v>
          </cell>
          <cell r="EA670" t="e">
            <v>#DIV/0!</v>
          </cell>
        </row>
        <row r="671">
          <cell r="B671">
            <v>0</v>
          </cell>
          <cell r="C671" t="str">
            <v>BLENDO SALCA</v>
          </cell>
          <cell r="D671" t="str">
            <v>TON</v>
          </cell>
          <cell r="E671">
            <v>7.5600000000000001E-2</v>
          </cell>
          <cell r="F671">
            <v>470.88</v>
          </cell>
          <cell r="G671">
            <v>3.78E-2</v>
          </cell>
          <cell r="H671">
            <v>235.71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O671">
            <v>0.1134</v>
          </cell>
          <cell r="P671">
            <v>706.59</v>
          </cell>
          <cell r="Q671">
            <v>0</v>
          </cell>
          <cell r="R671">
            <v>0</v>
          </cell>
          <cell r="S671">
            <v>6.6599999999999993E-2</v>
          </cell>
          <cell r="T671">
            <v>531.43000000000006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6.6599999999999993E-2</v>
          </cell>
          <cell r="Z671">
            <v>531.43000000000006</v>
          </cell>
          <cell r="AA671">
            <v>0</v>
          </cell>
          <cell r="AB671">
            <v>0</v>
          </cell>
          <cell r="AC671">
            <v>3.7000000000000002E-3</v>
          </cell>
          <cell r="AD671">
            <v>33.6</v>
          </cell>
          <cell r="AE671">
            <v>0</v>
          </cell>
          <cell r="AF671">
            <v>0</v>
          </cell>
          <cell r="AG671">
            <v>2.2200000000000002E-3</v>
          </cell>
          <cell r="AH671">
            <v>20.16</v>
          </cell>
          <cell r="AI671">
            <v>5.9199999999999999E-3</v>
          </cell>
          <cell r="AJ671">
            <v>53.76</v>
          </cell>
          <cell r="AK671">
            <v>2.3570000000000001E-2</v>
          </cell>
          <cell r="AL671">
            <v>181.96</v>
          </cell>
          <cell r="AO671">
            <v>3.5409999999999997E-2</v>
          </cell>
          <cell r="AP671">
            <v>289.48</v>
          </cell>
          <cell r="AS671">
            <v>0</v>
          </cell>
          <cell r="AT671">
            <v>0</v>
          </cell>
          <cell r="AU671">
            <v>1.7174502600000012</v>
          </cell>
          <cell r="AV671">
            <v>13999.93</v>
          </cell>
          <cell r="AW671">
            <v>0</v>
          </cell>
          <cell r="AX671">
            <v>0</v>
          </cell>
          <cell r="AY671">
            <v>3.9240000000000004E-2</v>
          </cell>
          <cell r="AZ671">
            <v>292</v>
          </cell>
          <cell r="BA671">
            <v>0</v>
          </cell>
          <cell r="BB671">
            <v>0</v>
          </cell>
          <cell r="BC671">
            <v>4.0090000000000008E-2</v>
          </cell>
          <cell r="BD671">
            <v>322.94</v>
          </cell>
          <cell r="BE671">
            <v>7.9329999999999998E-2</v>
          </cell>
          <cell r="BF671">
            <v>614.94000000000005</v>
          </cell>
          <cell r="BG671">
            <v>6.8080000000000002E-2</v>
          </cell>
          <cell r="BH671">
            <v>595.98</v>
          </cell>
          <cell r="BI671">
            <v>8.0920000000000006E-2</v>
          </cell>
          <cell r="BJ671">
            <v>667.84</v>
          </cell>
          <cell r="BK671">
            <v>1.11E-2</v>
          </cell>
          <cell r="BL671">
            <v>100.8</v>
          </cell>
          <cell r="BM671">
            <v>8.6210259999999997E-2</v>
          </cell>
          <cell r="BN671">
            <v>754.39</v>
          </cell>
          <cell r="BO671">
            <v>0.15337000000000001</v>
          </cell>
          <cell r="BP671">
            <v>1251.49</v>
          </cell>
          <cell r="BQ671">
            <v>0</v>
          </cell>
          <cell r="BR671">
            <v>0</v>
          </cell>
          <cell r="BS671">
            <v>0.40523026000000001</v>
          </cell>
          <cell r="BT671">
            <v>3420.9000000000005</v>
          </cell>
          <cell r="BU671">
            <v>3.0100000000000002E-2</v>
          </cell>
          <cell r="BV671">
            <v>247.01</v>
          </cell>
          <cell r="BW671">
            <v>3.7000000000000002E-3</v>
          </cell>
          <cell r="BX671">
            <v>30.8</v>
          </cell>
          <cell r="BY671">
            <v>3.9960000000000002E-2</v>
          </cell>
          <cell r="BZ671">
            <v>356.28</v>
          </cell>
          <cell r="CA671">
            <v>7.4000000000000003E-3</v>
          </cell>
          <cell r="CB671">
            <v>67.2</v>
          </cell>
          <cell r="CC671">
            <v>1.11E-2</v>
          </cell>
          <cell r="CD671">
            <v>98.49</v>
          </cell>
          <cell r="CE671">
            <v>1.008E-2</v>
          </cell>
          <cell r="CF671">
            <v>73.56</v>
          </cell>
          <cell r="CG671">
            <v>0</v>
          </cell>
          <cell r="CH671">
            <v>0</v>
          </cell>
          <cell r="CI671">
            <v>0.10234</v>
          </cell>
          <cell r="CJ671">
            <v>873.34</v>
          </cell>
          <cell r="CK671">
            <v>0.50757026000000005</v>
          </cell>
          <cell r="CL671">
            <v>4294.2400000000007</v>
          </cell>
          <cell r="CO671">
            <v>0</v>
          </cell>
          <cell r="CP671">
            <v>0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0.74785000000000001</v>
          </cell>
          <cell r="CV671">
            <v>6243.5</v>
          </cell>
          <cell r="CW671">
            <v>0</v>
          </cell>
          <cell r="CX671">
            <v>0</v>
          </cell>
          <cell r="CY671">
            <v>8.6400000000000001E-3</v>
          </cell>
          <cell r="CZ671">
            <v>63.6</v>
          </cell>
          <cell r="DA671">
            <v>0</v>
          </cell>
          <cell r="DB671">
            <v>0</v>
          </cell>
          <cell r="DC671">
            <v>1.2959999999999999E-2</v>
          </cell>
          <cell r="DD671">
            <v>89.67</v>
          </cell>
          <cell r="DE671">
            <v>2.1600000000000001E-2</v>
          </cell>
          <cell r="DF671">
            <v>153.27000000000001</v>
          </cell>
          <cell r="DG671">
            <v>4.07E-2</v>
          </cell>
          <cell r="DH671">
            <v>342.20000000000005</v>
          </cell>
          <cell r="DI671">
            <v>5.033E-2</v>
          </cell>
          <cell r="DJ671">
            <v>405.59000000000003</v>
          </cell>
          <cell r="DK671">
            <v>5.466E-2</v>
          </cell>
          <cell r="DL671">
            <v>418.69</v>
          </cell>
          <cell r="DM671">
            <v>0.14568999999999999</v>
          </cell>
          <cell r="DN671">
            <v>1166.48</v>
          </cell>
          <cell r="DO671">
            <v>0.15534999999999999</v>
          </cell>
          <cell r="DP671">
            <v>1165.9000000000001</v>
          </cell>
          <cell r="DQ671">
            <v>5.6119999999999996E-2</v>
          </cell>
          <cell r="DR671">
            <v>457.21999999999997</v>
          </cell>
          <cell r="DS671">
            <v>0.53637999999999997</v>
          </cell>
          <cell r="DT671">
            <v>4620.38</v>
          </cell>
          <cell r="DU671">
            <v>0.74785000000000001</v>
          </cell>
          <cell r="DV671">
            <v>6243.5</v>
          </cell>
          <cell r="DW671">
            <v>1.7174502600000001</v>
          </cell>
          <cell r="DX671">
            <v>13999.93</v>
          </cell>
          <cell r="DY671" t="str">
            <v/>
          </cell>
          <cell r="DZ671">
            <v>0</v>
          </cell>
          <cell r="EA671">
            <v>8151.5781423562157</v>
          </cell>
        </row>
        <row r="672">
          <cell r="A672">
            <v>15</v>
          </cell>
          <cell r="B672">
            <v>0</v>
          </cell>
          <cell r="C672" t="str">
            <v>SALCA TOPLAMI</v>
          </cell>
          <cell r="D672" t="str">
            <v>TON</v>
          </cell>
          <cell r="E672">
            <v>8.4239999999999995E-2</v>
          </cell>
          <cell r="F672">
            <v>536.88</v>
          </cell>
          <cell r="G672">
            <v>8.6559999999999998E-2</v>
          </cell>
          <cell r="H672">
            <v>518.18000000000006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0.17079999999999998</v>
          </cell>
          <cell r="P672">
            <v>1055.06</v>
          </cell>
          <cell r="Q672">
            <v>4.3200000000000002E-2</v>
          </cell>
          <cell r="R672">
            <v>320.10000000000002</v>
          </cell>
          <cell r="S672">
            <v>0.18659999999999999</v>
          </cell>
          <cell r="T672">
            <v>1384.4700000000003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0.2298</v>
          </cell>
          <cell r="Z672">
            <v>1704.5700000000002</v>
          </cell>
          <cell r="AA672">
            <v>0</v>
          </cell>
          <cell r="AB672">
            <v>0</v>
          </cell>
          <cell r="AC672">
            <v>1.234E-2</v>
          </cell>
          <cell r="AD672">
            <v>102.96000000000001</v>
          </cell>
          <cell r="AE672">
            <v>0</v>
          </cell>
          <cell r="AF672">
            <v>0</v>
          </cell>
          <cell r="AG672">
            <v>1.95E-2</v>
          </cell>
          <cell r="AH672">
            <v>153.54</v>
          </cell>
          <cell r="AI672">
            <v>2.7520000000000003E-2</v>
          </cell>
          <cell r="AJ672">
            <v>227.16</v>
          </cell>
          <cell r="AK672">
            <v>4.0850000000000004E-2</v>
          </cell>
          <cell r="AL672">
            <v>312.76</v>
          </cell>
          <cell r="AM672">
            <v>0</v>
          </cell>
          <cell r="AN672">
            <v>0</v>
          </cell>
          <cell r="AO672">
            <v>0.10020999999999999</v>
          </cell>
          <cell r="AP672">
            <v>796.42000000000007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2.6792502600000012</v>
          </cell>
          <cell r="AV672">
            <v>20855.190000000002</v>
          </cell>
          <cell r="AW672">
            <v>0</v>
          </cell>
          <cell r="AX672">
            <v>0</v>
          </cell>
          <cell r="AY672">
            <v>4.7880000000000006E-2</v>
          </cell>
          <cell r="AZ672">
            <v>358</v>
          </cell>
          <cell r="BA672">
            <v>0</v>
          </cell>
          <cell r="BB672">
            <v>0</v>
          </cell>
          <cell r="BC672">
            <v>8.2295000000000007E-2</v>
          </cell>
          <cell r="BD672">
            <v>634.9</v>
          </cell>
          <cell r="BE672">
            <v>0.13017500000000001</v>
          </cell>
          <cell r="BF672">
            <v>992.90000000000009</v>
          </cell>
          <cell r="BG672">
            <v>0.13719999999999999</v>
          </cell>
          <cell r="BH672">
            <v>1110.1199999999999</v>
          </cell>
          <cell r="BI672">
            <v>0.11548</v>
          </cell>
          <cell r="BJ672">
            <v>922.30000000000007</v>
          </cell>
          <cell r="BK672">
            <v>1.8170000000000002E-2</v>
          </cell>
          <cell r="BL672">
            <v>156.31</v>
          </cell>
          <cell r="BM672">
            <v>0.15461026</v>
          </cell>
          <cell r="BN672">
            <v>1267.98</v>
          </cell>
          <cell r="BO672">
            <v>0.15337000000000001</v>
          </cell>
          <cell r="BP672">
            <v>1251.49</v>
          </cell>
          <cell r="BQ672">
            <v>0</v>
          </cell>
          <cell r="BR672">
            <v>0</v>
          </cell>
          <cell r="BS672">
            <v>0.58438025999999998</v>
          </cell>
          <cell r="BT672">
            <v>4758.6000000000004</v>
          </cell>
          <cell r="BU672">
            <v>3.4419999999999999E-2</v>
          </cell>
          <cell r="BV672">
            <v>279.02</v>
          </cell>
          <cell r="BW672">
            <v>8.7400000000000012E-3</v>
          </cell>
          <cell r="BX672">
            <v>67.760000000000005</v>
          </cell>
          <cell r="BY672">
            <v>3.9960000000000002E-2</v>
          </cell>
          <cell r="BZ672">
            <v>356.28</v>
          </cell>
          <cell r="CA672">
            <v>7.4000000000000003E-3</v>
          </cell>
          <cell r="CB672">
            <v>67.2</v>
          </cell>
          <cell r="CC672">
            <v>3.27E-2</v>
          </cell>
          <cell r="CD672">
            <v>257.55</v>
          </cell>
          <cell r="CE672">
            <v>1.44E-2</v>
          </cell>
          <cell r="CF672">
            <v>104.58</v>
          </cell>
          <cell r="CG672">
            <v>0</v>
          </cell>
          <cell r="CH672">
            <v>0</v>
          </cell>
          <cell r="CI672">
            <v>0.13761999999999999</v>
          </cell>
          <cell r="CJ672">
            <v>1132.3900000000001</v>
          </cell>
          <cell r="CK672">
            <v>0.72200026000000006</v>
          </cell>
          <cell r="CL672">
            <v>5890.9900000000007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0.92496999999999996</v>
          </cell>
          <cell r="CV672">
            <v>7579.3</v>
          </cell>
          <cell r="CW672">
            <v>0</v>
          </cell>
          <cell r="CX672">
            <v>0</v>
          </cell>
          <cell r="CY672">
            <v>0.16992499999999999</v>
          </cell>
          <cell r="CZ672">
            <v>1040.05</v>
          </cell>
          <cell r="DA672">
            <v>8.6400000000000001E-3</v>
          </cell>
          <cell r="DB672">
            <v>69.36</v>
          </cell>
          <cell r="DC672">
            <v>5.8319999999999997E-2</v>
          </cell>
          <cell r="DD672">
            <v>419.04</v>
          </cell>
          <cell r="DE672">
            <v>0.23688499999999998</v>
          </cell>
          <cell r="DF672">
            <v>1528.4499999999998</v>
          </cell>
          <cell r="DG672">
            <v>4.5019999999999998E-2</v>
          </cell>
          <cell r="DH672">
            <v>375.20000000000005</v>
          </cell>
          <cell r="DI672">
            <v>5.033E-2</v>
          </cell>
          <cell r="DJ672">
            <v>405.59000000000003</v>
          </cell>
          <cell r="DK672">
            <v>6.9059999999999996E-2</v>
          </cell>
          <cell r="DL672">
            <v>526.71</v>
          </cell>
          <cell r="DM672">
            <v>0.16441</v>
          </cell>
          <cell r="DN672">
            <v>1307.5</v>
          </cell>
          <cell r="DO672">
            <v>0.19422999999999999</v>
          </cell>
          <cell r="DP672">
            <v>1448.0500000000002</v>
          </cell>
          <cell r="DQ672">
            <v>9.5000000000000001E-2</v>
          </cell>
          <cell r="DR672">
            <v>748.51</v>
          </cell>
          <cell r="DS672">
            <v>0.63573999999999997</v>
          </cell>
          <cell r="DT672">
            <v>5382.74</v>
          </cell>
          <cell r="DU672">
            <v>0.92496999999999996</v>
          </cell>
          <cell r="DV672">
            <v>7579.3</v>
          </cell>
          <cell r="DW672">
            <v>2.6792502599999999</v>
          </cell>
          <cell r="DX672">
            <v>20855.190000000002</v>
          </cell>
          <cell r="DY672" t="str">
            <v>Hedef</v>
          </cell>
          <cell r="DZ672">
            <v>0</v>
          </cell>
          <cell r="EA672">
            <v>7783.9649066601205</v>
          </cell>
        </row>
        <row r="673">
          <cell r="B673">
            <v>331792</v>
          </cell>
          <cell r="C673" t="str">
            <v>ჩვ.სუფ_კეტჩუპი_9კგ_კლასიკ_11ც+1ც</v>
          </cell>
          <cell r="D673" t="str">
            <v>TON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O673">
            <v>0</v>
          </cell>
          <cell r="AP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O673">
            <v>0</v>
          </cell>
          <cell r="CP673">
            <v>0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0</v>
          </cell>
          <cell r="CV673">
            <v>0</v>
          </cell>
          <cell r="CW673">
            <v>0</v>
          </cell>
          <cell r="CX673">
            <v>0</v>
          </cell>
          <cell r="CY673">
            <v>0</v>
          </cell>
          <cell r="CZ673">
            <v>0</v>
          </cell>
          <cell r="DA673">
            <v>0</v>
          </cell>
          <cell r="DB673">
            <v>0</v>
          </cell>
          <cell r="DC673">
            <v>0</v>
          </cell>
          <cell r="DD673">
            <v>0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  <cell r="DX673">
            <v>0</v>
          </cell>
          <cell r="DY673" t="str">
            <v/>
          </cell>
          <cell r="DZ673" t="str">
            <v>pasiv</v>
          </cell>
          <cell r="EA673" t="e">
            <v>#DIV/0!</v>
          </cell>
        </row>
        <row r="674">
          <cell r="B674">
            <v>226827</v>
          </cell>
          <cell r="C674" t="str">
            <v>TOMASO KETCUP HOT_350QR*20_DPK</v>
          </cell>
          <cell r="D674" t="str">
            <v>TON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O674">
            <v>0</v>
          </cell>
          <cell r="AP674">
            <v>0</v>
          </cell>
          <cell r="AS674">
            <v>0</v>
          </cell>
          <cell r="AT674">
            <v>0</v>
          </cell>
          <cell r="AU674">
            <v>4.1300000000000003E-2</v>
          </cell>
          <cell r="AV674">
            <v>408.58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3.8500000000000001E-3</v>
          </cell>
          <cell r="BX674">
            <v>36.79</v>
          </cell>
          <cell r="BY674">
            <v>0</v>
          </cell>
          <cell r="BZ674">
            <v>0</v>
          </cell>
          <cell r="CA674">
            <v>2.0999999999999999E-3</v>
          </cell>
          <cell r="CB674">
            <v>21.42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5.9500000000000004E-3</v>
          </cell>
          <cell r="CJ674">
            <v>58.21</v>
          </cell>
          <cell r="CK674">
            <v>5.9500000000000004E-3</v>
          </cell>
          <cell r="CL674">
            <v>58.21</v>
          </cell>
          <cell r="CO674">
            <v>0</v>
          </cell>
          <cell r="CP674">
            <v>0</v>
          </cell>
          <cell r="CQ674">
            <v>0</v>
          </cell>
          <cell r="CR674">
            <v>0</v>
          </cell>
          <cell r="CS674">
            <v>0</v>
          </cell>
          <cell r="CT674">
            <v>0</v>
          </cell>
          <cell r="CU674">
            <v>5.5999999999999999E-3</v>
          </cell>
          <cell r="CV674">
            <v>54.06</v>
          </cell>
          <cell r="CW674">
            <v>0</v>
          </cell>
          <cell r="CX674">
            <v>0</v>
          </cell>
          <cell r="CY674">
            <v>2.1000000000000001E-2</v>
          </cell>
          <cell r="CZ674">
            <v>210.8</v>
          </cell>
          <cell r="DA674">
            <v>2.0999999999999999E-3</v>
          </cell>
          <cell r="DB674">
            <v>21.42</v>
          </cell>
          <cell r="DC674">
            <v>6.6499999999999997E-3</v>
          </cell>
          <cell r="DD674">
            <v>64.09</v>
          </cell>
          <cell r="DE674">
            <v>2.9750000000000002E-2</v>
          </cell>
          <cell r="DF674">
            <v>296.31000000000006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2.0999999999999999E-3</v>
          </cell>
          <cell r="DP674">
            <v>21.42</v>
          </cell>
          <cell r="DQ674">
            <v>3.5000000000000001E-3</v>
          </cell>
          <cell r="DR674">
            <v>32.64</v>
          </cell>
          <cell r="DS674">
            <v>0</v>
          </cell>
          <cell r="DT674">
            <v>0</v>
          </cell>
          <cell r="DU674">
            <v>5.5999999999999999E-3</v>
          </cell>
          <cell r="DV674">
            <v>54.06</v>
          </cell>
          <cell r="DW674">
            <v>4.1300000000000003E-2</v>
          </cell>
          <cell r="DX674">
            <v>408.58000000000004</v>
          </cell>
          <cell r="DY674" t="str">
            <v/>
          </cell>
          <cell r="DZ674">
            <v>0</v>
          </cell>
          <cell r="EA674">
            <v>9892.9782082324455</v>
          </cell>
        </row>
        <row r="675">
          <cell r="B675">
            <v>226828</v>
          </cell>
          <cell r="C675" t="str">
            <v>TOMASO KETCUP CLS_350QR*20_DPK</v>
          </cell>
          <cell r="D675" t="str">
            <v>TON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O675">
            <v>0</v>
          </cell>
          <cell r="AP675">
            <v>0</v>
          </cell>
          <cell r="AS675">
            <v>0</v>
          </cell>
          <cell r="AT675">
            <v>0</v>
          </cell>
          <cell r="AU675">
            <v>6.6500000000000004E-2</v>
          </cell>
          <cell r="AV675">
            <v>463.73</v>
          </cell>
          <cell r="AW675">
            <v>0</v>
          </cell>
          <cell r="AX675">
            <v>0</v>
          </cell>
          <cell r="AY675">
            <v>3.5000000000000001E-3</v>
          </cell>
          <cell r="AZ675">
            <v>24</v>
          </cell>
          <cell r="BA675">
            <v>0</v>
          </cell>
          <cell r="BB675">
            <v>0</v>
          </cell>
          <cell r="BC675">
            <v>7.0000000000000001E-3</v>
          </cell>
          <cell r="BD675">
            <v>48.5</v>
          </cell>
          <cell r="BE675">
            <v>1.0500000000000001E-2</v>
          </cell>
          <cell r="BF675">
            <v>72.5</v>
          </cell>
          <cell r="BG675">
            <v>0</v>
          </cell>
          <cell r="BH675">
            <v>0</v>
          </cell>
          <cell r="BI675">
            <v>1.0499999999999999E-3</v>
          </cell>
          <cell r="BJ675">
            <v>7.28</v>
          </cell>
          <cell r="BK675">
            <v>0</v>
          </cell>
          <cell r="BL675">
            <v>0</v>
          </cell>
          <cell r="BM675">
            <v>1.0499999999999999E-3</v>
          </cell>
          <cell r="BN675">
            <v>7.5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2.0999999999999999E-3</v>
          </cell>
          <cell r="BT675">
            <v>14.78</v>
          </cell>
          <cell r="BU675">
            <v>0</v>
          </cell>
          <cell r="BV675">
            <v>0</v>
          </cell>
          <cell r="BW675">
            <v>2.8E-3</v>
          </cell>
          <cell r="BX675">
            <v>19.55</v>
          </cell>
          <cell r="BY675">
            <v>0</v>
          </cell>
          <cell r="BZ675">
            <v>0</v>
          </cell>
          <cell r="CA675">
            <v>1.75E-3</v>
          </cell>
          <cell r="CB675">
            <v>13.15</v>
          </cell>
          <cell r="CC675">
            <v>0</v>
          </cell>
          <cell r="CD675">
            <v>0</v>
          </cell>
          <cell r="CE675">
            <v>3.5000000000000001E-3</v>
          </cell>
          <cell r="CF675">
            <v>23.5</v>
          </cell>
          <cell r="CG675">
            <v>0</v>
          </cell>
          <cell r="CH675">
            <v>0</v>
          </cell>
          <cell r="CI675">
            <v>8.0499999999999999E-3</v>
          </cell>
          <cell r="CJ675">
            <v>56.2</v>
          </cell>
          <cell r="CK675">
            <v>1.0149999999999999E-2</v>
          </cell>
          <cell r="CL675">
            <v>70.98</v>
          </cell>
          <cell r="CO675">
            <v>0</v>
          </cell>
          <cell r="CP675">
            <v>0</v>
          </cell>
          <cell r="CQ675">
            <v>0</v>
          </cell>
          <cell r="CR675">
            <v>0</v>
          </cell>
          <cell r="CS675">
            <v>0</v>
          </cell>
          <cell r="CT675">
            <v>0</v>
          </cell>
          <cell r="CU675">
            <v>1.225E-2</v>
          </cell>
          <cell r="CV675">
            <v>83.13</v>
          </cell>
          <cell r="CW675">
            <v>0</v>
          </cell>
          <cell r="CX675">
            <v>0</v>
          </cell>
          <cell r="CY675">
            <v>1.4E-2</v>
          </cell>
          <cell r="CZ675">
            <v>98.2</v>
          </cell>
          <cell r="DA675">
            <v>4.1999999999999997E-3</v>
          </cell>
          <cell r="DB675">
            <v>31.56</v>
          </cell>
          <cell r="DC675">
            <v>1.4E-2</v>
          </cell>
          <cell r="DD675">
            <v>97.36</v>
          </cell>
          <cell r="DE675">
            <v>3.2199999999999999E-2</v>
          </cell>
          <cell r="DF675">
            <v>227.12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1.4E-3</v>
          </cell>
          <cell r="DL675">
            <v>10</v>
          </cell>
          <cell r="DM675">
            <v>1.4E-3</v>
          </cell>
          <cell r="DN675">
            <v>10</v>
          </cell>
          <cell r="DO675">
            <v>8.7500000000000008E-3</v>
          </cell>
          <cell r="DP675">
            <v>59.13</v>
          </cell>
          <cell r="DQ675">
            <v>3.5000000000000001E-3</v>
          </cell>
          <cell r="DR675">
            <v>24</v>
          </cell>
          <cell r="DS675">
            <v>0</v>
          </cell>
          <cell r="DT675">
            <v>0</v>
          </cell>
          <cell r="DU675">
            <v>1.225E-2</v>
          </cell>
          <cell r="DV675">
            <v>83.13</v>
          </cell>
          <cell r="DW675">
            <v>6.6500000000000004E-2</v>
          </cell>
          <cell r="DX675">
            <v>463.73</v>
          </cell>
          <cell r="DY675" t="str">
            <v/>
          </cell>
          <cell r="DZ675">
            <v>0</v>
          </cell>
          <cell r="EA675">
            <v>6973.3834586466164</v>
          </cell>
        </row>
        <row r="676">
          <cell r="A676">
            <v>1</v>
          </cell>
          <cell r="B676">
            <v>314155</v>
          </cell>
          <cell r="C676" t="str">
            <v>CHOKH KETCUP_კეტჩუპი_900გ*12_კლასიკი</v>
          </cell>
          <cell r="D676" t="str">
            <v>TON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O676">
            <v>0</v>
          </cell>
          <cell r="AP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O676">
            <v>0</v>
          </cell>
          <cell r="CP676">
            <v>0</v>
          </cell>
          <cell r="CQ676">
            <v>0</v>
          </cell>
          <cell r="CR676">
            <v>0</v>
          </cell>
          <cell r="CS676">
            <v>0</v>
          </cell>
          <cell r="CT676">
            <v>0</v>
          </cell>
          <cell r="CU676">
            <v>0</v>
          </cell>
          <cell r="CV676">
            <v>0</v>
          </cell>
          <cell r="CW676">
            <v>0</v>
          </cell>
          <cell r="CX676">
            <v>0</v>
          </cell>
          <cell r="CY676">
            <v>0</v>
          </cell>
          <cell r="CZ676">
            <v>0</v>
          </cell>
          <cell r="DA676">
            <v>0</v>
          </cell>
          <cell r="DB676">
            <v>0</v>
          </cell>
          <cell r="DC676">
            <v>0</v>
          </cell>
          <cell r="DD676">
            <v>0</v>
          </cell>
          <cell r="DE676">
            <v>0</v>
          </cell>
          <cell r="DF676">
            <v>0</v>
          </cell>
          <cell r="DG676">
            <v>0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  <cell r="DX676">
            <v>0</v>
          </cell>
          <cell r="DY676" t="str">
            <v>Hedef</v>
          </cell>
          <cell r="DZ676" t="str">
            <v>pasiv</v>
          </cell>
          <cell r="EA676" t="e">
            <v>#DIV/0!</v>
          </cell>
        </row>
        <row r="677">
          <cell r="B677">
            <v>226829</v>
          </cell>
          <cell r="C677" t="str">
            <v>TOMASO KETCUP CHILI_350QR*20_DPK</v>
          </cell>
          <cell r="D677" t="str">
            <v>TON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O677">
            <v>0</v>
          </cell>
          <cell r="AP677">
            <v>0</v>
          </cell>
          <cell r="AS677">
            <v>0</v>
          </cell>
          <cell r="AT677">
            <v>0</v>
          </cell>
          <cell r="AU677">
            <v>1.0499999999999999E-3</v>
          </cell>
          <cell r="AV677">
            <v>11.2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1.0499999999999999E-3</v>
          </cell>
          <cell r="BJ677">
            <v>11.2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1.0499999999999999E-3</v>
          </cell>
          <cell r="BT677">
            <v>11.2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1.0499999999999999E-3</v>
          </cell>
          <cell r="CL677">
            <v>11.2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1.0499999999999999E-3</v>
          </cell>
          <cell r="DX677">
            <v>11.2</v>
          </cell>
          <cell r="DY677" t="str">
            <v/>
          </cell>
          <cell r="DZ677">
            <v>0</v>
          </cell>
          <cell r="EA677">
            <v>10666.666666666666</v>
          </cell>
        </row>
        <row r="678">
          <cell r="B678">
            <v>228837</v>
          </cell>
          <cell r="C678" t="str">
            <v>TOMASO KETCUP BARBECUE_350QR*20_DPK</v>
          </cell>
          <cell r="D678" t="str">
            <v>TON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2.0999999999999999E-3</v>
          </cell>
          <cell r="AH678">
            <v>17.64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O678">
            <v>2.0999999999999999E-3</v>
          </cell>
          <cell r="AP678">
            <v>17.64</v>
          </cell>
          <cell r="AS678">
            <v>0</v>
          </cell>
          <cell r="AT678">
            <v>0</v>
          </cell>
          <cell r="AU678">
            <v>2.9749999999999999E-2</v>
          </cell>
          <cell r="AV678">
            <v>235.31</v>
          </cell>
          <cell r="AW678">
            <v>0</v>
          </cell>
          <cell r="AX678">
            <v>0</v>
          </cell>
          <cell r="AY678">
            <v>3.5000000000000001E-3</v>
          </cell>
          <cell r="AZ678">
            <v>26.88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3.5000000000000001E-3</v>
          </cell>
          <cell r="BF678">
            <v>26.88</v>
          </cell>
          <cell r="BG678">
            <v>0</v>
          </cell>
          <cell r="BH678">
            <v>0</v>
          </cell>
          <cell r="BI678">
            <v>1.0499999999999999E-3</v>
          </cell>
          <cell r="BJ678">
            <v>8.15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1.0499999999999999E-3</v>
          </cell>
          <cell r="BT678">
            <v>8.15</v>
          </cell>
          <cell r="BU678">
            <v>0</v>
          </cell>
          <cell r="BV678">
            <v>0</v>
          </cell>
          <cell r="BW678">
            <v>3.8500000000000001E-3</v>
          </cell>
          <cell r="BX678">
            <v>30.3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1.75E-3</v>
          </cell>
          <cell r="CF678">
            <v>13.16</v>
          </cell>
          <cell r="CG678">
            <v>0</v>
          </cell>
          <cell r="CH678">
            <v>0</v>
          </cell>
          <cell r="CI678">
            <v>5.5999999999999999E-3</v>
          </cell>
          <cell r="CJ678">
            <v>43.46</v>
          </cell>
          <cell r="CK678">
            <v>6.6499999999999997E-3</v>
          </cell>
          <cell r="CL678">
            <v>51.61</v>
          </cell>
          <cell r="CO678">
            <v>0</v>
          </cell>
          <cell r="CP678">
            <v>0</v>
          </cell>
          <cell r="CQ678">
            <v>0</v>
          </cell>
          <cell r="CR678">
            <v>0</v>
          </cell>
          <cell r="CS678">
            <v>0</v>
          </cell>
          <cell r="CT678">
            <v>0</v>
          </cell>
          <cell r="CU678">
            <v>3.8500000000000001E-3</v>
          </cell>
          <cell r="CV678">
            <v>32.340000000000003</v>
          </cell>
          <cell r="CW678">
            <v>0</v>
          </cell>
          <cell r="CX678">
            <v>0</v>
          </cell>
          <cell r="CY678">
            <v>0</v>
          </cell>
          <cell r="CZ678">
            <v>0</v>
          </cell>
          <cell r="DA678">
            <v>4.1999999999999997E-3</v>
          </cell>
          <cell r="DB678">
            <v>35.28</v>
          </cell>
          <cell r="DC678">
            <v>8.3999999999999995E-3</v>
          </cell>
          <cell r="DD678">
            <v>63.16</v>
          </cell>
          <cell r="DE678">
            <v>1.26E-2</v>
          </cell>
          <cell r="DF678">
            <v>98.44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1.0499999999999999E-3</v>
          </cell>
          <cell r="DL678">
            <v>8.4</v>
          </cell>
          <cell r="DM678">
            <v>1.0499999999999999E-3</v>
          </cell>
          <cell r="DN678">
            <v>8.4</v>
          </cell>
          <cell r="DO678">
            <v>2.0999999999999999E-3</v>
          </cell>
          <cell r="DP678">
            <v>17.64</v>
          </cell>
          <cell r="DQ678">
            <v>1.75E-3</v>
          </cell>
          <cell r="DR678">
            <v>14.7</v>
          </cell>
          <cell r="DS678">
            <v>0</v>
          </cell>
          <cell r="DT678">
            <v>0</v>
          </cell>
          <cell r="DU678">
            <v>3.8500000000000001E-3</v>
          </cell>
          <cell r="DV678">
            <v>32.340000000000003</v>
          </cell>
          <cell r="DW678">
            <v>2.9750000000000002E-2</v>
          </cell>
          <cell r="DX678">
            <v>235.31</v>
          </cell>
          <cell r="DY678" t="str">
            <v/>
          </cell>
          <cell r="DZ678">
            <v>0</v>
          </cell>
          <cell r="EA678">
            <v>7909.5798319327723</v>
          </cell>
        </row>
        <row r="679">
          <cell r="B679">
            <v>331795</v>
          </cell>
          <cell r="C679" t="str">
            <v>ტომასო_კეტჩუპი_400გ_ცხარე_11ც+1ც</v>
          </cell>
          <cell r="D679" t="str">
            <v>TON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O679">
            <v>0</v>
          </cell>
          <cell r="AP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O679">
            <v>0</v>
          </cell>
          <cell r="CP679">
            <v>0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0</v>
          </cell>
          <cell r="CW679">
            <v>0</v>
          </cell>
          <cell r="CX679">
            <v>0</v>
          </cell>
          <cell r="CY679">
            <v>0</v>
          </cell>
          <cell r="CZ679">
            <v>0</v>
          </cell>
          <cell r="DA679">
            <v>0</v>
          </cell>
          <cell r="DB679">
            <v>0</v>
          </cell>
          <cell r="DC679">
            <v>0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  <cell r="DX679">
            <v>0</v>
          </cell>
          <cell r="DY679" t="str">
            <v/>
          </cell>
          <cell r="DZ679" t="str">
            <v>pasiv</v>
          </cell>
          <cell r="EA679" t="e">
            <v>#DIV/0!</v>
          </cell>
        </row>
        <row r="680">
          <cell r="B680">
            <v>215621</v>
          </cell>
          <cell r="C680" t="str">
            <v>TOMASO KETCUP HOT_400QR*12_PLS</v>
          </cell>
          <cell r="D680" t="str">
            <v>TON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O680">
            <v>0</v>
          </cell>
          <cell r="AP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  <cell r="DX680">
            <v>0</v>
          </cell>
          <cell r="DY680" t="str">
            <v/>
          </cell>
          <cell r="DZ680" t="str">
            <v>pasiv</v>
          </cell>
          <cell r="EA680" t="e">
            <v>#DIV/0!</v>
          </cell>
        </row>
        <row r="681">
          <cell r="B681">
            <v>215699</v>
          </cell>
          <cell r="C681" t="str">
            <v xml:space="preserve">TOMASO KETCUP CLS_400QR*12_PLS </v>
          </cell>
          <cell r="D681" t="str">
            <v>TON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O681">
            <v>0</v>
          </cell>
          <cell r="AP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O681">
            <v>0</v>
          </cell>
          <cell r="CP681">
            <v>0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0</v>
          </cell>
          <cell r="CZ681">
            <v>0</v>
          </cell>
          <cell r="DA681">
            <v>0</v>
          </cell>
          <cell r="DB681">
            <v>0</v>
          </cell>
          <cell r="DC681">
            <v>0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  <cell r="DX681">
            <v>0</v>
          </cell>
          <cell r="DY681" t="str">
            <v/>
          </cell>
          <cell r="DZ681" t="str">
            <v>pasiv</v>
          </cell>
          <cell r="EA681" t="e">
            <v>#DIV/0!</v>
          </cell>
        </row>
        <row r="682">
          <cell r="B682">
            <v>215701</v>
          </cell>
          <cell r="C682" t="str">
            <v xml:space="preserve">TOMASO KETCUP CHILI_400QR*12_PLS </v>
          </cell>
          <cell r="D682" t="str">
            <v>TON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O682">
            <v>0</v>
          </cell>
          <cell r="AP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O682">
            <v>0</v>
          </cell>
          <cell r="CP682">
            <v>0</v>
          </cell>
          <cell r="CQ682">
            <v>0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0</v>
          </cell>
          <cell r="DA682">
            <v>0</v>
          </cell>
          <cell r="DB682">
            <v>0</v>
          </cell>
          <cell r="DC682">
            <v>0</v>
          </cell>
          <cell r="DD682">
            <v>0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  <cell r="DX682">
            <v>0</v>
          </cell>
          <cell r="DY682" t="str">
            <v/>
          </cell>
          <cell r="DZ682" t="str">
            <v>pasiv</v>
          </cell>
          <cell r="EA682" t="e">
            <v>#DIV/0!</v>
          </cell>
        </row>
        <row r="683">
          <cell r="B683">
            <v>215700</v>
          </cell>
          <cell r="C683" t="str">
            <v xml:space="preserve">TOMASO KETCUP BARBECUE_400QR*12_PLS </v>
          </cell>
          <cell r="D683" t="str">
            <v>TON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O683">
            <v>0</v>
          </cell>
          <cell r="AP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  <cell r="DX683">
            <v>0</v>
          </cell>
          <cell r="DY683" t="str">
            <v/>
          </cell>
          <cell r="DZ683" t="str">
            <v>pasiv</v>
          </cell>
          <cell r="EA683" t="e">
            <v>#DIV/0!</v>
          </cell>
        </row>
        <row r="684">
          <cell r="B684">
            <v>215748</v>
          </cell>
          <cell r="C684" t="str">
            <v xml:space="preserve">TOMASO KETCUP HOT_680QR*12_PLS </v>
          </cell>
          <cell r="D684" t="str">
            <v>TON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O684">
            <v>0</v>
          </cell>
          <cell r="AP684">
            <v>0</v>
          </cell>
          <cell r="AS684">
            <v>0</v>
          </cell>
          <cell r="AT684">
            <v>0</v>
          </cell>
          <cell r="AU684">
            <v>4.8280000000000003E-2</v>
          </cell>
          <cell r="AV684">
            <v>472.47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1.6320000000000001E-2</v>
          </cell>
          <cell r="BD684">
            <v>155.97999999999999</v>
          </cell>
          <cell r="BE684">
            <v>1.6320000000000001E-2</v>
          </cell>
          <cell r="BF684">
            <v>155.97999999999999</v>
          </cell>
          <cell r="BG684">
            <v>0</v>
          </cell>
          <cell r="BH684">
            <v>0</v>
          </cell>
          <cell r="BI684">
            <v>2.0400000000000001E-3</v>
          </cell>
          <cell r="BJ684">
            <v>19.5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2.0400000000000001E-3</v>
          </cell>
          <cell r="BT684">
            <v>19.5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1.3600000000000001E-3</v>
          </cell>
          <cell r="CF684">
            <v>12.6</v>
          </cell>
          <cell r="CG684">
            <v>0</v>
          </cell>
          <cell r="CH684">
            <v>0</v>
          </cell>
          <cell r="CI684">
            <v>1.3600000000000001E-3</v>
          </cell>
          <cell r="CJ684">
            <v>12.6</v>
          </cell>
          <cell r="CK684">
            <v>3.4000000000000002E-3</v>
          </cell>
          <cell r="CL684">
            <v>32.1</v>
          </cell>
          <cell r="CO684">
            <v>0</v>
          </cell>
          <cell r="CP684">
            <v>0</v>
          </cell>
          <cell r="CQ684">
            <v>0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1.6320000000000001E-2</v>
          </cell>
          <cell r="CZ684">
            <v>162.12</v>
          </cell>
          <cell r="DA684">
            <v>8.1600000000000006E-3</v>
          </cell>
          <cell r="DB684">
            <v>84.48</v>
          </cell>
          <cell r="DC684">
            <v>4.0800000000000003E-3</v>
          </cell>
          <cell r="DD684">
            <v>37.79</v>
          </cell>
          <cell r="DE684">
            <v>2.8560000000000002E-2</v>
          </cell>
          <cell r="DF684">
            <v>284.39000000000004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4.8280000000000003E-2</v>
          </cell>
          <cell r="DX684">
            <v>472.47</v>
          </cell>
          <cell r="DY684" t="str">
            <v/>
          </cell>
          <cell r="DZ684">
            <v>0</v>
          </cell>
          <cell r="EA684">
            <v>9786.0397680198839</v>
          </cell>
        </row>
        <row r="685">
          <cell r="B685">
            <v>227337</v>
          </cell>
          <cell r="C685" t="str">
            <v>ჩვენი სუფრა_კეტჩუპი_9კგ_კლასიკ.</v>
          </cell>
          <cell r="D685" t="str">
            <v>TON</v>
          </cell>
          <cell r="E685">
            <v>8.9999999999999993E-3</v>
          </cell>
          <cell r="F685">
            <v>34</v>
          </cell>
          <cell r="G685">
            <v>8.9999999999999993E-3</v>
          </cell>
          <cell r="H685">
            <v>34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O685">
            <v>1.7999999999999999E-2</v>
          </cell>
          <cell r="P685">
            <v>68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8.9999999999999993E-3</v>
          </cell>
          <cell r="AH685">
            <v>34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O685">
            <v>8.9999999999999993E-3</v>
          </cell>
          <cell r="AP685">
            <v>34</v>
          </cell>
          <cell r="AS685">
            <v>0</v>
          </cell>
          <cell r="AT685">
            <v>0</v>
          </cell>
          <cell r="AU685">
            <v>9.9000000000000005E-2</v>
          </cell>
          <cell r="AV685">
            <v>374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2.7E-2</v>
          </cell>
          <cell r="BL685">
            <v>102</v>
          </cell>
          <cell r="BM685">
            <v>0</v>
          </cell>
          <cell r="BN685">
            <v>0</v>
          </cell>
          <cell r="BO685">
            <v>1.7999999999999999E-2</v>
          </cell>
          <cell r="BP685">
            <v>68</v>
          </cell>
          <cell r="BQ685">
            <v>0</v>
          </cell>
          <cell r="BR685">
            <v>0</v>
          </cell>
          <cell r="BS685">
            <v>4.4999999999999998E-2</v>
          </cell>
          <cell r="BT685">
            <v>170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1.7999999999999999E-2</v>
          </cell>
          <cell r="CH685">
            <v>68</v>
          </cell>
          <cell r="CI685">
            <v>1.7999999999999999E-2</v>
          </cell>
          <cell r="CJ685">
            <v>68</v>
          </cell>
          <cell r="CK685">
            <v>6.3E-2</v>
          </cell>
          <cell r="CL685">
            <v>238</v>
          </cell>
          <cell r="CO685">
            <v>0</v>
          </cell>
          <cell r="CP685">
            <v>0</v>
          </cell>
          <cell r="CQ685">
            <v>0</v>
          </cell>
          <cell r="CR685">
            <v>0</v>
          </cell>
          <cell r="CS685">
            <v>0</v>
          </cell>
          <cell r="CT685">
            <v>0</v>
          </cell>
          <cell r="CU685">
            <v>8.9999999999999993E-3</v>
          </cell>
          <cell r="CV685">
            <v>34</v>
          </cell>
          <cell r="CW685">
            <v>0</v>
          </cell>
          <cell r="CX685">
            <v>0</v>
          </cell>
          <cell r="CY685">
            <v>0</v>
          </cell>
          <cell r="CZ685">
            <v>0</v>
          </cell>
          <cell r="DA685">
            <v>0</v>
          </cell>
          <cell r="DB685">
            <v>0</v>
          </cell>
          <cell r="DC685">
            <v>0</v>
          </cell>
          <cell r="DD685">
            <v>0</v>
          </cell>
          <cell r="DE685">
            <v>0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8.9999999999999993E-3</v>
          </cell>
          <cell r="DP685">
            <v>34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8.9999999999999993E-3</v>
          </cell>
          <cell r="DV685">
            <v>34</v>
          </cell>
          <cell r="DW685">
            <v>9.8999999999999991E-2</v>
          </cell>
          <cell r="DX685">
            <v>374</v>
          </cell>
          <cell r="DY685" t="str">
            <v/>
          </cell>
          <cell r="DZ685">
            <v>0</v>
          </cell>
          <cell r="EA685">
            <v>3777.7777777777783</v>
          </cell>
        </row>
        <row r="686">
          <cell r="B686">
            <v>215697</v>
          </cell>
          <cell r="C686" t="str">
            <v xml:space="preserve">TOMASO KETCUP CHILI_680QR*12_PLS </v>
          </cell>
          <cell r="D686" t="str">
            <v>TON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6.1199999999999996E-3</v>
          </cell>
          <cell r="AL686">
            <v>73.95</v>
          </cell>
          <cell r="AO686">
            <v>6.1199999999999996E-3</v>
          </cell>
          <cell r="AP686">
            <v>73.95</v>
          </cell>
          <cell r="AS686">
            <v>0</v>
          </cell>
          <cell r="AT686">
            <v>0</v>
          </cell>
          <cell r="AU686">
            <v>5.3039999999999997E-2</v>
          </cell>
          <cell r="AV686">
            <v>618.08000000000004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8.1600000000000006E-3</v>
          </cell>
          <cell r="BD686">
            <v>92.54</v>
          </cell>
          <cell r="BE686">
            <v>8.1600000000000006E-3</v>
          </cell>
          <cell r="BF686">
            <v>92.54</v>
          </cell>
          <cell r="BG686">
            <v>0</v>
          </cell>
          <cell r="BH686">
            <v>0</v>
          </cell>
          <cell r="BI686">
            <v>2.0400000000000001E-3</v>
          </cell>
          <cell r="BJ686">
            <v>23.13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2.0400000000000001E-3</v>
          </cell>
          <cell r="BT686">
            <v>23.13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2.0400000000000001E-3</v>
          </cell>
          <cell r="CL686">
            <v>23.13</v>
          </cell>
          <cell r="CO686">
            <v>0</v>
          </cell>
          <cell r="CP686">
            <v>0</v>
          </cell>
          <cell r="CQ686">
            <v>0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3.2640000000000002E-2</v>
          </cell>
          <cell r="CZ686">
            <v>378.36</v>
          </cell>
          <cell r="DA686">
            <v>4.0800000000000003E-3</v>
          </cell>
          <cell r="DB686">
            <v>50.1</v>
          </cell>
          <cell r="DC686">
            <v>0</v>
          </cell>
          <cell r="DD686">
            <v>0</v>
          </cell>
          <cell r="DE686">
            <v>3.6720000000000003E-2</v>
          </cell>
          <cell r="DF686">
            <v>428.46000000000004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5.3040000000000004E-2</v>
          </cell>
          <cell r="DX686">
            <v>618.08000000000004</v>
          </cell>
          <cell r="DY686" t="str">
            <v/>
          </cell>
          <cell r="DZ686">
            <v>0</v>
          </cell>
          <cell r="EA686">
            <v>11653.092006033183</v>
          </cell>
        </row>
        <row r="687">
          <cell r="B687">
            <v>215749</v>
          </cell>
          <cell r="C687" t="str">
            <v xml:space="preserve">TOMASO KETCUP BARBECUE_680QR*12_PLS </v>
          </cell>
          <cell r="D687" t="str">
            <v>TON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O687">
            <v>0</v>
          </cell>
          <cell r="AP687">
            <v>0</v>
          </cell>
          <cell r="AS687">
            <v>0</v>
          </cell>
          <cell r="AT687">
            <v>0</v>
          </cell>
          <cell r="AU687">
            <v>4.6920000000000003E-2</v>
          </cell>
          <cell r="AV687">
            <v>393.28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1.6320000000000001E-2</v>
          </cell>
          <cell r="BD687">
            <v>136.18</v>
          </cell>
          <cell r="BE687">
            <v>1.6320000000000001E-2</v>
          </cell>
          <cell r="BF687">
            <v>136.18</v>
          </cell>
          <cell r="BG687">
            <v>0</v>
          </cell>
          <cell r="BH687">
            <v>0</v>
          </cell>
          <cell r="BI687">
            <v>2.0400000000000001E-3</v>
          </cell>
          <cell r="BJ687">
            <v>17.02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2.0400000000000001E-3</v>
          </cell>
          <cell r="BT687">
            <v>17.02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2.0400000000000001E-3</v>
          </cell>
          <cell r="CL687">
            <v>17.02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4.0800000000000003E-3</v>
          </cell>
          <cell r="CV687">
            <v>33.700000000000003</v>
          </cell>
          <cell r="CW687">
            <v>0</v>
          </cell>
          <cell r="CX687">
            <v>0</v>
          </cell>
          <cell r="CY687">
            <v>1.6320000000000001E-2</v>
          </cell>
          <cell r="CZ687">
            <v>140.4</v>
          </cell>
          <cell r="DA687">
            <v>0</v>
          </cell>
          <cell r="DB687">
            <v>0</v>
          </cell>
          <cell r="DC687">
            <v>8.1600000000000006E-3</v>
          </cell>
          <cell r="DD687">
            <v>65.98</v>
          </cell>
          <cell r="DE687">
            <v>2.4480000000000002E-2</v>
          </cell>
          <cell r="DF687">
            <v>206.38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0</v>
          </cell>
          <cell r="DN687">
            <v>0</v>
          </cell>
          <cell r="DO687">
            <v>0</v>
          </cell>
          <cell r="DP687">
            <v>0</v>
          </cell>
          <cell r="DQ687">
            <v>4.0800000000000003E-3</v>
          </cell>
          <cell r="DR687">
            <v>33.700000000000003</v>
          </cell>
          <cell r="DS687">
            <v>0</v>
          </cell>
          <cell r="DT687">
            <v>0</v>
          </cell>
          <cell r="DU687">
            <v>4.0800000000000003E-3</v>
          </cell>
          <cell r="DV687">
            <v>33.700000000000003</v>
          </cell>
          <cell r="DW687">
            <v>4.6920000000000003E-2</v>
          </cell>
          <cell r="DX687">
            <v>393.28</v>
          </cell>
          <cell r="DY687" t="str">
            <v/>
          </cell>
          <cell r="DZ687">
            <v>0</v>
          </cell>
          <cell r="EA687">
            <v>8381.9266837169635</v>
          </cell>
        </row>
        <row r="688">
          <cell r="B688">
            <v>235404</v>
          </cell>
          <cell r="C688" t="str">
            <v>მდოგვი ცარსკი სტოლნიკ_110გ*20</v>
          </cell>
          <cell r="D688" t="str">
            <v>TON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O688">
            <v>0</v>
          </cell>
          <cell r="AP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O688">
            <v>0</v>
          </cell>
          <cell r="CP688">
            <v>0</v>
          </cell>
          <cell r="CQ688">
            <v>0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0</v>
          </cell>
          <cell r="DA688">
            <v>0</v>
          </cell>
          <cell r="DB688">
            <v>0</v>
          </cell>
          <cell r="DC688">
            <v>0</v>
          </cell>
          <cell r="DD688">
            <v>0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0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  <cell r="DX688">
            <v>0</v>
          </cell>
          <cell r="DY688" t="str">
            <v/>
          </cell>
          <cell r="DZ688" t="str">
            <v>pasiv</v>
          </cell>
          <cell r="EA688" t="e">
            <v>#DIV/0!</v>
          </cell>
        </row>
        <row r="689">
          <cell r="A689">
            <v>1</v>
          </cell>
          <cell r="B689">
            <v>323832</v>
          </cell>
          <cell r="C689" t="str">
            <v>ჩილის სოუსი_ცარსკი სტოლნიკ_200გ*30</v>
          </cell>
          <cell r="D689" t="str">
            <v>TON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O689">
            <v>0</v>
          </cell>
          <cell r="AP689">
            <v>0</v>
          </cell>
          <cell r="AS689">
            <v>0</v>
          </cell>
          <cell r="AT689">
            <v>0</v>
          </cell>
          <cell r="AU689">
            <v>6.0000000000000001E-3</v>
          </cell>
          <cell r="AV689">
            <v>58.2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6.0000000000000001E-3</v>
          </cell>
          <cell r="BD689">
            <v>58.2</v>
          </cell>
          <cell r="BE689">
            <v>6.0000000000000001E-3</v>
          </cell>
          <cell r="BF689">
            <v>58.2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O689">
            <v>0</v>
          </cell>
          <cell r="CP689">
            <v>0</v>
          </cell>
          <cell r="CQ689">
            <v>0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0</v>
          </cell>
          <cell r="DA689">
            <v>0</v>
          </cell>
          <cell r="DB689">
            <v>0</v>
          </cell>
          <cell r="DC689">
            <v>0</v>
          </cell>
          <cell r="DD689">
            <v>0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6.0000000000000001E-3</v>
          </cell>
          <cell r="DX689">
            <v>58.2</v>
          </cell>
          <cell r="DY689" t="str">
            <v>Hedef</v>
          </cell>
          <cell r="DZ689">
            <v>0</v>
          </cell>
          <cell r="EA689">
            <v>9700</v>
          </cell>
        </row>
        <row r="690">
          <cell r="B690">
            <v>224644</v>
          </cell>
          <cell r="C690" t="str">
            <v>მდოგვი ცარსკი სტოლნიკ_100გრ*12_შუშა</v>
          </cell>
          <cell r="D690" t="str">
            <v>TON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O690">
            <v>0</v>
          </cell>
          <cell r="AP690">
            <v>0</v>
          </cell>
          <cell r="AS690">
            <v>0</v>
          </cell>
          <cell r="AT690">
            <v>0</v>
          </cell>
          <cell r="AU690">
            <v>2.47E-2</v>
          </cell>
          <cell r="AV690">
            <v>484.58</v>
          </cell>
          <cell r="AW690">
            <v>0</v>
          </cell>
          <cell r="AX690">
            <v>0</v>
          </cell>
          <cell r="AY690">
            <v>1.1999999999999999E-3</v>
          </cell>
          <cell r="AZ690">
            <v>24</v>
          </cell>
          <cell r="BA690">
            <v>0</v>
          </cell>
          <cell r="BB690">
            <v>0</v>
          </cell>
          <cell r="BC690">
            <v>2.3999999999999998E-3</v>
          </cell>
          <cell r="BD690">
            <v>44.23</v>
          </cell>
          <cell r="BE690">
            <v>3.5999999999999999E-3</v>
          </cell>
          <cell r="BF690">
            <v>68.22999999999999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2.9999999999999997E-4</v>
          </cell>
          <cell r="BN690">
            <v>6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2.9999999999999997E-4</v>
          </cell>
          <cell r="BT690">
            <v>6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6.0000000000000001E-3</v>
          </cell>
          <cell r="CF690">
            <v>120</v>
          </cell>
          <cell r="CG690">
            <v>0</v>
          </cell>
          <cell r="CH690">
            <v>0</v>
          </cell>
          <cell r="CI690">
            <v>6.0000000000000001E-3</v>
          </cell>
          <cell r="CJ690">
            <v>120</v>
          </cell>
          <cell r="CK690">
            <v>6.3E-3</v>
          </cell>
          <cell r="CL690">
            <v>126</v>
          </cell>
          <cell r="CO690">
            <v>0</v>
          </cell>
          <cell r="CP690">
            <v>0</v>
          </cell>
          <cell r="CQ690">
            <v>0</v>
          </cell>
          <cell r="CR690">
            <v>0</v>
          </cell>
          <cell r="CS690">
            <v>0</v>
          </cell>
          <cell r="CT690">
            <v>0</v>
          </cell>
          <cell r="CU690">
            <v>0</v>
          </cell>
          <cell r="CV690">
            <v>0</v>
          </cell>
          <cell r="CW690">
            <v>0</v>
          </cell>
          <cell r="CX690">
            <v>0</v>
          </cell>
          <cell r="CY690">
            <v>1.4E-2</v>
          </cell>
          <cell r="CZ690">
            <v>274</v>
          </cell>
          <cell r="DA690">
            <v>0</v>
          </cell>
          <cell r="DB690">
            <v>0</v>
          </cell>
          <cell r="DC690">
            <v>0</v>
          </cell>
          <cell r="DD690">
            <v>0</v>
          </cell>
          <cell r="DE690">
            <v>1.4E-2</v>
          </cell>
          <cell r="DF690">
            <v>274</v>
          </cell>
          <cell r="DG690">
            <v>5.0000000000000001E-4</v>
          </cell>
          <cell r="DH690">
            <v>10.35</v>
          </cell>
          <cell r="DI690">
            <v>2.9999999999999997E-4</v>
          </cell>
          <cell r="DJ690">
            <v>6</v>
          </cell>
          <cell r="DK690">
            <v>0</v>
          </cell>
          <cell r="DL690">
            <v>0</v>
          </cell>
          <cell r="DM690">
            <v>8.0000000000000004E-4</v>
          </cell>
          <cell r="DN690">
            <v>16.350000000000001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2.47E-2</v>
          </cell>
          <cell r="DX690">
            <v>484.58000000000004</v>
          </cell>
          <cell r="DY690" t="str">
            <v/>
          </cell>
          <cell r="DZ690">
            <v>0</v>
          </cell>
          <cell r="EA690">
            <v>19618.623481781378</v>
          </cell>
        </row>
        <row r="691">
          <cell r="B691">
            <v>215698</v>
          </cell>
          <cell r="C691" t="str">
            <v>ტომასო_კეტჩუპი_680გ*12_კლასიკი</v>
          </cell>
          <cell r="D691" t="str">
            <v>TON</v>
          </cell>
          <cell r="E691">
            <v>0</v>
          </cell>
          <cell r="F691">
            <v>0</v>
          </cell>
          <cell r="G691">
            <v>1.9720000000000001E-2</v>
          </cell>
          <cell r="H691">
            <v>140.84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O691">
            <v>1.9720000000000001E-2</v>
          </cell>
          <cell r="P691">
            <v>140.84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O691">
            <v>0</v>
          </cell>
          <cell r="AP691">
            <v>0</v>
          </cell>
          <cell r="AS691">
            <v>0</v>
          </cell>
          <cell r="AT691">
            <v>0</v>
          </cell>
          <cell r="AU691">
            <v>7.3440000000000005E-2</v>
          </cell>
          <cell r="AV691">
            <v>527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1.6320000000000001E-2</v>
          </cell>
          <cell r="BD691">
            <v>117.56</v>
          </cell>
          <cell r="BE691">
            <v>1.6320000000000001E-2</v>
          </cell>
          <cell r="BF691">
            <v>117.56</v>
          </cell>
          <cell r="BG691">
            <v>0</v>
          </cell>
          <cell r="BH691">
            <v>0</v>
          </cell>
          <cell r="BI691">
            <v>2.0400000000000001E-3</v>
          </cell>
          <cell r="BJ691">
            <v>14.7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2.0400000000000001E-3</v>
          </cell>
          <cell r="BT691">
            <v>14.7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2.0400000000000001E-3</v>
          </cell>
          <cell r="CL691">
            <v>14.7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8.1600000000000006E-3</v>
          </cell>
          <cell r="CV691">
            <v>58.18</v>
          </cell>
          <cell r="CW691">
            <v>0</v>
          </cell>
          <cell r="CX691">
            <v>0</v>
          </cell>
          <cell r="CY691">
            <v>8.1600000000000006E-3</v>
          </cell>
          <cell r="CZ691">
            <v>60.6</v>
          </cell>
          <cell r="DA691">
            <v>2.7200000000000002E-3</v>
          </cell>
          <cell r="DB691">
            <v>21.2</v>
          </cell>
          <cell r="DC691">
            <v>1.6320000000000001E-2</v>
          </cell>
          <cell r="DD691">
            <v>113.92</v>
          </cell>
          <cell r="DE691">
            <v>2.7200000000000002E-2</v>
          </cell>
          <cell r="DF691">
            <v>195.72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  <cell r="DL691">
            <v>0</v>
          </cell>
          <cell r="DM691">
            <v>0</v>
          </cell>
          <cell r="DN691">
            <v>0</v>
          </cell>
          <cell r="DO691">
            <v>4.0800000000000003E-3</v>
          </cell>
          <cell r="DP691">
            <v>29.09</v>
          </cell>
          <cell r="DQ691">
            <v>4.0800000000000003E-3</v>
          </cell>
          <cell r="DR691">
            <v>29.09</v>
          </cell>
          <cell r="DS691">
            <v>0</v>
          </cell>
          <cell r="DT691">
            <v>0</v>
          </cell>
          <cell r="DU691">
            <v>8.1600000000000006E-3</v>
          </cell>
          <cell r="DV691">
            <v>58.18</v>
          </cell>
          <cell r="DW691">
            <v>7.3440000000000005E-2</v>
          </cell>
          <cell r="DX691">
            <v>527</v>
          </cell>
          <cell r="DY691" t="str">
            <v/>
          </cell>
          <cell r="DZ691">
            <v>0</v>
          </cell>
          <cell r="EA691">
            <v>7175.9259259259252</v>
          </cell>
        </row>
        <row r="692">
          <cell r="A692">
            <v>59</v>
          </cell>
          <cell r="C692" t="str">
            <v>ketchap</v>
          </cell>
          <cell r="E692">
            <v>8.9999999999999993E-3</v>
          </cell>
          <cell r="F692">
            <v>34</v>
          </cell>
          <cell r="G692">
            <v>2.8720000000000002E-2</v>
          </cell>
          <cell r="H692">
            <v>174.84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O692">
            <v>3.7720000000000004E-2</v>
          </cell>
          <cell r="P692">
            <v>208.84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1.1099999999999999E-2</v>
          </cell>
          <cell r="AH692">
            <v>51.64</v>
          </cell>
          <cell r="AI692">
            <v>0</v>
          </cell>
          <cell r="AJ692">
            <v>0</v>
          </cell>
          <cell r="AK692">
            <v>6.1199999999999996E-3</v>
          </cell>
          <cell r="AL692">
            <v>73.95</v>
          </cell>
          <cell r="AO692">
            <v>1.7219999999999999E-2</v>
          </cell>
          <cell r="AP692">
            <v>125.59</v>
          </cell>
          <cell r="AS692">
            <v>0</v>
          </cell>
          <cell r="AT692">
            <v>0</v>
          </cell>
          <cell r="AU692">
            <v>0.48998000000000003</v>
          </cell>
          <cell r="AV692">
            <v>4046.4299999999994</v>
          </cell>
          <cell r="AW692">
            <v>0</v>
          </cell>
          <cell r="AX692">
            <v>0</v>
          </cell>
          <cell r="AY692">
            <v>8.2000000000000007E-3</v>
          </cell>
          <cell r="AZ692">
            <v>74.88</v>
          </cell>
          <cell r="BA692">
            <v>0</v>
          </cell>
          <cell r="BB692">
            <v>0</v>
          </cell>
          <cell r="BC692">
            <v>7.2520000000000001E-2</v>
          </cell>
          <cell r="BD692">
            <v>653.19000000000005</v>
          </cell>
          <cell r="BE692">
            <v>8.072E-2</v>
          </cell>
          <cell r="BF692">
            <v>728.06999999999994</v>
          </cell>
          <cell r="BG692">
            <v>0</v>
          </cell>
          <cell r="BH692">
            <v>0</v>
          </cell>
          <cell r="BI692">
            <v>1.1310000000000001E-2</v>
          </cell>
          <cell r="BJ692">
            <v>100.98</v>
          </cell>
          <cell r="BK692">
            <v>2.7E-2</v>
          </cell>
          <cell r="BL692">
            <v>102</v>
          </cell>
          <cell r="BM692">
            <v>1.3499999999999999E-3</v>
          </cell>
          <cell r="BN692">
            <v>13.5</v>
          </cell>
          <cell r="BO692">
            <v>1.7999999999999999E-2</v>
          </cell>
          <cell r="BP692">
            <v>68</v>
          </cell>
          <cell r="BQ692">
            <v>0</v>
          </cell>
          <cell r="BR692">
            <v>0</v>
          </cell>
          <cell r="BS692">
            <v>5.7660000000000003E-2</v>
          </cell>
          <cell r="BT692">
            <v>284.47999999999996</v>
          </cell>
          <cell r="BU692">
            <v>0</v>
          </cell>
          <cell r="BV692">
            <v>0</v>
          </cell>
          <cell r="BW692">
            <v>1.0499999999999999E-2</v>
          </cell>
          <cell r="BX692">
            <v>86.64</v>
          </cell>
          <cell r="BY692">
            <v>0</v>
          </cell>
          <cell r="BZ692">
            <v>0</v>
          </cell>
          <cell r="CA692">
            <v>3.8500000000000001E-3</v>
          </cell>
          <cell r="CB692">
            <v>34.57</v>
          </cell>
          <cell r="CC692">
            <v>0</v>
          </cell>
          <cell r="CD692">
            <v>0</v>
          </cell>
          <cell r="CE692">
            <v>1.261E-2</v>
          </cell>
          <cell r="CF692">
            <v>169.26</v>
          </cell>
          <cell r="CG692">
            <v>1.7999999999999999E-2</v>
          </cell>
          <cell r="CH692">
            <v>68</v>
          </cell>
          <cell r="CI692">
            <v>4.4959999999999993E-2</v>
          </cell>
          <cell r="CJ692">
            <v>358.47</v>
          </cell>
          <cell r="CK692">
            <v>0.10262</v>
          </cell>
          <cell r="CL692">
            <v>642.95000000000005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4.2939999999999999E-2</v>
          </cell>
          <cell r="CV692">
            <v>295.41000000000003</v>
          </cell>
          <cell r="CW692">
            <v>0</v>
          </cell>
          <cell r="CX692">
            <v>0</v>
          </cell>
          <cell r="CY692">
            <v>0.12244000000000001</v>
          </cell>
          <cell r="CZ692">
            <v>1324.48</v>
          </cell>
          <cell r="DA692">
            <v>2.546E-2</v>
          </cell>
          <cell r="DB692">
            <v>244.04</v>
          </cell>
          <cell r="DC692">
            <v>5.7610000000000001E-2</v>
          </cell>
          <cell r="DD692">
            <v>442.3</v>
          </cell>
          <cell r="DE692">
            <v>0.20551000000000003</v>
          </cell>
          <cell r="DF692">
            <v>2010.8200000000004</v>
          </cell>
          <cell r="DG692">
            <v>5.0000000000000001E-4</v>
          </cell>
          <cell r="DH692">
            <v>10.35</v>
          </cell>
          <cell r="DI692">
            <v>2.9999999999999997E-4</v>
          </cell>
          <cell r="DJ692">
            <v>6</v>
          </cell>
          <cell r="DK692">
            <v>2.4499999999999999E-3</v>
          </cell>
          <cell r="DL692">
            <v>18.399999999999999</v>
          </cell>
          <cell r="DM692">
            <v>3.2499999999999999E-3</v>
          </cell>
          <cell r="DN692">
            <v>34.75</v>
          </cell>
          <cell r="DO692">
            <v>2.6029999999999998E-2</v>
          </cell>
          <cell r="DP692">
            <v>161.28</v>
          </cell>
          <cell r="DQ692">
            <v>1.6910000000000001E-2</v>
          </cell>
          <cell r="DR692">
            <v>134.13</v>
          </cell>
          <cell r="DS692">
            <v>0</v>
          </cell>
          <cell r="DT692">
            <v>0</v>
          </cell>
          <cell r="DU692">
            <v>4.2939999999999999E-2</v>
          </cell>
          <cell r="DV692">
            <v>295.41000000000003</v>
          </cell>
          <cell r="DW692">
            <v>0.48998000000000003</v>
          </cell>
          <cell r="DX692">
            <v>4046.4300000000003</v>
          </cell>
          <cell r="DZ692">
            <v>0</v>
          </cell>
          <cell r="EA692">
            <v>8258.357483978938</v>
          </cell>
        </row>
        <row r="693">
          <cell r="A693">
            <v>57</v>
          </cell>
          <cell r="C693" t="str">
            <v>KETCAP Toplam</v>
          </cell>
          <cell r="D693" t="str">
            <v>TON</v>
          </cell>
          <cell r="E693">
            <v>8.9999999999999993E-3</v>
          </cell>
          <cell r="F693">
            <v>34</v>
          </cell>
          <cell r="G693">
            <v>2.8720000000000002E-2</v>
          </cell>
          <cell r="H693">
            <v>174.84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3.7720000000000004E-2</v>
          </cell>
          <cell r="P693">
            <v>208.84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1.1099999999999999E-2</v>
          </cell>
          <cell r="AH693">
            <v>51.64</v>
          </cell>
          <cell r="AI693">
            <v>0</v>
          </cell>
          <cell r="AJ693">
            <v>0</v>
          </cell>
          <cell r="AK693">
            <v>6.1199999999999996E-3</v>
          </cell>
          <cell r="AL693">
            <v>73.95</v>
          </cell>
          <cell r="AM693">
            <v>0</v>
          </cell>
          <cell r="AN693">
            <v>0</v>
          </cell>
          <cell r="AO693">
            <v>1.7219999999999999E-2</v>
          </cell>
          <cell r="AP693">
            <v>125.59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0.48998000000000003</v>
          </cell>
          <cell r="AV693">
            <v>4046.4299999999994</v>
          </cell>
          <cell r="AW693">
            <v>0</v>
          </cell>
          <cell r="AX693">
            <v>0</v>
          </cell>
          <cell r="AY693">
            <v>8.2000000000000007E-3</v>
          </cell>
          <cell r="AZ693">
            <v>74.88</v>
          </cell>
          <cell r="BA693">
            <v>0</v>
          </cell>
          <cell r="BB693">
            <v>0</v>
          </cell>
          <cell r="BC693">
            <v>7.2520000000000001E-2</v>
          </cell>
          <cell r="BD693">
            <v>653.19000000000005</v>
          </cell>
          <cell r="BE693">
            <v>8.072E-2</v>
          </cell>
          <cell r="BF693">
            <v>728.06999999999994</v>
          </cell>
          <cell r="BG693">
            <v>0</v>
          </cell>
          <cell r="BH693">
            <v>0</v>
          </cell>
          <cell r="BI693">
            <v>1.1310000000000001E-2</v>
          </cell>
          <cell r="BJ693">
            <v>100.98</v>
          </cell>
          <cell r="BK693">
            <v>2.7E-2</v>
          </cell>
          <cell r="BL693">
            <v>102</v>
          </cell>
          <cell r="BM693">
            <v>1.3499999999999999E-3</v>
          </cell>
          <cell r="BN693">
            <v>13.5</v>
          </cell>
          <cell r="BO693">
            <v>1.7999999999999999E-2</v>
          </cell>
          <cell r="BP693">
            <v>68</v>
          </cell>
          <cell r="BQ693">
            <v>0</v>
          </cell>
          <cell r="BR693">
            <v>0</v>
          </cell>
          <cell r="BS693">
            <v>5.7660000000000003E-2</v>
          </cell>
          <cell r="BT693">
            <v>284.47999999999996</v>
          </cell>
          <cell r="BU693">
            <v>0</v>
          </cell>
          <cell r="BV693">
            <v>0</v>
          </cell>
          <cell r="BW693">
            <v>1.0499999999999999E-2</v>
          </cell>
          <cell r="BX693">
            <v>86.64</v>
          </cell>
          <cell r="BY693">
            <v>0</v>
          </cell>
          <cell r="BZ693">
            <v>0</v>
          </cell>
          <cell r="CA693">
            <v>3.8500000000000001E-3</v>
          </cell>
          <cell r="CB693">
            <v>34.57</v>
          </cell>
          <cell r="CC693">
            <v>0</v>
          </cell>
          <cell r="CD693">
            <v>0</v>
          </cell>
          <cell r="CE693">
            <v>1.261E-2</v>
          </cell>
          <cell r="CF693">
            <v>169.26</v>
          </cell>
          <cell r="CG693">
            <v>1.7999999999999999E-2</v>
          </cell>
          <cell r="CH693">
            <v>68</v>
          </cell>
          <cell r="CI693">
            <v>4.4959999999999993E-2</v>
          </cell>
          <cell r="CJ693">
            <v>358.47</v>
          </cell>
          <cell r="CK693">
            <v>0.10262</v>
          </cell>
          <cell r="CL693">
            <v>642.95000000000005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4.2939999999999999E-2</v>
          </cell>
          <cell r="CV693">
            <v>295.41000000000003</v>
          </cell>
          <cell r="CW693">
            <v>0</v>
          </cell>
          <cell r="CX693">
            <v>0</v>
          </cell>
          <cell r="CY693">
            <v>0.12244000000000001</v>
          </cell>
          <cell r="CZ693">
            <v>1324.48</v>
          </cell>
          <cell r="DA693">
            <v>2.546E-2</v>
          </cell>
          <cell r="DB693">
            <v>244.04</v>
          </cell>
          <cell r="DC693">
            <v>5.7610000000000001E-2</v>
          </cell>
          <cell r="DD693">
            <v>442.3</v>
          </cell>
          <cell r="DE693">
            <v>0.20551000000000003</v>
          </cell>
          <cell r="DF693">
            <v>2010.8200000000004</v>
          </cell>
          <cell r="DG693">
            <v>5.0000000000000001E-4</v>
          </cell>
          <cell r="DH693">
            <v>10.35</v>
          </cell>
          <cell r="DI693">
            <v>2.9999999999999997E-4</v>
          </cell>
          <cell r="DJ693">
            <v>6</v>
          </cell>
          <cell r="DK693">
            <v>2.4499999999999999E-3</v>
          </cell>
          <cell r="DL693">
            <v>18.399999999999999</v>
          </cell>
          <cell r="DM693">
            <v>3.2499999999999999E-3</v>
          </cell>
          <cell r="DN693">
            <v>34.75</v>
          </cell>
          <cell r="DO693">
            <v>2.6029999999999998E-2</v>
          </cell>
          <cell r="DP693">
            <v>161.28</v>
          </cell>
          <cell r="DQ693">
            <v>1.6910000000000001E-2</v>
          </cell>
          <cell r="DR693">
            <v>134.13</v>
          </cell>
          <cell r="DS693">
            <v>0</v>
          </cell>
          <cell r="DT693">
            <v>0</v>
          </cell>
          <cell r="DU693">
            <v>4.2939999999999999E-2</v>
          </cell>
          <cell r="DV693">
            <v>295.41000000000003</v>
          </cell>
          <cell r="DW693">
            <v>0.48998000000000003</v>
          </cell>
          <cell r="DX693">
            <v>4046.4300000000003</v>
          </cell>
          <cell r="DY693" t="str">
            <v>Hedef</v>
          </cell>
          <cell r="DZ693">
            <v>0</v>
          </cell>
          <cell r="EA693">
            <v>8258.357483978938</v>
          </cell>
        </row>
        <row r="694">
          <cell r="B694">
            <v>21907</v>
          </cell>
          <cell r="C694" t="str">
            <v>FINAL TUSONKA 325*36</v>
          </cell>
          <cell r="D694" t="str">
            <v>TON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1.2999999999999999E-3</v>
          </cell>
          <cell r="AJ694">
            <v>25.16</v>
          </cell>
          <cell r="AK694">
            <v>1.9499999999999999E-3</v>
          </cell>
          <cell r="AL694">
            <v>37.74</v>
          </cell>
          <cell r="AO694">
            <v>3.2499999999999999E-3</v>
          </cell>
          <cell r="AP694">
            <v>62.900000000000006</v>
          </cell>
          <cell r="AS694">
            <v>0</v>
          </cell>
          <cell r="AT694">
            <v>0</v>
          </cell>
          <cell r="AU694">
            <v>3.8675000000000001E-2</v>
          </cell>
          <cell r="AV694">
            <v>741.31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3.8999999999999998E-3</v>
          </cell>
          <cell r="BH694">
            <v>75.48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3.8999999999999998E-3</v>
          </cell>
          <cell r="BT694">
            <v>75.48</v>
          </cell>
          <cell r="BU694">
            <v>1.9499999999999999E-3</v>
          </cell>
          <cell r="BV694">
            <v>34.86</v>
          </cell>
          <cell r="BW694">
            <v>2.9250000000000001E-3</v>
          </cell>
          <cell r="BX694">
            <v>52.29</v>
          </cell>
          <cell r="BY694">
            <v>6.4999999999999997E-4</v>
          </cell>
          <cell r="BZ694">
            <v>12.58</v>
          </cell>
          <cell r="CA694">
            <v>3.8999999999999998E-3</v>
          </cell>
          <cell r="CB694">
            <v>75.48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9.4249999999999994E-3</v>
          </cell>
          <cell r="CJ694">
            <v>175.21</v>
          </cell>
          <cell r="CK694">
            <v>1.3325E-2</v>
          </cell>
          <cell r="CL694">
            <v>250.69</v>
          </cell>
          <cell r="CO694">
            <v>0</v>
          </cell>
          <cell r="CP694">
            <v>0</v>
          </cell>
          <cell r="CQ694">
            <v>0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0</v>
          </cell>
          <cell r="DA694">
            <v>8.7749999999999998E-3</v>
          </cell>
          <cell r="DB694">
            <v>169.83</v>
          </cell>
          <cell r="DC694">
            <v>1.17E-2</v>
          </cell>
          <cell r="DD694">
            <v>226.44</v>
          </cell>
          <cell r="DE694">
            <v>2.0475E-2</v>
          </cell>
          <cell r="DF694">
            <v>396.27</v>
          </cell>
          <cell r="DG694">
            <v>1.6249999999999999E-3</v>
          </cell>
          <cell r="DH694">
            <v>31.45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1.6249999999999999E-3</v>
          </cell>
          <cell r="DN694">
            <v>31.45</v>
          </cell>
          <cell r="DO694">
            <v>0</v>
          </cell>
          <cell r="DP694">
            <v>0</v>
          </cell>
          <cell r="DQ694">
            <v>0</v>
          </cell>
          <cell r="DR694">
            <v>0</v>
          </cell>
          <cell r="DS694">
            <v>0</v>
          </cell>
          <cell r="DT694">
            <v>0</v>
          </cell>
          <cell r="DU694">
            <v>0</v>
          </cell>
          <cell r="DV694">
            <v>0</v>
          </cell>
          <cell r="DW694">
            <v>3.8675000000000001E-2</v>
          </cell>
          <cell r="DX694">
            <v>741.31</v>
          </cell>
          <cell r="DY694" t="str">
            <v/>
          </cell>
          <cell r="DZ694">
            <v>0</v>
          </cell>
          <cell r="EA694">
            <v>19167.679379444082</v>
          </cell>
        </row>
        <row r="695">
          <cell r="B695">
            <v>221509</v>
          </cell>
          <cell r="C695" t="str">
            <v>საქ.ხ.კონს.სუპსანი(490გ*24)კგ.გას.რგ</v>
          </cell>
          <cell r="D695" t="str">
            <v>TON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5.8799999999999998E-3</v>
          </cell>
          <cell r="T695">
            <v>134.21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5.8799999999999998E-3</v>
          </cell>
          <cell r="Z695">
            <v>134.21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1.9599999999999999E-3</v>
          </cell>
          <cell r="AH695">
            <v>48.92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O695">
            <v>1.9599999999999999E-3</v>
          </cell>
          <cell r="AP695">
            <v>48.92</v>
          </cell>
          <cell r="AS695">
            <v>0</v>
          </cell>
          <cell r="AT695">
            <v>0</v>
          </cell>
          <cell r="AU695">
            <v>3.1359999999999999E-2</v>
          </cell>
          <cell r="AV695">
            <v>757.15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1.9599999999999999E-3</v>
          </cell>
          <cell r="BL695">
            <v>48.92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1.9599999999999999E-3</v>
          </cell>
          <cell r="BT695">
            <v>48.92</v>
          </cell>
          <cell r="BU695">
            <v>0</v>
          </cell>
          <cell r="BV695">
            <v>0</v>
          </cell>
          <cell r="BW695">
            <v>3.9199999999999999E-3</v>
          </cell>
          <cell r="BX695">
            <v>90.4</v>
          </cell>
          <cell r="BY695">
            <v>0</v>
          </cell>
          <cell r="BZ695">
            <v>0</v>
          </cell>
          <cell r="CA695">
            <v>2.9399999999999999E-3</v>
          </cell>
          <cell r="CB695">
            <v>73.38</v>
          </cell>
          <cell r="CC695">
            <v>0</v>
          </cell>
          <cell r="CD695">
            <v>0</v>
          </cell>
          <cell r="CE695">
            <v>1.176E-2</v>
          </cell>
          <cell r="CF695">
            <v>293.52</v>
          </cell>
          <cell r="CG695">
            <v>0</v>
          </cell>
          <cell r="CH695">
            <v>0</v>
          </cell>
          <cell r="CI695">
            <v>1.8620000000000001E-2</v>
          </cell>
          <cell r="CJ695">
            <v>457.3</v>
          </cell>
          <cell r="CK695">
            <v>2.0580000000000001E-2</v>
          </cell>
          <cell r="CL695">
            <v>506.22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2.9399999999999999E-3</v>
          </cell>
          <cell r="CV695">
            <v>67.8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2.9399999999999999E-3</v>
          </cell>
          <cell r="DP695">
            <v>67.8</v>
          </cell>
          <cell r="DQ695">
            <v>0</v>
          </cell>
          <cell r="DR695">
            <v>0</v>
          </cell>
          <cell r="DS695">
            <v>0</v>
          </cell>
          <cell r="DT695">
            <v>0</v>
          </cell>
          <cell r="DU695">
            <v>2.9399999999999999E-3</v>
          </cell>
          <cell r="DV695">
            <v>67.8</v>
          </cell>
          <cell r="DW695">
            <v>3.1359999999999999E-2</v>
          </cell>
          <cell r="DX695">
            <v>757.15</v>
          </cell>
          <cell r="DY695" t="str">
            <v/>
          </cell>
          <cell r="DZ695">
            <v>0</v>
          </cell>
          <cell r="EA695">
            <v>24143.813775510203</v>
          </cell>
        </row>
        <row r="696">
          <cell r="B696">
            <v>0</v>
          </cell>
          <cell r="C696" t="str">
            <v>FINAL TUSHONKA</v>
          </cell>
          <cell r="D696" t="str">
            <v>TON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5.8799999999999998E-3</v>
          </cell>
          <cell r="T696">
            <v>134.21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5.8799999999999998E-3</v>
          </cell>
          <cell r="Z696">
            <v>134.21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1.9599999999999999E-3</v>
          </cell>
          <cell r="AH696">
            <v>48.92</v>
          </cell>
          <cell r="AI696">
            <v>1.2999999999999999E-3</v>
          </cell>
          <cell r="AJ696">
            <v>25.16</v>
          </cell>
          <cell r="AK696">
            <v>1.9499999999999999E-3</v>
          </cell>
          <cell r="AL696">
            <v>37.74</v>
          </cell>
          <cell r="AO696">
            <v>5.2099999999999994E-3</v>
          </cell>
          <cell r="AP696">
            <v>111.82</v>
          </cell>
          <cell r="AS696">
            <v>0</v>
          </cell>
          <cell r="AT696">
            <v>0</v>
          </cell>
          <cell r="AU696">
            <v>7.0035E-2</v>
          </cell>
          <cell r="AV696">
            <v>1498.46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3.8999999999999998E-3</v>
          </cell>
          <cell r="BH696">
            <v>75.48</v>
          </cell>
          <cell r="BI696">
            <v>0</v>
          </cell>
          <cell r="BJ696">
            <v>0</v>
          </cell>
          <cell r="BK696">
            <v>1.9599999999999999E-3</v>
          </cell>
          <cell r="BL696">
            <v>48.92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5.8599999999999998E-3</v>
          </cell>
          <cell r="BT696">
            <v>124.4</v>
          </cell>
          <cell r="BU696">
            <v>1.9499999999999999E-3</v>
          </cell>
          <cell r="BV696">
            <v>34.86</v>
          </cell>
          <cell r="BW696">
            <v>6.8450000000000004E-3</v>
          </cell>
          <cell r="BX696">
            <v>142.69</v>
          </cell>
          <cell r="BY696">
            <v>6.4999999999999997E-4</v>
          </cell>
          <cell r="BZ696">
            <v>12.58</v>
          </cell>
          <cell r="CA696">
            <v>6.8399999999999997E-3</v>
          </cell>
          <cell r="CB696">
            <v>148.86000000000001</v>
          </cell>
          <cell r="CC696">
            <v>0</v>
          </cell>
          <cell r="CD696">
            <v>0</v>
          </cell>
          <cell r="CE696">
            <v>1.176E-2</v>
          </cell>
          <cell r="CF696">
            <v>293.52</v>
          </cell>
          <cell r="CG696">
            <v>0</v>
          </cell>
          <cell r="CH696">
            <v>0</v>
          </cell>
          <cell r="CI696">
            <v>2.8045E-2</v>
          </cell>
          <cell r="CJ696">
            <v>632.51</v>
          </cell>
          <cell r="CK696">
            <v>3.3905000000000005E-2</v>
          </cell>
          <cell r="CL696">
            <v>756.91000000000008</v>
          </cell>
          <cell r="CO696">
            <v>0</v>
          </cell>
          <cell r="CP696">
            <v>0</v>
          </cell>
          <cell r="CQ696">
            <v>0</v>
          </cell>
          <cell r="CR696">
            <v>0</v>
          </cell>
          <cell r="CS696">
            <v>0</v>
          </cell>
          <cell r="CT696">
            <v>0</v>
          </cell>
          <cell r="CU696">
            <v>2.9399999999999999E-3</v>
          </cell>
          <cell r="CV696">
            <v>67.8</v>
          </cell>
          <cell r="CW696">
            <v>0</v>
          </cell>
          <cell r="CX696">
            <v>0</v>
          </cell>
          <cell r="CY696">
            <v>0</v>
          </cell>
          <cell r="CZ696">
            <v>0</v>
          </cell>
          <cell r="DA696">
            <v>8.7749999999999998E-3</v>
          </cell>
          <cell r="DB696">
            <v>169.83</v>
          </cell>
          <cell r="DC696">
            <v>1.17E-2</v>
          </cell>
          <cell r="DD696">
            <v>226.44</v>
          </cell>
          <cell r="DE696">
            <v>2.0475E-2</v>
          </cell>
          <cell r="DF696">
            <v>396.27</v>
          </cell>
          <cell r="DG696">
            <v>1.6249999999999999E-3</v>
          </cell>
          <cell r="DH696">
            <v>31.45</v>
          </cell>
          <cell r="DI696">
            <v>0</v>
          </cell>
          <cell r="DJ696">
            <v>0</v>
          </cell>
          <cell r="DK696">
            <v>0</v>
          </cell>
          <cell r="DL696">
            <v>0</v>
          </cell>
          <cell r="DM696">
            <v>1.6249999999999999E-3</v>
          </cell>
          <cell r="DN696">
            <v>31.45</v>
          </cell>
          <cell r="DO696">
            <v>2.9399999999999999E-3</v>
          </cell>
          <cell r="DP696">
            <v>67.8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2.9399999999999999E-3</v>
          </cell>
          <cell r="DV696">
            <v>67.8</v>
          </cell>
          <cell r="DW696">
            <v>7.0035E-2</v>
          </cell>
          <cell r="DX696">
            <v>1498.46</v>
          </cell>
          <cell r="DY696" t="str">
            <v/>
          </cell>
          <cell r="DZ696">
            <v>0</v>
          </cell>
          <cell r="EA696">
            <v>21395.873491825518</v>
          </cell>
        </row>
        <row r="697">
          <cell r="B697">
            <v>22028</v>
          </cell>
          <cell r="C697" t="str">
            <v>SUPER SUN TUSONKA_325 GR*36_EASY OPEN KAPAKLI</v>
          </cell>
          <cell r="D697" t="str">
            <v>TON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6.4999999999999997E-4</v>
          </cell>
          <cell r="AF697">
            <v>14.85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O697">
            <v>6.4999999999999997E-4</v>
          </cell>
          <cell r="AP697">
            <v>14.85</v>
          </cell>
          <cell r="AS697">
            <v>0</v>
          </cell>
          <cell r="AT697">
            <v>0</v>
          </cell>
          <cell r="AU697">
            <v>2.5024999999999999E-2</v>
          </cell>
          <cell r="AV697">
            <v>613.25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1.17E-2</v>
          </cell>
          <cell r="BJ697">
            <v>298.8</v>
          </cell>
          <cell r="BK697">
            <v>0</v>
          </cell>
          <cell r="BL697">
            <v>0</v>
          </cell>
          <cell r="BM697">
            <v>6.4999999999999997E-4</v>
          </cell>
          <cell r="BN697">
            <v>16.600000000000001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1.235E-2</v>
          </cell>
          <cell r="BT697">
            <v>315.39999999999998</v>
          </cell>
          <cell r="BU697">
            <v>0</v>
          </cell>
          <cell r="BV697">
            <v>0</v>
          </cell>
          <cell r="BW697">
            <v>1.6249999999999999E-3</v>
          </cell>
          <cell r="BX697">
            <v>38.32</v>
          </cell>
          <cell r="BY697">
            <v>3.2499999999999999E-3</v>
          </cell>
          <cell r="BZ697">
            <v>76.63</v>
          </cell>
          <cell r="CA697">
            <v>1.9499999999999999E-3</v>
          </cell>
          <cell r="CB697">
            <v>49.8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6.8250000000000003E-3</v>
          </cell>
          <cell r="CJ697">
            <v>164.75</v>
          </cell>
          <cell r="CK697">
            <v>1.9175000000000001E-2</v>
          </cell>
          <cell r="CL697">
            <v>480.15</v>
          </cell>
          <cell r="CO697">
            <v>0</v>
          </cell>
          <cell r="CP697">
            <v>0</v>
          </cell>
          <cell r="CQ697">
            <v>0</v>
          </cell>
          <cell r="CR697">
            <v>0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-3.2499999999999999E-4</v>
          </cell>
          <cell r="CZ697">
            <v>-8</v>
          </cell>
          <cell r="DA697">
            <v>0</v>
          </cell>
          <cell r="DB697">
            <v>0</v>
          </cell>
          <cell r="DC697">
            <v>5.5250000000000004E-3</v>
          </cell>
          <cell r="DD697">
            <v>126.25</v>
          </cell>
          <cell r="DE697">
            <v>5.2000000000000006E-3</v>
          </cell>
          <cell r="DF697">
            <v>118.25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0</v>
          </cell>
          <cell r="DN697">
            <v>0</v>
          </cell>
          <cell r="DO697">
            <v>0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2.5025000000000002E-2</v>
          </cell>
          <cell r="DX697">
            <v>613.25</v>
          </cell>
          <cell r="DY697" t="str">
            <v/>
          </cell>
          <cell r="DZ697">
            <v>0</v>
          </cell>
          <cell r="EA697">
            <v>24505.494505494502</v>
          </cell>
        </row>
        <row r="698">
          <cell r="B698">
            <v>0</v>
          </cell>
          <cell r="C698" t="str">
            <v>S.SUN TUSHONKA</v>
          </cell>
          <cell r="D698" t="str">
            <v>TON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6.4999999999999997E-4</v>
          </cell>
          <cell r="AF698">
            <v>14.85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O698">
            <v>6.4999999999999997E-4</v>
          </cell>
          <cell r="AP698">
            <v>14.85</v>
          </cell>
          <cell r="AS698">
            <v>0</v>
          </cell>
          <cell r="AT698">
            <v>0</v>
          </cell>
          <cell r="AU698">
            <v>2.5024999999999999E-2</v>
          </cell>
          <cell r="AV698">
            <v>613.25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1.17E-2</v>
          </cell>
          <cell r="BJ698">
            <v>298.8</v>
          </cell>
          <cell r="BK698">
            <v>0</v>
          </cell>
          <cell r="BL698">
            <v>0</v>
          </cell>
          <cell r="BM698">
            <v>6.4999999999999997E-4</v>
          </cell>
          <cell r="BN698">
            <v>16.600000000000001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1.235E-2</v>
          </cell>
          <cell r="BT698">
            <v>315.39999999999998</v>
          </cell>
          <cell r="BU698">
            <v>0</v>
          </cell>
          <cell r="BV698">
            <v>0</v>
          </cell>
          <cell r="BW698">
            <v>1.6249999999999999E-3</v>
          </cell>
          <cell r="BX698">
            <v>38.32</v>
          </cell>
          <cell r="BY698">
            <v>3.2499999999999999E-3</v>
          </cell>
          <cell r="BZ698">
            <v>76.63</v>
          </cell>
          <cell r="CA698">
            <v>1.9499999999999999E-3</v>
          </cell>
          <cell r="CB698">
            <v>49.8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6.8250000000000003E-3</v>
          </cell>
          <cell r="CJ698">
            <v>164.75</v>
          </cell>
          <cell r="CK698">
            <v>1.9175000000000001E-2</v>
          </cell>
          <cell r="CL698">
            <v>480.15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-3.2499999999999999E-4</v>
          </cell>
          <cell r="CZ698">
            <v>-8</v>
          </cell>
          <cell r="DA698">
            <v>0</v>
          </cell>
          <cell r="DB698">
            <v>0</v>
          </cell>
          <cell r="DC698">
            <v>5.5250000000000004E-3</v>
          </cell>
          <cell r="DD698">
            <v>126.25</v>
          </cell>
          <cell r="DE698">
            <v>5.2000000000000006E-3</v>
          </cell>
          <cell r="DF698">
            <v>118.25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0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2.5025000000000002E-2</v>
          </cell>
          <cell r="DX698">
            <v>613.25</v>
          </cell>
          <cell r="DY698" t="str">
            <v/>
          </cell>
          <cell r="DZ698">
            <v>0</v>
          </cell>
          <cell r="EA698">
            <v>24505.494505494502</v>
          </cell>
        </row>
        <row r="699">
          <cell r="B699">
            <v>221508</v>
          </cell>
          <cell r="C699" t="str">
            <v>საქ.ხ.კონს.გუსარსკაია(490გ*24)</v>
          </cell>
          <cell r="D699" t="str">
            <v>TON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O699">
            <v>0</v>
          </cell>
          <cell r="AP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0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0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0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0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  <cell r="DX699">
            <v>0</v>
          </cell>
          <cell r="DY699" t="str">
            <v/>
          </cell>
          <cell r="DZ699" t="str">
            <v>pasiv</v>
          </cell>
          <cell r="EA699" t="e">
            <v>#DIV/0!</v>
          </cell>
        </row>
        <row r="700">
          <cell r="B700">
            <v>291595</v>
          </cell>
          <cell r="C700" t="str">
            <v>საქ.ხ.კონს.სელსკოე(0.325*36)</v>
          </cell>
          <cell r="D700" t="str">
            <v>TON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O700">
            <v>0</v>
          </cell>
          <cell r="AP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0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  <cell r="DX700">
            <v>0</v>
          </cell>
          <cell r="DY700" t="str">
            <v/>
          </cell>
          <cell r="DZ700" t="str">
            <v>pasiv</v>
          </cell>
          <cell r="EA700" t="e">
            <v>#DIV/0!</v>
          </cell>
        </row>
        <row r="701">
          <cell r="B701">
            <v>291724</v>
          </cell>
          <cell r="C701" t="str">
            <v>საქ.ხ.კონს.სელსკოე(0.490*24)</v>
          </cell>
          <cell r="D701" t="str">
            <v>TON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O701">
            <v>0</v>
          </cell>
          <cell r="AP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0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0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0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0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  <cell r="DX701">
            <v>0</v>
          </cell>
          <cell r="DY701" t="str">
            <v/>
          </cell>
          <cell r="DZ701" t="str">
            <v>pasiv</v>
          </cell>
          <cell r="EA701" t="e">
            <v>#DIV/0!</v>
          </cell>
        </row>
        <row r="702">
          <cell r="B702">
            <v>16976</v>
          </cell>
          <cell r="C702" t="str">
            <v>საქ.ხ.კონს.ბლენდო_250გრ*40</v>
          </cell>
          <cell r="D702" t="str">
            <v>TON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O702">
            <v>0</v>
          </cell>
          <cell r="AP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0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  <cell r="DX702">
            <v>0</v>
          </cell>
          <cell r="DY702" t="str">
            <v/>
          </cell>
          <cell r="DZ702" t="str">
            <v>pasiv</v>
          </cell>
          <cell r="EA702" t="e">
            <v>#DIV/0!</v>
          </cell>
        </row>
        <row r="703">
          <cell r="B703">
            <v>21908</v>
          </cell>
          <cell r="C703" t="str">
            <v>საქ.ხ.კონს.ბლენდო_325გრ*36</v>
          </cell>
          <cell r="D703" t="str">
            <v>TON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O703">
            <v>0</v>
          </cell>
          <cell r="AP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0</v>
          </cell>
          <cell r="DT703">
            <v>0</v>
          </cell>
          <cell r="DU703">
            <v>0</v>
          </cell>
          <cell r="DV703">
            <v>0</v>
          </cell>
          <cell r="DW703">
            <v>0</v>
          </cell>
          <cell r="DX703">
            <v>0</v>
          </cell>
          <cell r="DY703" t="str">
            <v/>
          </cell>
          <cell r="DZ703" t="str">
            <v>pasiv</v>
          </cell>
          <cell r="EA703" t="e">
            <v>#DIV/0!</v>
          </cell>
        </row>
        <row r="704">
          <cell r="B704">
            <v>221539</v>
          </cell>
          <cell r="C704" t="str">
            <v>საქ.ხ.კონს.ბლენდო_490გრ*24</v>
          </cell>
          <cell r="D704" t="str">
            <v>TON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O704">
            <v>0</v>
          </cell>
          <cell r="AP704">
            <v>0</v>
          </cell>
          <cell r="AS704">
            <v>0</v>
          </cell>
          <cell r="AT704">
            <v>0</v>
          </cell>
          <cell r="AU704">
            <v>1.617E-2</v>
          </cell>
          <cell r="AV704">
            <v>276.87</v>
          </cell>
          <cell r="AW704">
            <v>0</v>
          </cell>
          <cell r="AX704">
            <v>0</v>
          </cell>
          <cell r="AY704">
            <v>2.9399999999999999E-3</v>
          </cell>
          <cell r="AZ704">
            <v>50.34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2.9399999999999999E-3</v>
          </cell>
          <cell r="BF704">
            <v>50.34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1.47E-3</v>
          </cell>
          <cell r="BN704">
            <v>25.17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1.47E-3</v>
          </cell>
          <cell r="BT704">
            <v>25.17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1.47E-3</v>
          </cell>
          <cell r="CL704">
            <v>25.17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1.176E-2</v>
          </cell>
          <cell r="CZ704">
            <v>201.36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1.176E-2</v>
          </cell>
          <cell r="DF704">
            <v>201.36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1.6169999999999997E-2</v>
          </cell>
          <cell r="DX704">
            <v>276.87</v>
          </cell>
          <cell r="DY704" t="str">
            <v/>
          </cell>
          <cell r="DZ704">
            <v>0</v>
          </cell>
          <cell r="EA704">
            <v>17122.448979591842</v>
          </cell>
        </row>
        <row r="705">
          <cell r="B705">
            <v>139953</v>
          </cell>
          <cell r="C705" t="str">
            <v>SELSKOE M.ETI KONSERVI_325QR*36</v>
          </cell>
          <cell r="D705" t="str">
            <v>TON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O705">
            <v>0</v>
          </cell>
          <cell r="AP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O705">
            <v>0</v>
          </cell>
          <cell r="CP705">
            <v>0</v>
          </cell>
          <cell r="CQ705">
            <v>0</v>
          </cell>
          <cell r="CR705">
            <v>0</v>
          </cell>
          <cell r="CS705">
            <v>0</v>
          </cell>
          <cell r="CT705">
            <v>0</v>
          </cell>
          <cell r="CU705">
            <v>0</v>
          </cell>
          <cell r="CV705">
            <v>0</v>
          </cell>
          <cell r="CW705">
            <v>0</v>
          </cell>
          <cell r="CX705">
            <v>0</v>
          </cell>
          <cell r="CY705">
            <v>0</v>
          </cell>
          <cell r="CZ705">
            <v>0</v>
          </cell>
          <cell r="DA705">
            <v>0</v>
          </cell>
          <cell r="DB705">
            <v>0</v>
          </cell>
          <cell r="DC705">
            <v>0</v>
          </cell>
          <cell r="DD705">
            <v>0</v>
          </cell>
          <cell r="DE705">
            <v>0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0</v>
          </cell>
          <cell r="DV705">
            <v>0</v>
          </cell>
          <cell r="DW705">
            <v>0</v>
          </cell>
          <cell r="DX705">
            <v>0</v>
          </cell>
          <cell r="DY705" t="str">
            <v/>
          </cell>
          <cell r="DZ705" t="str">
            <v>pasiv</v>
          </cell>
          <cell r="EA705" t="e">
            <v>#DIV/0!</v>
          </cell>
        </row>
        <row r="706">
          <cell r="B706">
            <v>0</v>
          </cell>
          <cell r="C706" t="str">
            <v>DIGER TUSHONKA</v>
          </cell>
          <cell r="D706" t="str">
            <v>TON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O706">
            <v>0</v>
          </cell>
          <cell r="AP706">
            <v>0</v>
          </cell>
          <cell r="AS706">
            <v>0</v>
          </cell>
          <cell r="AT706">
            <v>0</v>
          </cell>
          <cell r="AU706">
            <v>1.617E-2</v>
          </cell>
          <cell r="AV706">
            <v>276.87</v>
          </cell>
          <cell r="AW706">
            <v>0</v>
          </cell>
          <cell r="AX706">
            <v>0</v>
          </cell>
          <cell r="AY706">
            <v>2.9399999999999999E-3</v>
          </cell>
          <cell r="AZ706">
            <v>50.34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2.9399999999999999E-3</v>
          </cell>
          <cell r="BF706">
            <v>50.34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1.47E-3</v>
          </cell>
          <cell r="BN706">
            <v>25.17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1.47E-3</v>
          </cell>
          <cell r="BT706">
            <v>25.17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1.47E-3</v>
          </cell>
          <cell r="CL706">
            <v>25.17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1.176E-2</v>
          </cell>
          <cell r="CZ706">
            <v>201.36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1.176E-2</v>
          </cell>
          <cell r="DF706">
            <v>201.36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0</v>
          </cell>
          <cell r="DS706">
            <v>0</v>
          </cell>
          <cell r="DT706">
            <v>0</v>
          </cell>
          <cell r="DU706">
            <v>0</v>
          </cell>
          <cell r="DV706">
            <v>0</v>
          </cell>
          <cell r="DW706">
            <v>1.6169999999999997E-2</v>
          </cell>
          <cell r="DX706">
            <v>276.87</v>
          </cell>
          <cell r="DY706" t="str">
            <v/>
          </cell>
          <cell r="DZ706">
            <v>0</v>
          </cell>
          <cell r="EA706">
            <v>17122.448979591842</v>
          </cell>
        </row>
        <row r="707">
          <cell r="B707">
            <v>32381</v>
          </cell>
          <cell r="C707" t="str">
            <v>GUSARSKAYA TUSONKA 325*36</v>
          </cell>
          <cell r="D707" t="str">
            <v>TON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1.04E-2</v>
          </cell>
          <cell r="AD707">
            <v>184.96</v>
          </cell>
          <cell r="AE707">
            <v>0</v>
          </cell>
          <cell r="AF707">
            <v>0</v>
          </cell>
          <cell r="AG707">
            <v>9.7499999999999996E-4</v>
          </cell>
          <cell r="AH707">
            <v>17.34</v>
          </cell>
          <cell r="AI707">
            <v>8.1250000000000003E-3</v>
          </cell>
          <cell r="AJ707">
            <v>144.5</v>
          </cell>
          <cell r="AK707">
            <v>1.0075000000000001E-2</v>
          </cell>
          <cell r="AL707">
            <v>179.18</v>
          </cell>
          <cell r="AO707">
            <v>2.9575000000000001E-2</v>
          </cell>
          <cell r="AP707">
            <v>525.98</v>
          </cell>
          <cell r="AS707">
            <v>0</v>
          </cell>
          <cell r="AT707">
            <v>0</v>
          </cell>
          <cell r="AU707">
            <v>9.7824999999999995E-2</v>
          </cell>
          <cell r="AV707">
            <v>1707.73</v>
          </cell>
          <cell r="AW707">
            <v>0</v>
          </cell>
          <cell r="AX707">
            <v>0</v>
          </cell>
          <cell r="AY707">
            <v>5.5250000000000004E-3</v>
          </cell>
          <cell r="AZ707">
            <v>95.18</v>
          </cell>
          <cell r="BA707">
            <v>0</v>
          </cell>
          <cell r="BB707">
            <v>0</v>
          </cell>
          <cell r="BC707">
            <v>2.5999999999999999E-3</v>
          </cell>
          <cell r="BD707">
            <v>43.57</v>
          </cell>
          <cell r="BE707">
            <v>8.1250000000000003E-3</v>
          </cell>
          <cell r="BF707">
            <v>138.75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4.5500000000000002E-3</v>
          </cell>
          <cell r="BL707">
            <v>80.92</v>
          </cell>
          <cell r="BM707">
            <v>3.8999999999999998E-3</v>
          </cell>
          <cell r="BN707">
            <v>69.36</v>
          </cell>
          <cell r="BO707">
            <v>2.2750000000000001E-3</v>
          </cell>
          <cell r="BP707">
            <v>40.46</v>
          </cell>
          <cell r="BQ707">
            <v>0</v>
          </cell>
          <cell r="BR707">
            <v>0</v>
          </cell>
          <cell r="BS707">
            <v>1.0725E-2</v>
          </cell>
          <cell r="BT707">
            <v>190.74</v>
          </cell>
          <cell r="BU707">
            <v>0</v>
          </cell>
          <cell r="BV707">
            <v>0</v>
          </cell>
          <cell r="BW707">
            <v>1.6249999999999999E-3</v>
          </cell>
          <cell r="BX707">
            <v>27.5</v>
          </cell>
          <cell r="BY707">
            <v>0</v>
          </cell>
          <cell r="BZ707">
            <v>0</v>
          </cell>
          <cell r="CA707">
            <v>9.7499999999999996E-4</v>
          </cell>
          <cell r="CB707">
            <v>17.34</v>
          </cell>
          <cell r="CC707">
            <v>2.9250000000000001E-3</v>
          </cell>
          <cell r="CD707">
            <v>52.02</v>
          </cell>
          <cell r="CE707">
            <v>2.2750000000000001E-3</v>
          </cell>
          <cell r="CF707">
            <v>36.19</v>
          </cell>
          <cell r="CG707">
            <v>0</v>
          </cell>
          <cell r="CH707">
            <v>0</v>
          </cell>
          <cell r="CI707">
            <v>7.7999999999999996E-3</v>
          </cell>
          <cell r="CJ707">
            <v>133.05000000000001</v>
          </cell>
          <cell r="CK707">
            <v>1.8525E-2</v>
          </cell>
          <cell r="CL707">
            <v>323.79000000000002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8.7749999999999998E-3</v>
          </cell>
          <cell r="CV707">
            <v>156.06</v>
          </cell>
          <cell r="CW707">
            <v>0</v>
          </cell>
          <cell r="CX707">
            <v>0</v>
          </cell>
          <cell r="CY707">
            <v>2.3400000000000001E-2</v>
          </cell>
          <cell r="CZ707">
            <v>406.08</v>
          </cell>
          <cell r="DA707">
            <v>0</v>
          </cell>
          <cell r="DB707">
            <v>0</v>
          </cell>
          <cell r="DC707">
            <v>4.875E-3</v>
          </cell>
          <cell r="DD707">
            <v>77.55</v>
          </cell>
          <cell r="DE707">
            <v>2.8275000000000002E-2</v>
          </cell>
          <cell r="DF707">
            <v>483.63</v>
          </cell>
          <cell r="DG707">
            <v>1.9499999999999999E-3</v>
          </cell>
          <cell r="DH707">
            <v>34.68</v>
          </cell>
          <cell r="DI707">
            <v>3.2499999999999999E-4</v>
          </cell>
          <cell r="DJ707">
            <v>5.78</v>
          </cell>
          <cell r="DK707">
            <v>2.2750000000000001E-3</v>
          </cell>
          <cell r="DL707">
            <v>39.06</v>
          </cell>
          <cell r="DM707">
            <v>4.5500000000000002E-3</v>
          </cell>
          <cell r="DN707">
            <v>79.52</v>
          </cell>
          <cell r="DO707">
            <v>1.9499999999999999E-3</v>
          </cell>
          <cell r="DP707">
            <v>34.68</v>
          </cell>
          <cell r="DQ707">
            <v>2.9250000000000001E-3</v>
          </cell>
          <cell r="DR707">
            <v>52.02</v>
          </cell>
          <cell r="DS707">
            <v>3.8999999999999998E-3</v>
          </cell>
          <cell r="DT707">
            <v>69.36</v>
          </cell>
          <cell r="DU707">
            <v>8.7749999999999998E-3</v>
          </cell>
          <cell r="DV707">
            <v>156.06</v>
          </cell>
          <cell r="DW707">
            <v>9.7825000000000009E-2</v>
          </cell>
          <cell r="DX707">
            <v>1707.73</v>
          </cell>
          <cell r="DY707" t="str">
            <v/>
          </cell>
          <cell r="DZ707">
            <v>0</v>
          </cell>
          <cell r="EA707">
            <v>17456.9895221058</v>
          </cell>
        </row>
        <row r="708">
          <cell r="B708">
            <v>0</v>
          </cell>
          <cell r="C708" t="str">
            <v>GUSARSKAYA TUSONKA</v>
          </cell>
          <cell r="D708" t="str">
            <v>TON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1.04E-2</v>
          </cell>
          <cell r="AD708">
            <v>184.96</v>
          </cell>
          <cell r="AE708">
            <v>0</v>
          </cell>
          <cell r="AF708">
            <v>0</v>
          </cell>
          <cell r="AG708">
            <v>9.7499999999999996E-4</v>
          </cell>
          <cell r="AH708">
            <v>17.34</v>
          </cell>
          <cell r="AI708">
            <v>8.1250000000000003E-3</v>
          </cell>
          <cell r="AJ708">
            <v>144.5</v>
          </cell>
          <cell r="AK708">
            <v>1.0075000000000001E-2</v>
          </cell>
          <cell r="AL708">
            <v>179.18</v>
          </cell>
          <cell r="AO708">
            <v>2.9575000000000001E-2</v>
          </cell>
          <cell r="AP708">
            <v>525.98</v>
          </cell>
          <cell r="AS708">
            <v>0</v>
          </cell>
          <cell r="AT708">
            <v>0</v>
          </cell>
          <cell r="AU708">
            <v>9.7824999999999995E-2</v>
          </cell>
          <cell r="AV708">
            <v>1707.73</v>
          </cell>
          <cell r="AW708">
            <v>0</v>
          </cell>
          <cell r="AX708">
            <v>0</v>
          </cell>
          <cell r="AY708">
            <v>5.5250000000000004E-3</v>
          </cell>
          <cell r="AZ708">
            <v>95.18</v>
          </cell>
          <cell r="BA708">
            <v>0</v>
          </cell>
          <cell r="BB708">
            <v>0</v>
          </cell>
          <cell r="BC708">
            <v>2.5999999999999999E-3</v>
          </cell>
          <cell r="BD708">
            <v>43.57</v>
          </cell>
          <cell r="BE708">
            <v>8.1250000000000003E-3</v>
          </cell>
          <cell r="BF708">
            <v>138.75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4.5500000000000002E-3</v>
          </cell>
          <cell r="BL708">
            <v>80.92</v>
          </cell>
          <cell r="BM708">
            <v>3.8999999999999998E-3</v>
          </cell>
          <cell r="BN708">
            <v>69.36</v>
          </cell>
          <cell r="BO708">
            <v>2.2750000000000001E-3</v>
          </cell>
          <cell r="BP708">
            <v>40.46</v>
          </cell>
          <cell r="BQ708">
            <v>0</v>
          </cell>
          <cell r="BR708">
            <v>0</v>
          </cell>
          <cell r="BS708">
            <v>1.0725E-2</v>
          </cell>
          <cell r="BT708">
            <v>190.74</v>
          </cell>
          <cell r="BU708">
            <v>0</v>
          </cell>
          <cell r="BV708">
            <v>0</v>
          </cell>
          <cell r="BW708">
            <v>1.6249999999999999E-3</v>
          </cell>
          <cell r="BX708">
            <v>27.5</v>
          </cell>
          <cell r="BY708">
            <v>0</v>
          </cell>
          <cell r="BZ708">
            <v>0</v>
          </cell>
          <cell r="CA708">
            <v>9.7499999999999996E-4</v>
          </cell>
          <cell r="CB708">
            <v>17.34</v>
          </cell>
          <cell r="CC708">
            <v>2.9250000000000001E-3</v>
          </cell>
          <cell r="CD708">
            <v>52.02</v>
          </cell>
          <cell r="CE708">
            <v>2.2750000000000001E-3</v>
          </cell>
          <cell r="CF708">
            <v>36.19</v>
          </cell>
          <cell r="CG708">
            <v>0</v>
          </cell>
          <cell r="CH708">
            <v>0</v>
          </cell>
          <cell r="CI708">
            <v>7.7999999999999996E-3</v>
          </cell>
          <cell r="CJ708">
            <v>133.05000000000001</v>
          </cell>
          <cell r="CK708">
            <v>1.8525E-2</v>
          </cell>
          <cell r="CL708">
            <v>323.79000000000002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8.7749999999999998E-3</v>
          </cell>
          <cell r="CV708">
            <v>156.06</v>
          </cell>
          <cell r="CW708">
            <v>0</v>
          </cell>
          <cell r="CX708">
            <v>0</v>
          </cell>
          <cell r="CY708">
            <v>2.3400000000000001E-2</v>
          </cell>
          <cell r="CZ708">
            <v>406.08</v>
          </cell>
          <cell r="DA708">
            <v>0</v>
          </cell>
          <cell r="DB708">
            <v>0</v>
          </cell>
          <cell r="DC708">
            <v>4.875E-3</v>
          </cell>
          <cell r="DD708">
            <v>77.55</v>
          </cell>
          <cell r="DE708">
            <v>2.8275000000000002E-2</v>
          </cell>
          <cell r="DF708">
            <v>483.63</v>
          </cell>
          <cell r="DG708">
            <v>1.9499999999999999E-3</v>
          </cell>
          <cell r="DH708">
            <v>34.68</v>
          </cell>
          <cell r="DI708">
            <v>3.2499999999999999E-4</v>
          </cell>
          <cell r="DJ708">
            <v>5.78</v>
          </cell>
          <cell r="DK708">
            <v>2.2750000000000001E-3</v>
          </cell>
          <cell r="DL708">
            <v>39.06</v>
          </cell>
          <cell r="DM708">
            <v>4.5500000000000002E-3</v>
          </cell>
          <cell r="DN708">
            <v>79.52</v>
          </cell>
          <cell r="DO708">
            <v>1.9499999999999999E-3</v>
          </cell>
          <cell r="DP708">
            <v>34.68</v>
          </cell>
          <cell r="DQ708">
            <v>2.9250000000000001E-3</v>
          </cell>
          <cell r="DR708">
            <v>52.02</v>
          </cell>
          <cell r="DS708">
            <v>3.8999999999999998E-3</v>
          </cell>
          <cell r="DT708">
            <v>69.36</v>
          </cell>
          <cell r="DU708">
            <v>8.7749999999999998E-3</v>
          </cell>
          <cell r="DV708">
            <v>156.06</v>
          </cell>
          <cell r="DW708">
            <v>9.7825000000000009E-2</v>
          </cell>
          <cell r="DX708">
            <v>1707.73</v>
          </cell>
          <cell r="DY708" t="str">
            <v/>
          </cell>
          <cell r="DZ708">
            <v>0</v>
          </cell>
          <cell r="EA708">
            <v>17456.9895221058</v>
          </cell>
        </row>
        <row r="709">
          <cell r="B709">
            <v>333408</v>
          </cell>
          <cell r="C709" t="str">
            <v>საქ.ხ.კონს.ზავტრაკ ტურისტა_325გ*36</v>
          </cell>
          <cell r="D709" t="str">
            <v>TON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O709">
            <v>0</v>
          </cell>
          <cell r="AP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  <cell r="DX709">
            <v>0</v>
          </cell>
          <cell r="DY709" t="str">
            <v/>
          </cell>
          <cell r="DZ709" t="str">
            <v>pasiv</v>
          </cell>
          <cell r="EA709" t="e">
            <v>#DIV/0!</v>
          </cell>
        </row>
        <row r="710">
          <cell r="B710">
            <v>221506</v>
          </cell>
          <cell r="C710" t="str">
            <v>საქ.ხ.კონს.ფინალი_490გრ*24</v>
          </cell>
          <cell r="D710" t="str">
            <v>TON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1.9599999999999999E-3</v>
          </cell>
          <cell r="AH710">
            <v>34.799999999999997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O710">
            <v>1.9599999999999999E-3</v>
          </cell>
          <cell r="AP710">
            <v>34.799999999999997</v>
          </cell>
          <cell r="AS710">
            <v>0</v>
          </cell>
          <cell r="AT710">
            <v>0</v>
          </cell>
          <cell r="AU710">
            <v>4.5569999999999999E-2</v>
          </cell>
          <cell r="AV710">
            <v>788.72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2.4499999999999999E-3</v>
          </cell>
          <cell r="BD710">
            <v>43.5</v>
          </cell>
          <cell r="BE710">
            <v>2.4499999999999999E-3</v>
          </cell>
          <cell r="BF710">
            <v>43.5</v>
          </cell>
          <cell r="BG710">
            <v>5.8799999999999998E-3</v>
          </cell>
          <cell r="BH710">
            <v>104.4</v>
          </cell>
          <cell r="BI710">
            <v>1.47E-3</v>
          </cell>
          <cell r="BJ710">
            <v>24.12</v>
          </cell>
          <cell r="BK710">
            <v>1.176E-2</v>
          </cell>
          <cell r="BL710">
            <v>198.96</v>
          </cell>
          <cell r="BM710">
            <v>5.3899999999999998E-3</v>
          </cell>
          <cell r="BN710">
            <v>95.7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2.4500000000000001E-2</v>
          </cell>
          <cell r="BT710">
            <v>423.18</v>
          </cell>
          <cell r="BU710">
            <v>1.47E-3</v>
          </cell>
          <cell r="BV710">
            <v>24.12</v>
          </cell>
          <cell r="BW710">
            <v>1.9599999999999999E-3</v>
          </cell>
          <cell r="BX710">
            <v>32.17</v>
          </cell>
          <cell r="BY710">
            <v>0</v>
          </cell>
          <cell r="BZ710">
            <v>0</v>
          </cell>
          <cell r="CA710">
            <v>2.9399999999999999E-3</v>
          </cell>
          <cell r="CB710">
            <v>52.2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6.3699999999999998E-3</v>
          </cell>
          <cell r="CJ710">
            <v>108.49</v>
          </cell>
          <cell r="CK710">
            <v>3.0870000000000002E-2</v>
          </cell>
          <cell r="CL710">
            <v>531.66999999999996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5.8799999999999998E-3</v>
          </cell>
          <cell r="CV710">
            <v>100.45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4.4099999999999999E-3</v>
          </cell>
          <cell r="DB710">
            <v>78.3</v>
          </cell>
          <cell r="DC710">
            <v>0</v>
          </cell>
          <cell r="DD710">
            <v>0</v>
          </cell>
          <cell r="DE710">
            <v>4.4099999999999999E-3</v>
          </cell>
          <cell r="DF710">
            <v>78.3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5.8799999999999998E-3</v>
          </cell>
          <cell r="DP710">
            <v>100.45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5.8799999999999998E-3</v>
          </cell>
          <cell r="DV710">
            <v>100.45</v>
          </cell>
          <cell r="DW710">
            <v>4.5569999999999999E-2</v>
          </cell>
          <cell r="DX710">
            <v>788.71999999999991</v>
          </cell>
          <cell r="DY710" t="str">
            <v/>
          </cell>
          <cell r="DZ710">
            <v>0</v>
          </cell>
          <cell r="EA710">
            <v>17307.877989905639</v>
          </cell>
        </row>
        <row r="711">
          <cell r="B711">
            <v>384226</v>
          </cell>
          <cell r="C711" t="str">
            <v>თევზის კონს.ქაფშია_SUPER FISH_ტომატში_240გ_11ც+1ც</v>
          </cell>
          <cell r="D711" t="str">
            <v>TON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O711">
            <v>0</v>
          </cell>
          <cell r="AP711">
            <v>0</v>
          </cell>
          <cell r="AS711">
            <v>0</v>
          </cell>
          <cell r="AT711">
            <v>0</v>
          </cell>
          <cell r="AU711">
            <v>1.44E-2</v>
          </cell>
          <cell r="AV711">
            <v>144.21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2.8800000000000002E-3</v>
          </cell>
          <cell r="BD711">
            <v>28.49</v>
          </cell>
          <cell r="BE711">
            <v>2.8800000000000002E-3</v>
          </cell>
          <cell r="BF711">
            <v>28.49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2.8800000000000002E-3</v>
          </cell>
          <cell r="CV711">
            <v>28.49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2.8800000000000002E-3</v>
          </cell>
          <cell r="DH711">
            <v>28.49</v>
          </cell>
          <cell r="DI711">
            <v>0</v>
          </cell>
          <cell r="DJ711">
            <v>0</v>
          </cell>
          <cell r="DK711">
            <v>5.7600000000000004E-3</v>
          </cell>
          <cell r="DL711">
            <v>58.74</v>
          </cell>
          <cell r="DM711">
            <v>8.6400000000000001E-3</v>
          </cell>
          <cell r="DN711">
            <v>87.23</v>
          </cell>
          <cell r="DO711">
            <v>2.8800000000000002E-3</v>
          </cell>
          <cell r="DP711">
            <v>28.49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2.8800000000000002E-3</v>
          </cell>
          <cell r="DV711">
            <v>28.49</v>
          </cell>
          <cell r="DW711">
            <v>1.4400000000000001E-2</v>
          </cell>
          <cell r="DX711">
            <v>144.21</v>
          </cell>
          <cell r="DY711" t="str">
            <v/>
          </cell>
          <cell r="DZ711">
            <v>0</v>
          </cell>
          <cell r="EA711">
            <v>10014.583333333332</v>
          </cell>
        </row>
        <row r="712">
          <cell r="B712">
            <v>384227</v>
          </cell>
          <cell r="C712" t="str">
            <v>თევზის კონს.ქაფშია_SUPER FISH_ზეთში_240გ_11ც+1ც</v>
          </cell>
          <cell r="D712" t="str">
            <v>TON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O712">
            <v>0</v>
          </cell>
          <cell r="AP712">
            <v>0</v>
          </cell>
          <cell r="AS712">
            <v>0</v>
          </cell>
          <cell r="AT712">
            <v>0</v>
          </cell>
          <cell r="AU712">
            <v>1.1520000000000001E-2</v>
          </cell>
          <cell r="AV712">
            <v>128.72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5.7600000000000004E-3</v>
          </cell>
          <cell r="CV712">
            <v>64.36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2.8800000000000002E-3</v>
          </cell>
          <cell r="DH712">
            <v>31.69</v>
          </cell>
          <cell r="DI712">
            <v>0</v>
          </cell>
          <cell r="DJ712">
            <v>0</v>
          </cell>
          <cell r="DK712">
            <v>2.8800000000000002E-3</v>
          </cell>
          <cell r="DL712">
            <v>32.67</v>
          </cell>
          <cell r="DM712">
            <v>5.7600000000000004E-3</v>
          </cell>
          <cell r="DN712">
            <v>64.36</v>
          </cell>
          <cell r="DO712">
            <v>2.8800000000000002E-3</v>
          </cell>
          <cell r="DP712">
            <v>31.69</v>
          </cell>
          <cell r="DQ712">
            <v>0</v>
          </cell>
          <cell r="DR712">
            <v>0</v>
          </cell>
          <cell r="DS712">
            <v>2.8800000000000002E-3</v>
          </cell>
          <cell r="DT712">
            <v>32.67</v>
          </cell>
          <cell r="DU712">
            <v>5.7600000000000004E-3</v>
          </cell>
          <cell r="DV712">
            <v>64.36</v>
          </cell>
          <cell r="DW712">
            <v>1.1520000000000001E-2</v>
          </cell>
          <cell r="DX712">
            <v>128.72</v>
          </cell>
          <cell r="DY712" t="str">
            <v/>
          </cell>
          <cell r="DZ712">
            <v>0</v>
          </cell>
          <cell r="EA712">
            <v>11173.611111111109</v>
          </cell>
        </row>
        <row r="713">
          <cell r="B713">
            <v>384228</v>
          </cell>
          <cell r="C713" t="str">
            <v>თევზის კონს.შებ.ქაფშია_SUPER FISH_ზეთში_240გ_11ც+1</v>
          </cell>
          <cell r="D713" t="str">
            <v>TON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O713">
            <v>0</v>
          </cell>
          <cell r="AP713">
            <v>0</v>
          </cell>
          <cell r="AS713">
            <v>0</v>
          </cell>
          <cell r="AT713">
            <v>0</v>
          </cell>
          <cell r="AU713">
            <v>2.8800000000000002E-3</v>
          </cell>
          <cell r="AV713">
            <v>55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O713">
            <v>0</v>
          </cell>
          <cell r="CP713">
            <v>0</v>
          </cell>
          <cell r="CQ713">
            <v>0</v>
          </cell>
          <cell r="CR713">
            <v>0</v>
          </cell>
          <cell r="CS713">
            <v>0</v>
          </cell>
          <cell r="CT713">
            <v>0</v>
          </cell>
          <cell r="CU713">
            <v>2.8800000000000002E-3</v>
          </cell>
          <cell r="CV713">
            <v>55</v>
          </cell>
          <cell r="CW713">
            <v>0</v>
          </cell>
          <cell r="CX713">
            <v>0</v>
          </cell>
          <cell r="CY713">
            <v>0</v>
          </cell>
          <cell r="CZ713">
            <v>0</v>
          </cell>
          <cell r="DA713">
            <v>0</v>
          </cell>
          <cell r="DB713">
            <v>0</v>
          </cell>
          <cell r="DC713">
            <v>0</v>
          </cell>
          <cell r="DD713">
            <v>0</v>
          </cell>
          <cell r="DE713">
            <v>0</v>
          </cell>
          <cell r="DF713">
            <v>0</v>
          </cell>
          <cell r="DG713">
            <v>0</v>
          </cell>
          <cell r="DH713">
            <v>0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0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2.8800000000000002E-3</v>
          </cell>
          <cell r="DT713">
            <v>55</v>
          </cell>
          <cell r="DU713">
            <v>2.8800000000000002E-3</v>
          </cell>
          <cell r="DV713">
            <v>55</v>
          </cell>
          <cell r="DW713">
            <v>2.8800000000000002E-3</v>
          </cell>
          <cell r="DX713">
            <v>55</v>
          </cell>
          <cell r="DY713" t="str">
            <v/>
          </cell>
          <cell r="DZ713">
            <v>0</v>
          </cell>
          <cell r="EA713">
            <v>19097.222222222223</v>
          </cell>
        </row>
        <row r="714">
          <cell r="B714">
            <v>384229</v>
          </cell>
          <cell r="C714" t="str">
            <v>თევზის კონს.სკუმბრია_SUPER FISH_ტომატში_240გ_11ც+1</v>
          </cell>
          <cell r="D714" t="str">
            <v>TON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O714">
            <v>0</v>
          </cell>
          <cell r="AP714">
            <v>0</v>
          </cell>
          <cell r="AS714">
            <v>0</v>
          </cell>
          <cell r="AT714">
            <v>0</v>
          </cell>
          <cell r="AU714">
            <v>1.1520000000000001E-2</v>
          </cell>
          <cell r="AV714">
            <v>192.91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2.8800000000000002E-3</v>
          </cell>
          <cell r="BL714">
            <v>49.72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2.8800000000000002E-3</v>
          </cell>
          <cell r="BT714">
            <v>49.72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2.8800000000000002E-3</v>
          </cell>
          <cell r="CL714">
            <v>49.72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5.7600000000000004E-3</v>
          </cell>
          <cell r="CV714">
            <v>93.47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2.8800000000000002E-3</v>
          </cell>
          <cell r="DJ714">
            <v>49.72</v>
          </cell>
          <cell r="DK714">
            <v>0</v>
          </cell>
          <cell r="DL714">
            <v>0</v>
          </cell>
          <cell r="DM714">
            <v>2.8800000000000002E-3</v>
          </cell>
          <cell r="DN714">
            <v>49.72</v>
          </cell>
          <cell r="DO714">
            <v>5.7600000000000004E-3</v>
          </cell>
          <cell r="DP714">
            <v>93.47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>
            <v>5.7600000000000004E-3</v>
          </cell>
          <cell r="DV714">
            <v>93.47</v>
          </cell>
          <cell r="DW714">
            <v>1.1520000000000001E-2</v>
          </cell>
          <cell r="DX714">
            <v>192.91</v>
          </cell>
          <cell r="DY714" t="str">
            <v/>
          </cell>
          <cell r="DZ714">
            <v>0</v>
          </cell>
          <cell r="EA714">
            <v>16745.659722222223</v>
          </cell>
        </row>
        <row r="715">
          <cell r="B715">
            <v>384230</v>
          </cell>
          <cell r="C715" t="str">
            <v>თევზის კონს.ქაშაყი_SUPER FISH_ზეთში_240გ_11ც+1ც</v>
          </cell>
          <cell r="D715" t="str">
            <v>TON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O715">
            <v>0</v>
          </cell>
          <cell r="AP715">
            <v>0</v>
          </cell>
          <cell r="AS715">
            <v>0</v>
          </cell>
          <cell r="AT715">
            <v>0</v>
          </cell>
          <cell r="AU715">
            <v>2.8800000000000002E-3</v>
          </cell>
          <cell r="AV715">
            <v>44.55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2.8800000000000002E-3</v>
          </cell>
          <cell r="CV715">
            <v>44.55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0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2.8800000000000002E-3</v>
          </cell>
          <cell r="DT715">
            <v>44.55</v>
          </cell>
          <cell r="DU715">
            <v>2.8800000000000002E-3</v>
          </cell>
          <cell r="DV715">
            <v>44.55</v>
          </cell>
          <cell r="DW715">
            <v>2.8800000000000002E-3</v>
          </cell>
          <cell r="DX715">
            <v>44.55</v>
          </cell>
          <cell r="DY715" t="str">
            <v/>
          </cell>
          <cell r="DZ715">
            <v>0</v>
          </cell>
          <cell r="EA715">
            <v>15468.749999999998</v>
          </cell>
        </row>
        <row r="716">
          <cell r="B716">
            <v>384231</v>
          </cell>
          <cell r="C716" t="str">
            <v>თევზის კონს.სკუმბრია_SUPER FISH_ზეთში_240გ_11ც+1ც</v>
          </cell>
          <cell r="D716" t="str">
            <v>TON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O716">
            <v>0</v>
          </cell>
          <cell r="AP716">
            <v>0</v>
          </cell>
          <cell r="AS716">
            <v>0</v>
          </cell>
          <cell r="AT716">
            <v>0</v>
          </cell>
          <cell r="AU716">
            <v>2.8800000000000002E-3</v>
          </cell>
          <cell r="AV716">
            <v>52.25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O716">
            <v>0</v>
          </cell>
          <cell r="CP716">
            <v>0</v>
          </cell>
          <cell r="CQ716">
            <v>0</v>
          </cell>
          <cell r="CR716">
            <v>0</v>
          </cell>
          <cell r="CS716">
            <v>0</v>
          </cell>
          <cell r="CT716">
            <v>0</v>
          </cell>
          <cell r="CU716">
            <v>2.8800000000000002E-3</v>
          </cell>
          <cell r="CV716">
            <v>52.25</v>
          </cell>
          <cell r="CW716">
            <v>0</v>
          </cell>
          <cell r="CX716">
            <v>0</v>
          </cell>
          <cell r="CY716">
            <v>0</v>
          </cell>
          <cell r="CZ716">
            <v>0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0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2.8800000000000002E-3</v>
          </cell>
          <cell r="DT716">
            <v>52.25</v>
          </cell>
          <cell r="DU716">
            <v>2.8800000000000002E-3</v>
          </cell>
          <cell r="DV716">
            <v>52.25</v>
          </cell>
          <cell r="DW716">
            <v>2.8800000000000002E-3</v>
          </cell>
          <cell r="DX716">
            <v>52.25</v>
          </cell>
          <cell r="DY716" t="str">
            <v/>
          </cell>
          <cell r="DZ716">
            <v>0</v>
          </cell>
          <cell r="EA716">
            <v>18142.361111111109</v>
          </cell>
        </row>
        <row r="717">
          <cell r="B717">
            <v>384232</v>
          </cell>
          <cell r="C717" t="str">
            <v>თევზის კონს.ქაშაყი_SUPER FISH_ტომატში_240გ_11ც+1ც</v>
          </cell>
          <cell r="D717" t="str">
            <v>TON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O717">
            <v>0</v>
          </cell>
          <cell r="AP717">
            <v>0</v>
          </cell>
          <cell r="AS717">
            <v>0</v>
          </cell>
          <cell r="AT717">
            <v>0</v>
          </cell>
          <cell r="AU717">
            <v>5.7600000000000004E-3</v>
          </cell>
          <cell r="AV717">
            <v>80.680000000000007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5.7600000000000004E-3</v>
          </cell>
          <cell r="CV717">
            <v>80.680000000000007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0</v>
          </cell>
          <cell r="DN717">
            <v>0</v>
          </cell>
          <cell r="DO717">
            <v>5.7600000000000004E-3</v>
          </cell>
          <cell r="DP717">
            <v>80.680000000000007</v>
          </cell>
          <cell r="DQ717">
            <v>0</v>
          </cell>
          <cell r="DR717">
            <v>0</v>
          </cell>
          <cell r="DS717">
            <v>0</v>
          </cell>
          <cell r="DT717">
            <v>0</v>
          </cell>
          <cell r="DU717">
            <v>5.7600000000000004E-3</v>
          </cell>
          <cell r="DV717">
            <v>80.680000000000007</v>
          </cell>
          <cell r="DW717">
            <v>5.7600000000000004E-3</v>
          </cell>
          <cell r="DX717">
            <v>80.680000000000007</v>
          </cell>
          <cell r="DY717" t="str">
            <v/>
          </cell>
          <cell r="DZ717">
            <v>0</v>
          </cell>
          <cell r="EA717">
            <v>14006.944444444445</v>
          </cell>
        </row>
        <row r="718">
          <cell r="B718">
            <v>384233</v>
          </cell>
          <cell r="C718" t="str">
            <v>თევზის კონს.სარდინი_SUPER FISH_ზეთში_240გ_11ც+1ც</v>
          </cell>
          <cell r="D718" t="str">
            <v>TON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O718">
            <v>0</v>
          </cell>
          <cell r="AP718">
            <v>0</v>
          </cell>
          <cell r="AS718">
            <v>0</v>
          </cell>
          <cell r="AT718">
            <v>0</v>
          </cell>
          <cell r="AU718">
            <v>8.6400000000000001E-3</v>
          </cell>
          <cell r="AV718">
            <v>132.31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2.8800000000000002E-3</v>
          </cell>
          <cell r="BD718">
            <v>43.21</v>
          </cell>
          <cell r="BE718">
            <v>2.8800000000000002E-3</v>
          </cell>
          <cell r="BF718">
            <v>43.21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5.7600000000000004E-3</v>
          </cell>
          <cell r="CV718">
            <v>89.1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0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5.7600000000000004E-3</v>
          </cell>
          <cell r="DT718">
            <v>89.1</v>
          </cell>
          <cell r="DU718">
            <v>5.7600000000000004E-3</v>
          </cell>
          <cell r="DV718">
            <v>89.1</v>
          </cell>
          <cell r="DW718">
            <v>8.6400000000000001E-3</v>
          </cell>
          <cell r="DX718">
            <v>132.31</v>
          </cell>
          <cell r="DY718" t="str">
            <v/>
          </cell>
          <cell r="DZ718">
            <v>0</v>
          </cell>
          <cell r="EA718">
            <v>15313.657407407407</v>
          </cell>
        </row>
        <row r="719">
          <cell r="B719">
            <v>384234</v>
          </cell>
          <cell r="C719" t="str">
            <v>თევზის კონს.ქაშაყი_SUPER FISH_წვენში_240გ_11ც+1ც</v>
          </cell>
          <cell r="D719" t="str">
            <v>TON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O719">
            <v>0</v>
          </cell>
          <cell r="AP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O719">
            <v>0</v>
          </cell>
          <cell r="CP719">
            <v>0</v>
          </cell>
          <cell r="CQ719">
            <v>0</v>
          </cell>
          <cell r="CR719">
            <v>0</v>
          </cell>
          <cell r="CS719">
            <v>0</v>
          </cell>
          <cell r="CT719">
            <v>0</v>
          </cell>
          <cell r="CU719">
            <v>0</v>
          </cell>
          <cell r="CV719">
            <v>0</v>
          </cell>
          <cell r="CW719">
            <v>0</v>
          </cell>
          <cell r="CX719">
            <v>0</v>
          </cell>
          <cell r="CY719">
            <v>0</v>
          </cell>
          <cell r="CZ719">
            <v>0</v>
          </cell>
          <cell r="DA719">
            <v>0</v>
          </cell>
          <cell r="DB719">
            <v>0</v>
          </cell>
          <cell r="DC719">
            <v>0</v>
          </cell>
          <cell r="DD719">
            <v>0</v>
          </cell>
          <cell r="DE719">
            <v>0</v>
          </cell>
          <cell r="DF719">
            <v>0</v>
          </cell>
          <cell r="DG719">
            <v>0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0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>
            <v>0</v>
          </cell>
          <cell r="DT719">
            <v>0</v>
          </cell>
          <cell r="DU719">
            <v>0</v>
          </cell>
          <cell r="DV719">
            <v>0</v>
          </cell>
          <cell r="DW719">
            <v>0</v>
          </cell>
          <cell r="DX719">
            <v>0</v>
          </cell>
          <cell r="DY719" t="str">
            <v/>
          </cell>
          <cell r="DZ719" t="str">
            <v>pasiv</v>
          </cell>
          <cell r="EA719" t="e">
            <v>#DIV/0!</v>
          </cell>
        </row>
        <row r="720">
          <cell r="B720">
            <v>384235</v>
          </cell>
          <cell r="C720" t="str">
            <v>თევზის კონს.სარდინი_SUPER FISH_ტომატში_240გ_11ც+1ც</v>
          </cell>
          <cell r="D720" t="str">
            <v>TON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O720">
            <v>0</v>
          </cell>
          <cell r="AP720">
            <v>0</v>
          </cell>
          <cell r="AS720">
            <v>0</v>
          </cell>
          <cell r="AT720">
            <v>0</v>
          </cell>
          <cell r="AU720">
            <v>2.8800000000000002E-3</v>
          </cell>
          <cell r="AV720">
            <v>41.8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2.8800000000000002E-3</v>
          </cell>
          <cell r="CV720">
            <v>41.8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2.8800000000000002E-3</v>
          </cell>
          <cell r="DT720">
            <v>41.8</v>
          </cell>
          <cell r="DU720">
            <v>2.8800000000000002E-3</v>
          </cell>
          <cell r="DV720">
            <v>41.8</v>
          </cell>
          <cell r="DW720">
            <v>2.8800000000000002E-3</v>
          </cell>
          <cell r="DX720">
            <v>41.8</v>
          </cell>
          <cell r="DY720" t="str">
            <v/>
          </cell>
          <cell r="DZ720">
            <v>0</v>
          </cell>
          <cell r="EA720">
            <v>14513.888888888887</v>
          </cell>
        </row>
        <row r="721">
          <cell r="B721">
            <v>363143</v>
          </cell>
          <cell r="C721" t="str">
            <v>თევზის კონს.სარდინი_SUPER FISH_ზეთში_240გ*48</v>
          </cell>
          <cell r="D721" t="str">
            <v>TON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O721">
            <v>0</v>
          </cell>
          <cell r="AP721">
            <v>0</v>
          </cell>
          <cell r="AS721">
            <v>0</v>
          </cell>
          <cell r="AT721">
            <v>0</v>
          </cell>
          <cell r="AU721">
            <v>1.4880000000000001E-2</v>
          </cell>
          <cell r="AV721">
            <v>263.33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1.1999999999999999E-3</v>
          </cell>
          <cell r="BD721">
            <v>21.25</v>
          </cell>
          <cell r="BE721">
            <v>1.1999999999999999E-3</v>
          </cell>
          <cell r="BF721">
            <v>21.25</v>
          </cell>
          <cell r="BG721">
            <v>0</v>
          </cell>
          <cell r="BH721">
            <v>0</v>
          </cell>
          <cell r="BI721">
            <v>-1.1520000000000001E-2</v>
          </cell>
          <cell r="BJ721">
            <v>-192.96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-1.1520000000000001E-2</v>
          </cell>
          <cell r="BT721">
            <v>-192.96</v>
          </cell>
          <cell r="BU721">
            <v>0</v>
          </cell>
          <cell r="BV721">
            <v>0</v>
          </cell>
          <cell r="BW721">
            <v>2.64E-3</v>
          </cell>
          <cell r="BX721">
            <v>43.82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2.64E-3</v>
          </cell>
          <cell r="CJ721">
            <v>43.82</v>
          </cell>
          <cell r="CK721">
            <v>-8.8800000000000007E-3</v>
          </cell>
          <cell r="CL721">
            <v>-149.14000000000001</v>
          </cell>
          <cell r="CO721">
            <v>0</v>
          </cell>
          <cell r="CP721">
            <v>0</v>
          </cell>
          <cell r="CQ721">
            <v>0</v>
          </cell>
          <cell r="CR721">
            <v>0</v>
          </cell>
          <cell r="CS721">
            <v>0</v>
          </cell>
          <cell r="CT721">
            <v>0</v>
          </cell>
          <cell r="CU721">
            <v>1.4400000000000001E-3</v>
          </cell>
          <cell r="CV721">
            <v>25.5</v>
          </cell>
          <cell r="CW721">
            <v>0</v>
          </cell>
          <cell r="CX721">
            <v>0</v>
          </cell>
          <cell r="CY721">
            <v>1.1520000000000001E-2</v>
          </cell>
          <cell r="CZ721">
            <v>204</v>
          </cell>
          <cell r="DA721">
            <v>7.2000000000000005E-4</v>
          </cell>
          <cell r="DB721">
            <v>12.75</v>
          </cell>
          <cell r="DC721">
            <v>8.6400000000000001E-3</v>
          </cell>
          <cell r="DD721">
            <v>144.72</v>
          </cell>
          <cell r="DE721">
            <v>2.0880000000000003E-2</v>
          </cell>
          <cell r="DF721">
            <v>361.47</v>
          </cell>
          <cell r="DG721">
            <v>0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1.4400000000000001E-3</v>
          </cell>
          <cell r="DP721">
            <v>25.5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>
            <v>1.4400000000000001E-3</v>
          </cell>
          <cell r="DV721">
            <v>25.5</v>
          </cell>
          <cell r="DW721">
            <v>1.4640000000000002E-2</v>
          </cell>
          <cell r="DX721">
            <v>259.08000000000004</v>
          </cell>
          <cell r="DY721" t="str">
            <v/>
          </cell>
          <cell r="DZ721">
            <v>0</v>
          </cell>
          <cell r="EA721">
            <v>17696.721311475409</v>
          </cell>
        </row>
        <row r="722">
          <cell r="B722">
            <v>363145</v>
          </cell>
          <cell r="C722" t="str">
            <v>თევზის კონს.ქაფშია_SUPER FISH_ტომატში_240გ*48</v>
          </cell>
          <cell r="D722" t="str">
            <v>TON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O722">
            <v>0</v>
          </cell>
          <cell r="P722">
            <v>0</v>
          </cell>
          <cell r="Q722">
            <v>8.0640000000000003E-2</v>
          </cell>
          <cell r="R722">
            <v>826.56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8.0640000000000003E-2</v>
          </cell>
          <cell r="Z722">
            <v>826.56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2.8800000000000002E-3</v>
          </cell>
          <cell r="AL722">
            <v>32.04</v>
          </cell>
          <cell r="AO722">
            <v>2.8800000000000002E-3</v>
          </cell>
          <cell r="AP722">
            <v>32.04</v>
          </cell>
          <cell r="AS722">
            <v>0</v>
          </cell>
          <cell r="AT722">
            <v>0</v>
          </cell>
          <cell r="AU722">
            <v>0.11904000000000001</v>
          </cell>
          <cell r="AV722">
            <v>1267.8399999999999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4.8000000000000001E-4</v>
          </cell>
          <cell r="BL722">
            <v>5.6</v>
          </cell>
          <cell r="BM722">
            <v>6.2399999999999999E-3</v>
          </cell>
          <cell r="BN722">
            <v>72.8</v>
          </cell>
          <cell r="BO722">
            <v>2.3999999999999998E-3</v>
          </cell>
          <cell r="BP722">
            <v>28</v>
          </cell>
          <cell r="BQ722">
            <v>0</v>
          </cell>
          <cell r="BR722">
            <v>0</v>
          </cell>
          <cell r="BS722">
            <v>9.1199999999999996E-3</v>
          </cell>
          <cell r="BT722">
            <v>106.4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9.1199999999999996E-3</v>
          </cell>
          <cell r="CL722">
            <v>106.4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0</v>
          </cell>
          <cell r="CT722">
            <v>0</v>
          </cell>
          <cell r="CU722">
            <v>2.8800000000000002E-3</v>
          </cell>
          <cell r="CV722">
            <v>33.6</v>
          </cell>
          <cell r="CW722">
            <v>0</v>
          </cell>
          <cell r="CX722">
            <v>0</v>
          </cell>
          <cell r="CY722">
            <v>2.8800000000000002E-3</v>
          </cell>
          <cell r="CZ722">
            <v>33.6</v>
          </cell>
          <cell r="DA722">
            <v>5.28E-3</v>
          </cell>
          <cell r="DB722">
            <v>61.6</v>
          </cell>
          <cell r="DC722">
            <v>1.464E-2</v>
          </cell>
          <cell r="DD722">
            <v>165.64</v>
          </cell>
          <cell r="DE722">
            <v>2.2800000000000001E-2</v>
          </cell>
          <cell r="DF722">
            <v>260.83999999999997</v>
          </cell>
          <cell r="DG722">
            <v>0</v>
          </cell>
          <cell r="DH722">
            <v>0</v>
          </cell>
          <cell r="DI722">
            <v>4.8000000000000001E-4</v>
          </cell>
          <cell r="DJ722">
            <v>5.6</v>
          </cell>
          <cell r="DK722">
            <v>0</v>
          </cell>
          <cell r="DL722">
            <v>0</v>
          </cell>
          <cell r="DM722">
            <v>4.8000000000000001E-4</v>
          </cell>
          <cell r="DN722">
            <v>5.6</v>
          </cell>
          <cell r="DO722">
            <v>2.8800000000000002E-3</v>
          </cell>
          <cell r="DP722">
            <v>33.6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2.8800000000000002E-3</v>
          </cell>
          <cell r="DV722">
            <v>33.6</v>
          </cell>
          <cell r="DW722">
            <v>0.11880000000000002</v>
          </cell>
          <cell r="DX722">
            <v>1265.04</v>
          </cell>
          <cell r="DY722" t="str">
            <v/>
          </cell>
          <cell r="DZ722">
            <v>0</v>
          </cell>
          <cell r="EA722">
            <v>10648.484848484846</v>
          </cell>
        </row>
        <row r="723">
          <cell r="B723">
            <v>363146</v>
          </cell>
          <cell r="C723" t="str">
            <v>თევზის კონს.სარდინი_SUPER FISH_ტომატში_240გ*48</v>
          </cell>
          <cell r="D723" t="str">
            <v>TON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5.7600000000000004E-3</v>
          </cell>
          <cell r="AJ723">
            <v>95.76</v>
          </cell>
          <cell r="AK723">
            <v>0</v>
          </cell>
          <cell r="AL723">
            <v>0</v>
          </cell>
          <cell r="AO723">
            <v>5.7600000000000004E-3</v>
          </cell>
          <cell r="AP723">
            <v>95.76</v>
          </cell>
          <cell r="AS723">
            <v>0</v>
          </cell>
          <cell r="AT723">
            <v>0</v>
          </cell>
          <cell r="AU723">
            <v>1.512E-2</v>
          </cell>
          <cell r="AV723">
            <v>247.71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4.8000000000000001E-4</v>
          </cell>
          <cell r="BL723">
            <v>7.98</v>
          </cell>
          <cell r="BM723">
            <v>7.2000000000000005E-4</v>
          </cell>
          <cell r="BN723">
            <v>11.97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1.1999999999999999E-3</v>
          </cell>
          <cell r="BT723">
            <v>19.95</v>
          </cell>
          <cell r="BU723">
            <v>0</v>
          </cell>
          <cell r="BV723">
            <v>0</v>
          </cell>
          <cell r="BW723">
            <v>2.64E-3</v>
          </cell>
          <cell r="BX723">
            <v>41.12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2.64E-3</v>
          </cell>
          <cell r="CJ723">
            <v>41.12</v>
          </cell>
          <cell r="CK723">
            <v>3.8399999999999997E-3</v>
          </cell>
          <cell r="CL723">
            <v>61.069999999999993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0</v>
          </cell>
          <cell r="CT723">
            <v>0</v>
          </cell>
          <cell r="CU723">
            <v>1.4400000000000001E-3</v>
          </cell>
          <cell r="CV723">
            <v>23.94</v>
          </cell>
          <cell r="CW723">
            <v>0</v>
          </cell>
          <cell r="CX723">
            <v>0</v>
          </cell>
          <cell r="CY723">
            <v>0</v>
          </cell>
          <cell r="CZ723">
            <v>0</v>
          </cell>
          <cell r="DA723">
            <v>1.4400000000000001E-3</v>
          </cell>
          <cell r="DB723">
            <v>23.94</v>
          </cell>
          <cell r="DC723">
            <v>2.3999999999999998E-3</v>
          </cell>
          <cell r="DD723">
            <v>39.01</v>
          </cell>
          <cell r="DE723">
            <v>3.8399999999999997E-3</v>
          </cell>
          <cell r="DF723">
            <v>62.95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1.4400000000000001E-3</v>
          </cell>
          <cell r="DR723">
            <v>23.94</v>
          </cell>
          <cell r="DS723">
            <v>0</v>
          </cell>
          <cell r="DT723">
            <v>0</v>
          </cell>
          <cell r="DU723">
            <v>1.4400000000000001E-3</v>
          </cell>
          <cell r="DV723">
            <v>23.94</v>
          </cell>
          <cell r="DW723">
            <v>1.4880000000000001E-2</v>
          </cell>
          <cell r="DX723">
            <v>243.71999999999997</v>
          </cell>
          <cell r="DY723" t="str">
            <v/>
          </cell>
          <cell r="DZ723">
            <v>0</v>
          </cell>
          <cell r="EA723">
            <v>16379.032258064513</v>
          </cell>
        </row>
        <row r="724">
          <cell r="B724">
            <v>363147</v>
          </cell>
          <cell r="C724" t="str">
            <v>თევზის კონს.ქაშაყი_SUPER FISH_ზეთში_240გ*48</v>
          </cell>
          <cell r="D724" t="str">
            <v>TON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2.4000000000000001E-4</v>
          </cell>
          <cell r="AF724">
            <v>3.81</v>
          </cell>
          <cell r="AG724">
            <v>0</v>
          </cell>
          <cell r="AH724">
            <v>0</v>
          </cell>
          <cell r="AI724">
            <v>5.7600000000000004E-3</v>
          </cell>
          <cell r="AJ724">
            <v>102</v>
          </cell>
          <cell r="AK724">
            <v>0</v>
          </cell>
          <cell r="AL724">
            <v>0</v>
          </cell>
          <cell r="AO724">
            <v>6.0000000000000001E-3</v>
          </cell>
          <cell r="AP724">
            <v>105.81</v>
          </cell>
          <cell r="AS724">
            <v>0</v>
          </cell>
          <cell r="AT724">
            <v>0</v>
          </cell>
          <cell r="AU724">
            <v>-1.9439999999999999E-2</v>
          </cell>
          <cell r="AV724">
            <v>-307.08999999999997</v>
          </cell>
          <cell r="AW724">
            <v>0</v>
          </cell>
          <cell r="AX724">
            <v>0</v>
          </cell>
          <cell r="AY724">
            <v>1.1999999999999999E-3</v>
          </cell>
          <cell r="AZ724">
            <v>20.25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1.1999999999999999E-3</v>
          </cell>
          <cell r="BF724">
            <v>20.25</v>
          </cell>
          <cell r="BG724">
            <v>2.8800000000000002E-3</v>
          </cell>
          <cell r="BH724">
            <v>51</v>
          </cell>
          <cell r="BI724">
            <v>-3.5999999999999997E-2</v>
          </cell>
          <cell r="BJ724">
            <v>-595.5</v>
          </cell>
          <cell r="BK724">
            <v>4.8000000000000001E-4</v>
          </cell>
          <cell r="BL724">
            <v>8.5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-3.2640000000000002E-2</v>
          </cell>
          <cell r="BT724">
            <v>-536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-3.2640000000000002E-2</v>
          </cell>
          <cell r="CL724">
            <v>-536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0</v>
          </cell>
          <cell r="CT724">
            <v>0</v>
          </cell>
          <cell r="CU724">
            <v>2.8800000000000002E-3</v>
          </cell>
          <cell r="CV724">
            <v>51</v>
          </cell>
          <cell r="CW724">
            <v>0</v>
          </cell>
          <cell r="CX724">
            <v>0</v>
          </cell>
          <cell r="CY724">
            <v>0</v>
          </cell>
          <cell r="CZ724">
            <v>0</v>
          </cell>
          <cell r="DA724">
            <v>0</v>
          </cell>
          <cell r="DB724">
            <v>0</v>
          </cell>
          <cell r="DC724">
            <v>2.8800000000000002E-3</v>
          </cell>
          <cell r="DD724">
            <v>47.6</v>
          </cell>
          <cell r="DE724">
            <v>2.8800000000000002E-3</v>
          </cell>
          <cell r="DF724">
            <v>47.6</v>
          </cell>
          <cell r="DG724">
            <v>0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1.4400000000000001E-3</v>
          </cell>
          <cell r="DP724">
            <v>25.5</v>
          </cell>
          <cell r="DQ724">
            <v>1.4400000000000001E-3</v>
          </cell>
          <cell r="DR724">
            <v>25.5</v>
          </cell>
          <cell r="DS724">
            <v>0</v>
          </cell>
          <cell r="DT724">
            <v>0</v>
          </cell>
          <cell r="DU724">
            <v>2.8800000000000002E-3</v>
          </cell>
          <cell r="DV724">
            <v>51</v>
          </cell>
          <cell r="DW724">
            <v>-1.9680000000000003E-2</v>
          </cell>
          <cell r="DX724">
            <v>-311.33999999999997</v>
          </cell>
          <cell r="DY724" t="str">
            <v/>
          </cell>
          <cell r="DZ724">
            <v>0</v>
          </cell>
          <cell r="EA724">
            <v>15820.121951219509</v>
          </cell>
        </row>
        <row r="725">
          <cell r="B725">
            <v>363148</v>
          </cell>
          <cell r="C725" t="str">
            <v>თევზის კონს.ქაშაყი_SUPER FISH_ტომატში_240გ*48</v>
          </cell>
          <cell r="D725" t="str">
            <v>TON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O725">
            <v>0</v>
          </cell>
          <cell r="AP725">
            <v>0</v>
          </cell>
          <cell r="AS725">
            <v>0</v>
          </cell>
          <cell r="AT725">
            <v>0</v>
          </cell>
          <cell r="AU725">
            <v>6.96E-3</v>
          </cell>
          <cell r="AV725">
            <v>115.18</v>
          </cell>
          <cell r="AW725">
            <v>0</v>
          </cell>
          <cell r="AX725">
            <v>0</v>
          </cell>
          <cell r="AY725">
            <v>2.8800000000000002E-3</v>
          </cell>
          <cell r="AZ725">
            <v>47.88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2.8800000000000002E-3</v>
          </cell>
          <cell r="BF725">
            <v>47.88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2.3999999999999998E-3</v>
          </cell>
          <cell r="BP725">
            <v>39.9</v>
          </cell>
          <cell r="BQ725">
            <v>0</v>
          </cell>
          <cell r="BR725">
            <v>0</v>
          </cell>
          <cell r="BS725">
            <v>2.3999999999999998E-3</v>
          </cell>
          <cell r="BT725">
            <v>39.9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2.3999999999999998E-3</v>
          </cell>
          <cell r="CL725">
            <v>39.9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1.4400000000000001E-3</v>
          </cell>
          <cell r="DD725">
            <v>23.41</v>
          </cell>
          <cell r="DE725">
            <v>1.4400000000000001E-3</v>
          </cell>
          <cell r="DF725">
            <v>23.41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6.7200000000000003E-3</v>
          </cell>
          <cell r="DX725">
            <v>111.19</v>
          </cell>
          <cell r="DY725" t="str">
            <v/>
          </cell>
          <cell r="DZ725">
            <v>0</v>
          </cell>
          <cell r="EA725">
            <v>16546.13095238095</v>
          </cell>
        </row>
        <row r="726">
          <cell r="B726">
            <v>363149</v>
          </cell>
          <cell r="C726" t="str">
            <v>თევზის კონს.სკუმბრია_SUPER FISH_ზეთში_240გ*48</v>
          </cell>
          <cell r="D726" t="str">
            <v>TON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7.2000000000000005E-4</v>
          </cell>
          <cell r="AL726">
            <v>14.97</v>
          </cell>
          <cell r="AO726">
            <v>7.2000000000000005E-4</v>
          </cell>
          <cell r="AP726">
            <v>14.97</v>
          </cell>
          <cell r="AS726">
            <v>0</v>
          </cell>
          <cell r="AT726">
            <v>0</v>
          </cell>
          <cell r="AU726">
            <v>-1.6320000000000001E-2</v>
          </cell>
          <cell r="AV726">
            <v>-323.45999999999998</v>
          </cell>
          <cell r="AW726">
            <v>0</v>
          </cell>
          <cell r="AX726">
            <v>0</v>
          </cell>
          <cell r="AY726">
            <v>1.1999999999999999E-3</v>
          </cell>
          <cell r="AZ726">
            <v>23.75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1.1999999999999999E-3</v>
          </cell>
          <cell r="BF726">
            <v>23.75</v>
          </cell>
          <cell r="BG726">
            <v>0</v>
          </cell>
          <cell r="BH726">
            <v>0</v>
          </cell>
          <cell r="BI726">
            <v>-2.3519999999999999E-2</v>
          </cell>
          <cell r="BJ726">
            <v>-469.42</v>
          </cell>
          <cell r="BK726">
            <v>1.6800000000000001E-3</v>
          </cell>
          <cell r="BL726">
            <v>33.729999999999997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-2.1839999999999998E-2</v>
          </cell>
          <cell r="BT726">
            <v>-435.69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-2.1839999999999998E-2</v>
          </cell>
          <cell r="CL726">
            <v>-435.69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0</v>
          </cell>
          <cell r="CT726">
            <v>0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0</v>
          </cell>
          <cell r="DA726">
            <v>0</v>
          </cell>
          <cell r="DB726">
            <v>0</v>
          </cell>
          <cell r="DC726">
            <v>3.3600000000000001E-3</v>
          </cell>
          <cell r="DD726">
            <v>68.52</v>
          </cell>
          <cell r="DE726">
            <v>3.3600000000000001E-3</v>
          </cell>
          <cell r="DF726">
            <v>68.52</v>
          </cell>
          <cell r="DG726">
            <v>0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-1.6559999999999998E-2</v>
          </cell>
          <cell r="DX726">
            <v>-328.45</v>
          </cell>
          <cell r="DY726" t="str">
            <v/>
          </cell>
          <cell r="DZ726">
            <v>0</v>
          </cell>
          <cell r="EA726">
            <v>19833.937198067633</v>
          </cell>
        </row>
        <row r="727">
          <cell r="B727">
            <v>363157</v>
          </cell>
          <cell r="C727" t="str">
            <v>თევზის კონს.სკუმბრია_SUPER FISH_ტომატში_240გ*48</v>
          </cell>
          <cell r="D727" t="str">
            <v>TON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1.1520000000000001E-2</v>
          </cell>
          <cell r="AJ727">
            <v>228</v>
          </cell>
          <cell r="AK727">
            <v>7.2000000000000005E-4</v>
          </cell>
          <cell r="AL727">
            <v>14.25</v>
          </cell>
          <cell r="AO727">
            <v>1.2240000000000001E-2</v>
          </cell>
          <cell r="AP727">
            <v>242.25</v>
          </cell>
          <cell r="AS727">
            <v>0</v>
          </cell>
          <cell r="AT727">
            <v>0</v>
          </cell>
          <cell r="AU727">
            <v>2.0639999999999999E-2</v>
          </cell>
          <cell r="AV727">
            <v>405.34</v>
          </cell>
          <cell r="AW727">
            <v>0</v>
          </cell>
          <cell r="AX727">
            <v>0</v>
          </cell>
          <cell r="AY727">
            <v>1.1999999999999999E-3</v>
          </cell>
          <cell r="AZ727">
            <v>22.6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1.1999999999999999E-3</v>
          </cell>
          <cell r="BF727">
            <v>22.6</v>
          </cell>
          <cell r="BG727">
            <v>1.1999999999999999E-3</v>
          </cell>
          <cell r="BH727">
            <v>23.75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1.1999999999999999E-3</v>
          </cell>
          <cell r="BT727">
            <v>23.75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1.1999999999999999E-3</v>
          </cell>
          <cell r="CL727">
            <v>23.75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0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0</v>
          </cell>
          <cell r="DA727">
            <v>0</v>
          </cell>
          <cell r="DB727">
            <v>0</v>
          </cell>
          <cell r="DC727">
            <v>5.7600000000000004E-3</v>
          </cell>
          <cell r="DD727">
            <v>111.99</v>
          </cell>
          <cell r="DE727">
            <v>5.7600000000000004E-3</v>
          </cell>
          <cell r="DF727">
            <v>111.99</v>
          </cell>
          <cell r="DG727">
            <v>0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2.0400000000000001E-2</v>
          </cell>
          <cell r="DX727">
            <v>400.59000000000003</v>
          </cell>
          <cell r="DY727" t="str">
            <v/>
          </cell>
          <cell r="DZ727">
            <v>0</v>
          </cell>
          <cell r="EA727">
            <v>19636.764705882353</v>
          </cell>
        </row>
        <row r="728">
          <cell r="B728">
            <v>363158</v>
          </cell>
          <cell r="C728" t="str">
            <v>თევზის კონს.ქაფშია_SUPER FISH_ზეთში_240გ*48</v>
          </cell>
          <cell r="D728" t="str">
            <v>TON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3.5999999999999999E-3</v>
          </cell>
          <cell r="AL728">
            <v>45</v>
          </cell>
          <cell r="AO728">
            <v>3.5999999999999999E-3</v>
          </cell>
          <cell r="AP728">
            <v>45</v>
          </cell>
          <cell r="AS728">
            <v>0</v>
          </cell>
          <cell r="AT728">
            <v>0</v>
          </cell>
          <cell r="AU728">
            <v>2.4E-2</v>
          </cell>
          <cell r="AV728">
            <v>306.98</v>
          </cell>
          <cell r="AW728">
            <v>0</v>
          </cell>
          <cell r="AX728">
            <v>0</v>
          </cell>
          <cell r="AY728">
            <v>1.1999999999999999E-3</v>
          </cell>
          <cell r="AZ728">
            <v>14.85</v>
          </cell>
          <cell r="BA728">
            <v>0</v>
          </cell>
          <cell r="BB728">
            <v>0</v>
          </cell>
          <cell r="BC728">
            <v>1.1999999999999999E-3</v>
          </cell>
          <cell r="BD728">
            <v>15.6</v>
          </cell>
          <cell r="BE728">
            <v>2.3999999999999998E-3</v>
          </cell>
          <cell r="BF728">
            <v>30.45</v>
          </cell>
          <cell r="BG728">
            <v>1.1999999999999999E-3</v>
          </cell>
          <cell r="BH728">
            <v>15.6</v>
          </cell>
          <cell r="BI728">
            <v>0</v>
          </cell>
          <cell r="BJ728">
            <v>0</v>
          </cell>
          <cell r="BK728">
            <v>4.8000000000000001E-4</v>
          </cell>
          <cell r="BL728">
            <v>6.24</v>
          </cell>
          <cell r="BM728">
            <v>2.3999999999999998E-3</v>
          </cell>
          <cell r="BN728">
            <v>31.2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4.0800000000000003E-3</v>
          </cell>
          <cell r="BT728">
            <v>53.04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4.0800000000000003E-3</v>
          </cell>
          <cell r="CL728">
            <v>53.04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0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8.6400000000000001E-3</v>
          </cell>
          <cell r="CZ728">
            <v>112.32</v>
          </cell>
          <cell r="DA728">
            <v>0</v>
          </cell>
          <cell r="DB728">
            <v>0</v>
          </cell>
          <cell r="DC728">
            <v>5.0400000000000002E-3</v>
          </cell>
          <cell r="DD728">
            <v>63.05</v>
          </cell>
          <cell r="DE728">
            <v>1.3680000000000001E-2</v>
          </cell>
          <cell r="DF728">
            <v>175.37</v>
          </cell>
          <cell r="DG728">
            <v>0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2.376E-2</v>
          </cell>
          <cell r="DX728">
            <v>303.86</v>
          </cell>
          <cell r="DY728" t="str">
            <v/>
          </cell>
          <cell r="DZ728">
            <v>0</v>
          </cell>
          <cell r="EA728">
            <v>12788.720538720539</v>
          </cell>
        </row>
        <row r="729">
          <cell r="B729">
            <v>373630</v>
          </cell>
          <cell r="C729" t="str">
            <v>თევზის კონს.ქაშაყი_SUPER FISH_საკუთარ წვენში_240გ*</v>
          </cell>
          <cell r="D729" t="str">
            <v>TON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O729">
            <v>0</v>
          </cell>
          <cell r="AP729">
            <v>0</v>
          </cell>
          <cell r="AS729">
            <v>0</v>
          </cell>
          <cell r="AT729">
            <v>0</v>
          </cell>
          <cell r="AU729">
            <v>9.5999999999999905E-4</v>
          </cell>
          <cell r="AV729">
            <v>34.01</v>
          </cell>
          <cell r="AW729">
            <v>0</v>
          </cell>
          <cell r="AX729">
            <v>0</v>
          </cell>
          <cell r="AY729">
            <v>5.5199999999999997E-3</v>
          </cell>
          <cell r="AZ729">
            <v>90.82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5.5199999999999997E-3</v>
          </cell>
          <cell r="BF729">
            <v>90.82</v>
          </cell>
          <cell r="BG729">
            <v>0</v>
          </cell>
          <cell r="BH729">
            <v>0</v>
          </cell>
          <cell r="BI729">
            <v>-1.0800000000000001E-2</v>
          </cell>
          <cell r="BJ729">
            <v>-159.75</v>
          </cell>
          <cell r="BK729">
            <v>4.8000000000000001E-4</v>
          </cell>
          <cell r="BL729">
            <v>7.98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-1.0319999999999999E-2</v>
          </cell>
          <cell r="BT729">
            <v>-151.77000000000001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-1.0319999999999999E-2</v>
          </cell>
          <cell r="CL729">
            <v>-151.77000000000001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9.6000000000000002E-4</v>
          </cell>
          <cell r="CV729">
            <v>15.96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2.3999999999999998E-3</v>
          </cell>
          <cell r="DB729">
            <v>39.9</v>
          </cell>
          <cell r="DC729">
            <v>2.16E-3</v>
          </cell>
          <cell r="DD729">
            <v>35.11</v>
          </cell>
          <cell r="DE729">
            <v>4.5599999999999998E-3</v>
          </cell>
          <cell r="DF729">
            <v>75.009999999999991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9.6000000000000002E-4</v>
          </cell>
          <cell r="DR729">
            <v>15.96</v>
          </cell>
          <cell r="DS729">
            <v>0</v>
          </cell>
          <cell r="DT729">
            <v>0</v>
          </cell>
          <cell r="DU729">
            <v>9.6000000000000002E-4</v>
          </cell>
          <cell r="DV729">
            <v>15.96</v>
          </cell>
          <cell r="DW729">
            <v>7.2000000000000015E-4</v>
          </cell>
          <cell r="DX729">
            <v>30.019999999999982</v>
          </cell>
          <cell r="DY729" t="str">
            <v/>
          </cell>
          <cell r="DZ729">
            <v>0</v>
          </cell>
          <cell r="EA729">
            <v>41694.444444444409</v>
          </cell>
        </row>
        <row r="730">
          <cell r="B730">
            <v>373631</v>
          </cell>
          <cell r="C730" t="str">
            <v>თევზის კონს.შებოლილი ქაფშია_SUPER FISH_ზეთში_240გ*</v>
          </cell>
          <cell r="D730" t="str">
            <v>TON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O730">
            <v>0</v>
          </cell>
          <cell r="AP730">
            <v>0</v>
          </cell>
          <cell r="AS730">
            <v>0</v>
          </cell>
          <cell r="AT730">
            <v>0</v>
          </cell>
          <cell r="AU730">
            <v>1.176E-2</v>
          </cell>
          <cell r="AV730">
            <v>249.22</v>
          </cell>
          <cell r="AW730">
            <v>0</v>
          </cell>
          <cell r="AX730">
            <v>0</v>
          </cell>
          <cell r="AY730">
            <v>1.1999999999999999E-3</v>
          </cell>
          <cell r="AZ730">
            <v>25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1.1999999999999999E-3</v>
          </cell>
          <cell r="BF730">
            <v>25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4.8000000000000001E-4</v>
          </cell>
          <cell r="BL730">
            <v>10.5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4.8000000000000001E-4</v>
          </cell>
          <cell r="BT730">
            <v>10.5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4.8000000000000001E-4</v>
          </cell>
          <cell r="CL730">
            <v>10.5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9.3600000000000003E-3</v>
          </cell>
          <cell r="DD730">
            <v>197.97</v>
          </cell>
          <cell r="DE730">
            <v>9.3600000000000003E-3</v>
          </cell>
          <cell r="DF730">
            <v>197.97</v>
          </cell>
          <cell r="DG730">
            <v>0</v>
          </cell>
          <cell r="DH730">
            <v>0</v>
          </cell>
          <cell r="DI730">
            <v>4.8000000000000001E-4</v>
          </cell>
          <cell r="DJ730">
            <v>10.5</v>
          </cell>
          <cell r="DK730">
            <v>0</v>
          </cell>
          <cell r="DL730">
            <v>0</v>
          </cell>
          <cell r="DM730">
            <v>4.8000000000000001E-4</v>
          </cell>
          <cell r="DN730">
            <v>10.5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1.1519999999999999E-2</v>
          </cell>
          <cell r="DX730">
            <v>243.97</v>
          </cell>
          <cell r="DY730" t="str">
            <v/>
          </cell>
          <cell r="DZ730">
            <v>0</v>
          </cell>
          <cell r="EA730">
            <v>21177.951388888891</v>
          </cell>
        </row>
        <row r="731">
          <cell r="B731">
            <v>310302</v>
          </cell>
          <cell r="C731" t="str">
            <v>თევზის კონს_ქარსალა_ზეთში_150გ*24</v>
          </cell>
          <cell r="D731" t="str">
            <v>TON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O731">
            <v>0</v>
          </cell>
          <cell r="AP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0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0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  <cell r="DX731">
            <v>0</v>
          </cell>
          <cell r="DY731" t="str">
            <v/>
          </cell>
          <cell r="DZ731" t="str">
            <v>pasiv</v>
          </cell>
          <cell r="EA731" t="e">
            <v>#DIV/0!</v>
          </cell>
        </row>
        <row r="732">
          <cell r="B732">
            <v>140137</v>
          </cell>
          <cell r="C732" t="str">
            <v>საქ.ხ.კონს.სელსკოე(0.525*24)</v>
          </cell>
          <cell r="D732" t="str">
            <v>TON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O732">
            <v>0</v>
          </cell>
          <cell r="AP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0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0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0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  <cell r="DX732">
            <v>0</v>
          </cell>
          <cell r="DY732" t="str">
            <v/>
          </cell>
          <cell r="DZ732" t="str">
            <v>pasiv</v>
          </cell>
          <cell r="EA732" t="e">
            <v>#DIV/0!</v>
          </cell>
        </row>
        <row r="733">
          <cell r="B733">
            <v>279974</v>
          </cell>
          <cell r="C733" t="str">
            <v>კონს.გუსარსკაია ბაგატირსკაია_საქ.ხორცით_325გრ*36</v>
          </cell>
          <cell r="D733" t="str">
            <v>TON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O733">
            <v>0</v>
          </cell>
          <cell r="AP733">
            <v>0</v>
          </cell>
          <cell r="AS733">
            <v>0</v>
          </cell>
          <cell r="AT733">
            <v>0</v>
          </cell>
          <cell r="AU733">
            <v>8.1250000000000003E-3</v>
          </cell>
          <cell r="AV733">
            <v>132.35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7.7999999999999996E-3</v>
          </cell>
          <cell r="BH733">
            <v>115.92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9.7499999999999996E-4</v>
          </cell>
          <cell r="BP733">
            <v>14.49</v>
          </cell>
          <cell r="BQ733">
            <v>0</v>
          </cell>
          <cell r="BR733">
            <v>0</v>
          </cell>
          <cell r="BS733">
            <v>8.7749999999999998E-3</v>
          </cell>
          <cell r="BT733">
            <v>130.41</v>
          </cell>
          <cell r="BU733">
            <v>0</v>
          </cell>
          <cell r="BV733">
            <v>0</v>
          </cell>
          <cell r="BW733">
            <v>1.6249999999999999E-3</v>
          </cell>
          <cell r="BX733">
            <v>22.31</v>
          </cell>
          <cell r="BY733">
            <v>9.7499999999999996E-4</v>
          </cell>
          <cell r="BZ733">
            <v>14.49</v>
          </cell>
          <cell r="CA733">
            <v>3.8999999999999998E-3</v>
          </cell>
          <cell r="CB733">
            <v>57.96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6.4999999999999997E-3</v>
          </cell>
          <cell r="CJ733">
            <v>94.76</v>
          </cell>
          <cell r="CK733">
            <v>1.5275E-2</v>
          </cell>
          <cell r="CL733">
            <v>225.17000000000002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1.9499999999999999E-3</v>
          </cell>
          <cell r="CV733">
            <v>28.98</v>
          </cell>
          <cell r="CW733">
            <v>0</v>
          </cell>
          <cell r="CX733">
            <v>0</v>
          </cell>
          <cell r="CY733">
            <v>-9.1000000000000004E-3</v>
          </cell>
          <cell r="CZ733">
            <v>-121.8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-9.1000000000000004E-3</v>
          </cell>
          <cell r="DF733">
            <v>-121.8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6.4999999999999997E-4</v>
          </cell>
          <cell r="DP733">
            <v>9.66</v>
          </cell>
          <cell r="DQ733">
            <v>1.2999999999999999E-3</v>
          </cell>
          <cell r="DR733">
            <v>19.32</v>
          </cell>
          <cell r="DS733">
            <v>0</v>
          </cell>
          <cell r="DT733">
            <v>0</v>
          </cell>
          <cell r="DU733">
            <v>1.9499999999999999E-3</v>
          </cell>
          <cell r="DV733">
            <v>28.98</v>
          </cell>
          <cell r="DW733">
            <v>8.1250000000000003E-3</v>
          </cell>
          <cell r="DX733">
            <v>132.35000000000002</v>
          </cell>
          <cell r="DY733" t="str">
            <v/>
          </cell>
          <cell r="DZ733">
            <v>0</v>
          </cell>
          <cell r="EA733">
            <v>16289.230769230771</v>
          </cell>
        </row>
        <row r="734">
          <cell r="B734">
            <v>213694</v>
          </cell>
          <cell r="C734" t="str">
            <v>KILKA_TOMAT SOUSUNDA_240 GR*48_UKR</v>
          </cell>
          <cell r="D734" t="str">
            <v>TON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O734">
            <v>0</v>
          </cell>
          <cell r="AP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  <cell r="DX734">
            <v>0</v>
          </cell>
          <cell r="DY734" t="str">
            <v/>
          </cell>
          <cell r="DZ734" t="str">
            <v>pasiv</v>
          </cell>
          <cell r="EA734" t="e">
            <v>#DIV/0!</v>
          </cell>
        </row>
        <row r="735">
          <cell r="B735">
            <v>299946</v>
          </cell>
          <cell r="C735" t="str">
            <v>თევზის კონს_ქარსალა_ზეთში_150გ*12</v>
          </cell>
          <cell r="D735" t="str">
            <v>TON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O735">
            <v>0</v>
          </cell>
          <cell r="AP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0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0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0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  <cell r="DX735">
            <v>0</v>
          </cell>
          <cell r="DY735" t="str">
            <v/>
          </cell>
          <cell r="DZ735" t="str">
            <v>pasiv</v>
          </cell>
          <cell r="EA735" t="e">
            <v>#DIV/0!</v>
          </cell>
        </row>
        <row r="736">
          <cell r="B736">
            <v>299945</v>
          </cell>
          <cell r="C736" t="str">
            <v>თევზის კონს_ქაფშია შავი ზღვის_ტ/ს-240გ*24_მთელი</v>
          </cell>
          <cell r="D736" t="str">
            <v>TON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4.5599999999999998E-3</v>
          </cell>
          <cell r="AD736">
            <v>52.82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5.0400000000000002E-3</v>
          </cell>
          <cell r="AL736">
            <v>57.6</v>
          </cell>
          <cell r="AO736">
            <v>9.6000000000000009E-3</v>
          </cell>
          <cell r="AP736">
            <v>110.42</v>
          </cell>
          <cell r="AS736">
            <v>0</v>
          </cell>
          <cell r="AT736">
            <v>0</v>
          </cell>
          <cell r="AU736">
            <v>2.7119999999999998E-2</v>
          </cell>
          <cell r="AV736">
            <v>300.3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1.1999999999999999E-3</v>
          </cell>
          <cell r="BJ736">
            <v>12.85</v>
          </cell>
          <cell r="BK736">
            <v>9.6000000000000002E-4</v>
          </cell>
          <cell r="BL736">
            <v>11.12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2.16E-3</v>
          </cell>
          <cell r="BT736">
            <v>23.97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2.16E-3</v>
          </cell>
          <cell r="CL736">
            <v>23.97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4.8000000000000001E-4</v>
          </cell>
          <cell r="CV736">
            <v>5.56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7.4400000000000004E-3</v>
          </cell>
          <cell r="DD736">
            <v>79.2</v>
          </cell>
          <cell r="DE736">
            <v>7.4400000000000004E-3</v>
          </cell>
          <cell r="DF736">
            <v>79.2</v>
          </cell>
          <cell r="DG736">
            <v>5.7600000000000004E-3</v>
          </cell>
          <cell r="DH736">
            <v>61.69</v>
          </cell>
          <cell r="DI736">
            <v>9.6000000000000002E-4</v>
          </cell>
          <cell r="DJ736">
            <v>11.12</v>
          </cell>
          <cell r="DK736">
            <v>7.2000000000000005E-4</v>
          </cell>
          <cell r="DL736">
            <v>8.34</v>
          </cell>
          <cell r="DM736">
            <v>7.4400000000000004E-3</v>
          </cell>
          <cell r="DN736">
            <v>81.150000000000006</v>
          </cell>
          <cell r="DO736">
            <v>0</v>
          </cell>
          <cell r="DP736">
            <v>0</v>
          </cell>
          <cell r="DQ736">
            <v>4.8000000000000001E-4</v>
          </cell>
          <cell r="DR736">
            <v>5.56</v>
          </cell>
          <cell r="DS736">
            <v>0</v>
          </cell>
          <cell r="DT736">
            <v>0</v>
          </cell>
          <cell r="DU736">
            <v>4.8000000000000001E-4</v>
          </cell>
          <cell r="DV736">
            <v>5.56</v>
          </cell>
          <cell r="DW736">
            <v>2.7120000000000002E-2</v>
          </cell>
          <cell r="DX736">
            <v>300.3</v>
          </cell>
          <cell r="DY736" t="str">
            <v/>
          </cell>
          <cell r="DZ736">
            <v>0</v>
          </cell>
          <cell r="EA736">
            <v>11073.008849557522</v>
          </cell>
        </row>
        <row r="737">
          <cell r="B737">
            <v>34209</v>
          </cell>
          <cell r="C737" t="str">
            <v>SUPER SUN MAL ETI KONSERVI_280 GR*24_ALUMINYUM</v>
          </cell>
          <cell r="D737" t="str">
            <v>TON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O737">
            <v>0</v>
          </cell>
          <cell r="AP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O737">
            <v>0</v>
          </cell>
          <cell r="CP737">
            <v>0</v>
          </cell>
          <cell r="CQ737">
            <v>0</v>
          </cell>
          <cell r="CR737">
            <v>0</v>
          </cell>
          <cell r="CS737">
            <v>0</v>
          </cell>
          <cell r="CT737">
            <v>0</v>
          </cell>
          <cell r="CU737">
            <v>0</v>
          </cell>
          <cell r="CV737">
            <v>0</v>
          </cell>
          <cell r="CW737">
            <v>0</v>
          </cell>
          <cell r="CX737">
            <v>0</v>
          </cell>
          <cell r="CY737">
            <v>0</v>
          </cell>
          <cell r="CZ737">
            <v>0</v>
          </cell>
          <cell r="DA737">
            <v>0</v>
          </cell>
          <cell r="DB737">
            <v>0</v>
          </cell>
          <cell r="DC737">
            <v>0</v>
          </cell>
          <cell r="DD737">
            <v>0</v>
          </cell>
          <cell r="DE737">
            <v>0</v>
          </cell>
          <cell r="DF737">
            <v>0</v>
          </cell>
          <cell r="DG737">
            <v>0</v>
          </cell>
          <cell r="DH737">
            <v>0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  <cell r="DX737">
            <v>0</v>
          </cell>
          <cell r="DY737" t="str">
            <v/>
          </cell>
          <cell r="DZ737" t="str">
            <v>pasiv</v>
          </cell>
          <cell r="EA737" t="e">
            <v>#DIV/0!</v>
          </cell>
        </row>
        <row r="738">
          <cell r="B738">
            <v>0</v>
          </cell>
          <cell r="C738" t="str">
            <v>DIGER KONSERVI</v>
          </cell>
          <cell r="D738" t="str">
            <v>TON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8.0640000000000003E-2</v>
          </cell>
          <cell r="R738">
            <v>826.56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8.0640000000000003E-2</v>
          </cell>
          <cell r="Z738">
            <v>826.56</v>
          </cell>
          <cell r="AA738">
            <v>0</v>
          </cell>
          <cell r="AB738">
            <v>0</v>
          </cell>
          <cell r="AC738">
            <v>4.5599999999999998E-3</v>
          </cell>
          <cell r="AD738">
            <v>52.82</v>
          </cell>
          <cell r="AE738">
            <v>2.4000000000000001E-4</v>
          </cell>
          <cell r="AF738">
            <v>3.81</v>
          </cell>
          <cell r="AG738">
            <v>1.9599999999999999E-3</v>
          </cell>
          <cell r="AH738">
            <v>34.799999999999997</v>
          </cell>
          <cell r="AI738">
            <v>2.3040000000000001E-2</v>
          </cell>
          <cell r="AJ738">
            <v>425.76</v>
          </cell>
          <cell r="AK738">
            <v>1.2959999999999999E-2</v>
          </cell>
          <cell r="AL738">
            <v>163.85999999999999</v>
          </cell>
          <cell r="AO738">
            <v>4.2759999999999999E-2</v>
          </cell>
          <cell r="AP738">
            <v>681.05000000000007</v>
          </cell>
          <cell r="AS738">
            <v>0</v>
          </cell>
          <cell r="AT738">
            <v>0</v>
          </cell>
          <cell r="AU738">
            <v>0.32177499999999992</v>
          </cell>
          <cell r="AV738">
            <v>4352.8599999999997</v>
          </cell>
          <cell r="AW738">
            <v>0</v>
          </cell>
          <cell r="AX738">
            <v>0</v>
          </cell>
          <cell r="AY738">
            <v>1.44E-2</v>
          </cell>
          <cell r="AZ738">
            <v>245.14999999999998</v>
          </cell>
          <cell r="BA738">
            <v>0</v>
          </cell>
          <cell r="BB738">
            <v>0</v>
          </cell>
          <cell r="BC738">
            <v>1.061E-2</v>
          </cell>
          <cell r="BD738">
            <v>152.04999999999998</v>
          </cell>
          <cell r="BE738">
            <v>2.5010000000000001E-2</v>
          </cell>
          <cell r="BF738">
            <v>397.2</v>
          </cell>
          <cell r="BG738">
            <v>1.8959999999999998E-2</v>
          </cell>
          <cell r="BH738">
            <v>310.67</v>
          </cell>
          <cell r="BI738">
            <v>-7.916999999999999E-2</v>
          </cell>
          <cell r="BJ738">
            <v>-1380.66</v>
          </cell>
          <cell r="BK738">
            <v>2.0160000000000004E-2</v>
          </cell>
          <cell r="BL738">
            <v>340.33000000000004</v>
          </cell>
          <cell r="BM738">
            <v>1.4749999999999999E-2</v>
          </cell>
          <cell r="BN738">
            <v>211.67</v>
          </cell>
          <cell r="BO738">
            <v>5.7749999999999998E-3</v>
          </cell>
          <cell r="BP738">
            <v>82.39</v>
          </cell>
          <cell r="BQ738">
            <v>0</v>
          </cell>
          <cell r="BR738">
            <v>0</v>
          </cell>
          <cell r="BS738">
            <v>-1.9525000000000004E-2</v>
          </cell>
          <cell r="BT738">
            <v>-435.60000000000014</v>
          </cell>
          <cell r="BU738">
            <v>1.47E-3</v>
          </cell>
          <cell r="BV738">
            <v>24.12</v>
          </cell>
          <cell r="BW738">
            <v>8.8649999999999996E-3</v>
          </cell>
          <cell r="BX738">
            <v>139.42000000000002</v>
          </cell>
          <cell r="BY738">
            <v>9.7499999999999996E-4</v>
          </cell>
          <cell r="BZ738">
            <v>14.49</v>
          </cell>
          <cell r="CA738">
            <v>6.8399999999999997E-3</v>
          </cell>
          <cell r="CB738">
            <v>110.16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1.8149999999999999E-2</v>
          </cell>
          <cell r="CJ738">
            <v>288.19</v>
          </cell>
          <cell r="CK738">
            <v>-1.3749999999999965E-3</v>
          </cell>
          <cell r="CL738">
            <v>-147.40999999999994</v>
          </cell>
          <cell r="CO738">
            <v>0</v>
          </cell>
          <cell r="CP738">
            <v>0</v>
          </cell>
          <cell r="CQ738">
            <v>0</v>
          </cell>
          <cell r="CR738">
            <v>0</v>
          </cell>
          <cell r="CS738">
            <v>0</v>
          </cell>
          <cell r="CT738">
            <v>0</v>
          </cell>
          <cell r="CU738">
            <v>5.5350000000000003E-2</v>
          </cell>
          <cell r="CV738">
            <v>834.69</v>
          </cell>
          <cell r="CW738">
            <v>0</v>
          </cell>
          <cell r="CX738">
            <v>0</v>
          </cell>
          <cell r="CY738">
            <v>1.3940000000000001E-2</v>
          </cell>
          <cell r="CZ738">
            <v>228.11999999999995</v>
          </cell>
          <cell r="DA738">
            <v>1.4249999999999999E-2</v>
          </cell>
          <cell r="DB738">
            <v>216.49</v>
          </cell>
          <cell r="DC738">
            <v>6.3120000000000009E-2</v>
          </cell>
          <cell r="DD738">
            <v>976.22</v>
          </cell>
          <cell r="DE738">
            <v>9.1310000000000002E-2</v>
          </cell>
          <cell r="DF738">
            <v>1420.8300000000002</v>
          </cell>
          <cell r="DG738">
            <v>1.1520000000000001E-2</v>
          </cell>
          <cell r="DH738">
            <v>121.87</v>
          </cell>
          <cell r="DI738">
            <v>4.8000000000000004E-3</v>
          </cell>
          <cell r="DJ738">
            <v>76.94</v>
          </cell>
          <cell r="DK738">
            <v>9.3600000000000003E-3</v>
          </cell>
          <cell r="DL738">
            <v>99.75</v>
          </cell>
          <cell r="DM738">
            <v>2.5680000000000001E-2</v>
          </cell>
          <cell r="DN738">
            <v>298.56</v>
          </cell>
          <cell r="DO738">
            <v>2.9570000000000006E-2</v>
          </cell>
          <cell r="DP738">
            <v>429.04</v>
          </cell>
          <cell r="DQ738">
            <v>5.6200000000000009E-3</v>
          </cell>
          <cell r="DR738">
            <v>90.28</v>
          </cell>
          <cell r="DS738">
            <v>2.0160000000000001E-2</v>
          </cell>
          <cell r="DT738">
            <v>315.37</v>
          </cell>
          <cell r="DU738">
            <v>5.5350000000000003E-2</v>
          </cell>
          <cell r="DV738">
            <v>834.69</v>
          </cell>
          <cell r="DW738">
            <v>0.31937499999999991</v>
          </cell>
          <cell r="DX738">
            <v>4311.4799999999996</v>
          </cell>
          <cell r="DY738" t="str">
            <v/>
          </cell>
          <cell r="DZ738">
            <v>0</v>
          </cell>
          <cell r="EA738">
            <v>13499.741682974562</v>
          </cell>
        </row>
        <row r="739">
          <cell r="B739">
            <v>0</v>
          </cell>
          <cell r="C739" t="str">
            <v>TUSHONKA TOPLAMI</v>
          </cell>
          <cell r="D739" t="str">
            <v>TON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5.8799999999999998E-3</v>
          </cell>
          <cell r="T739">
            <v>134.21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5.8799999999999998E-3</v>
          </cell>
          <cell r="Z739">
            <v>134.21</v>
          </cell>
          <cell r="AA739">
            <v>0</v>
          </cell>
          <cell r="AB739">
            <v>0</v>
          </cell>
          <cell r="AC739">
            <v>1.04E-2</v>
          </cell>
          <cell r="AD739">
            <v>184.96</v>
          </cell>
          <cell r="AE739">
            <v>6.4999999999999997E-4</v>
          </cell>
          <cell r="AF739">
            <v>14.85</v>
          </cell>
          <cell r="AG739">
            <v>2.9350000000000001E-3</v>
          </cell>
          <cell r="AH739">
            <v>66.260000000000005</v>
          </cell>
          <cell r="AI739">
            <v>9.4249999999999994E-3</v>
          </cell>
          <cell r="AJ739">
            <v>169.66</v>
          </cell>
          <cell r="AK739">
            <v>1.2025000000000001E-2</v>
          </cell>
          <cell r="AL739">
            <v>216.92000000000002</v>
          </cell>
          <cell r="AO739">
            <v>3.5435000000000001E-2</v>
          </cell>
          <cell r="AP739">
            <v>652.65000000000009</v>
          </cell>
          <cell r="AS739">
            <v>0</v>
          </cell>
          <cell r="AT739">
            <v>0</v>
          </cell>
          <cell r="AU739">
            <v>0.20905499999999999</v>
          </cell>
          <cell r="AV739">
            <v>4096.3099999999995</v>
          </cell>
          <cell r="AW739">
            <v>0</v>
          </cell>
          <cell r="AX739">
            <v>0</v>
          </cell>
          <cell r="AY739">
            <v>8.4650000000000003E-3</v>
          </cell>
          <cell r="AZ739">
            <v>145.52000000000001</v>
          </cell>
          <cell r="BA739">
            <v>0</v>
          </cell>
          <cell r="BB739">
            <v>0</v>
          </cell>
          <cell r="BC739">
            <v>2.5999999999999999E-3</v>
          </cell>
          <cell r="BD739">
            <v>43.57</v>
          </cell>
          <cell r="BE739">
            <v>1.1065E-2</v>
          </cell>
          <cell r="BF739">
            <v>189.09</v>
          </cell>
          <cell r="BG739">
            <v>3.8999999999999998E-3</v>
          </cell>
          <cell r="BH739">
            <v>75.48</v>
          </cell>
          <cell r="BI739">
            <v>1.17E-2</v>
          </cell>
          <cell r="BJ739">
            <v>298.8</v>
          </cell>
          <cell r="BK739">
            <v>6.5100000000000002E-3</v>
          </cell>
          <cell r="BL739">
            <v>129.84</v>
          </cell>
          <cell r="BM739">
            <v>6.0199999999999993E-3</v>
          </cell>
          <cell r="BN739">
            <v>111.13</v>
          </cell>
          <cell r="BO739">
            <v>2.2750000000000001E-3</v>
          </cell>
          <cell r="BP739">
            <v>40.46</v>
          </cell>
          <cell r="BQ739">
            <v>0</v>
          </cell>
          <cell r="BR739">
            <v>0</v>
          </cell>
          <cell r="BS739">
            <v>3.0405000000000001E-2</v>
          </cell>
          <cell r="BT739">
            <v>655.71</v>
          </cell>
          <cell r="BU739">
            <v>1.9499999999999999E-3</v>
          </cell>
          <cell r="BV739">
            <v>34.86</v>
          </cell>
          <cell r="BW739">
            <v>1.0095E-2</v>
          </cell>
          <cell r="BX739">
            <v>208.51</v>
          </cell>
          <cell r="BY739">
            <v>3.8999999999999998E-3</v>
          </cell>
          <cell r="BZ739">
            <v>89.21</v>
          </cell>
          <cell r="CA739">
            <v>9.7649999999999994E-3</v>
          </cell>
          <cell r="CB739">
            <v>216.00000000000003</v>
          </cell>
          <cell r="CC739">
            <v>2.9250000000000001E-3</v>
          </cell>
          <cell r="CD739">
            <v>52.02</v>
          </cell>
          <cell r="CE739">
            <v>1.4034999999999999E-2</v>
          </cell>
          <cell r="CF739">
            <v>329.71</v>
          </cell>
          <cell r="CG739">
            <v>0</v>
          </cell>
          <cell r="CH739">
            <v>0</v>
          </cell>
          <cell r="CI739">
            <v>4.267E-2</v>
          </cell>
          <cell r="CJ739">
            <v>930.31</v>
          </cell>
          <cell r="CK739">
            <v>7.3075000000000001E-2</v>
          </cell>
          <cell r="CL739">
            <v>1586.02</v>
          </cell>
          <cell r="CO739">
            <v>0</v>
          </cell>
          <cell r="CP739">
            <v>0</v>
          </cell>
          <cell r="CQ739">
            <v>0</v>
          </cell>
          <cell r="CR739">
            <v>0</v>
          </cell>
          <cell r="CS739">
            <v>0</v>
          </cell>
          <cell r="CT739">
            <v>0</v>
          </cell>
          <cell r="CU739">
            <v>1.1715E-2</v>
          </cell>
          <cell r="CV739">
            <v>223.86</v>
          </cell>
          <cell r="CW739">
            <v>0</v>
          </cell>
          <cell r="CX739">
            <v>0</v>
          </cell>
          <cell r="CY739">
            <v>3.4834999999999998E-2</v>
          </cell>
          <cell r="CZ739">
            <v>599.44000000000005</v>
          </cell>
          <cell r="DA739">
            <v>8.7749999999999998E-3</v>
          </cell>
          <cell r="DB739">
            <v>169.83</v>
          </cell>
          <cell r="DC739">
            <v>2.2100000000000002E-2</v>
          </cell>
          <cell r="DD739">
            <v>430.24</v>
          </cell>
          <cell r="DE739">
            <v>6.5709999999999991E-2</v>
          </cell>
          <cell r="DF739">
            <v>1199.51</v>
          </cell>
          <cell r="DG739">
            <v>3.5750000000000001E-3</v>
          </cell>
          <cell r="DH739">
            <v>66.13</v>
          </cell>
          <cell r="DI739">
            <v>3.2499999999999999E-4</v>
          </cell>
          <cell r="DJ739">
            <v>5.78</v>
          </cell>
          <cell r="DK739">
            <v>2.2750000000000001E-3</v>
          </cell>
          <cell r="DL739">
            <v>39.06</v>
          </cell>
          <cell r="DM739">
            <v>6.1749999999999999E-3</v>
          </cell>
          <cell r="DN739">
            <v>110.97</v>
          </cell>
          <cell r="DO739">
            <v>4.8900000000000002E-3</v>
          </cell>
          <cell r="DP739">
            <v>102.47999999999999</v>
          </cell>
          <cell r="DQ739">
            <v>2.9250000000000001E-3</v>
          </cell>
          <cell r="DR739">
            <v>52.02</v>
          </cell>
          <cell r="DS739">
            <v>3.8999999999999998E-3</v>
          </cell>
          <cell r="DT739">
            <v>69.36</v>
          </cell>
          <cell r="DU739">
            <v>1.1715E-2</v>
          </cell>
          <cell r="DV739">
            <v>223.86</v>
          </cell>
          <cell r="DW739">
            <v>0.20905499999999999</v>
          </cell>
          <cell r="DX739">
            <v>4096.3099999999995</v>
          </cell>
          <cell r="DY739" t="str">
            <v/>
          </cell>
          <cell r="DZ739">
            <v>0</v>
          </cell>
          <cell r="EA739">
            <v>19594.412953528976</v>
          </cell>
        </row>
        <row r="740">
          <cell r="A740">
            <v>43</v>
          </cell>
          <cell r="C740" t="str">
            <v>Tushonka ve Balik Koncerve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8.0640000000000003E-2</v>
          </cell>
          <cell r="R740">
            <v>826.56</v>
          </cell>
          <cell r="S740">
            <v>5.8799999999999998E-3</v>
          </cell>
          <cell r="T740">
            <v>134.21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8.652E-2</v>
          </cell>
          <cell r="Z740">
            <v>960.77</v>
          </cell>
          <cell r="AA740">
            <v>0</v>
          </cell>
          <cell r="AB740">
            <v>0</v>
          </cell>
          <cell r="AC740">
            <v>1.4959999999999999E-2</v>
          </cell>
          <cell r="AD740">
            <v>237.78</v>
          </cell>
          <cell r="AE740">
            <v>8.8999999999999995E-4</v>
          </cell>
          <cell r="AF740">
            <v>18.66</v>
          </cell>
          <cell r="AG740">
            <v>4.895E-3</v>
          </cell>
          <cell r="AH740">
            <v>101.06</v>
          </cell>
          <cell r="AI740">
            <v>3.2465000000000001E-2</v>
          </cell>
          <cell r="AJ740">
            <v>595.41999999999996</v>
          </cell>
          <cell r="AK740">
            <v>2.4985E-2</v>
          </cell>
          <cell r="AL740">
            <v>380.78</v>
          </cell>
          <cell r="AO740">
            <v>7.8195000000000001E-2</v>
          </cell>
          <cell r="AP740">
            <v>1333.6999999999998</v>
          </cell>
          <cell r="AS740">
            <v>0</v>
          </cell>
          <cell r="AT740">
            <v>0</v>
          </cell>
          <cell r="AU740">
            <v>0.53082999999999991</v>
          </cell>
          <cell r="AV740">
            <v>8449.1699999999983</v>
          </cell>
          <cell r="AW740">
            <v>0</v>
          </cell>
          <cell r="AX740">
            <v>0</v>
          </cell>
          <cell r="AY740">
            <v>2.2865E-2</v>
          </cell>
          <cell r="AZ740">
            <v>390.66999999999996</v>
          </cell>
          <cell r="BA740">
            <v>0</v>
          </cell>
          <cell r="BB740">
            <v>0</v>
          </cell>
          <cell r="BC740">
            <v>1.321E-2</v>
          </cell>
          <cell r="BD740">
            <v>195.61999999999998</v>
          </cell>
          <cell r="BE740">
            <v>3.6075000000000003E-2</v>
          </cell>
          <cell r="BF740">
            <v>586.29</v>
          </cell>
          <cell r="BG740">
            <v>2.2859999999999998E-2</v>
          </cell>
          <cell r="BH740">
            <v>386.15000000000003</v>
          </cell>
          <cell r="BI740">
            <v>-6.7469999999999988E-2</v>
          </cell>
          <cell r="BJ740">
            <v>-1081.8600000000001</v>
          </cell>
          <cell r="BK740">
            <v>2.6670000000000006E-2</v>
          </cell>
          <cell r="BL740">
            <v>470.17000000000007</v>
          </cell>
          <cell r="BM740">
            <v>2.0769999999999997E-2</v>
          </cell>
          <cell r="BN740">
            <v>322.79999999999995</v>
          </cell>
          <cell r="BO740">
            <v>8.0499999999999999E-3</v>
          </cell>
          <cell r="BP740">
            <v>122.85</v>
          </cell>
          <cell r="BQ740">
            <v>0</v>
          </cell>
          <cell r="BR740">
            <v>0</v>
          </cell>
          <cell r="BS740">
            <v>1.0879999999999997E-2</v>
          </cell>
          <cell r="BT740">
            <v>220.1099999999999</v>
          </cell>
          <cell r="BU740">
            <v>3.4199999999999999E-3</v>
          </cell>
          <cell r="BV740">
            <v>58.980000000000004</v>
          </cell>
          <cell r="BW740">
            <v>1.8959999999999998E-2</v>
          </cell>
          <cell r="BX740">
            <v>347.93</v>
          </cell>
          <cell r="BY740">
            <v>4.875E-3</v>
          </cell>
          <cell r="BZ740">
            <v>103.69999999999999</v>
          </cell>
          <cell r="CA740">
            <v>1.6604999999999998E-2</v>
          </cell>
          <cell r="CB740">
            <v>326.16000000000003</v>
          </cell>
          <cell r="CC740">
            <v>2.9250000000000001E-3</v>
          </cell>
          <cell r="CD740">
            <v>52.02</v>
          </cell>
          <cell r="CE740">
            <v>1.4034999999999999E-2</v>
          </cell>
          <cell r="CF740">
            <v>329.71</v>
          </cell>
          <cell r="CG740">
            <v>0</v>
          </cell>
          <cell r="CH740">
            <v>0</v>
          </cell>
          <cell r="CI740">
            <v>6.0819999999999999E-2</v>
          </cell>
          <cell r="CJ740">
            <v>1218.5</v>
          </cell>
          <cell r="CK740">
            <v>7.17E-2</v>
          </cell>
          <cell r="CL740">
            <v>1438.6100000000001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6.7065E-2</v>
          </cell>
          <cell r="CV740">
            <v>1058.5500000000002</v>
          </cell>
          <cell r="CW740">
            <v>0</v>
          </cell>
          <cell r="CX740">
            <v>0</v>
          </cell>
          <cell r="CY740">
            <v>4.8774999999999999E-2</v>
          </cell>
          <cell r="CZ740">
            <v>827.56</v>
          </cell>
          <cell r="DA740">
            <v>2.3024999999999997E-2</v>
          </cell>
          <cell r="DB740">
            <v>386.32000000000005</v>
          </cell>
          <cell r="DC740">
            <v>8.5220000000000018E-2</v>
          </cell>
          <cell r="DD740">
            <v>1406.46</v>
          </cell>
          <cell r="DE740">
            <v>0.15701999999999999</v>
          </cell>
          <cell r="DF740">
            <v>2620.34</v>
          </cell>
          <cell r="DG740">
            <v>1.5095000000000001E-2</v>
          </cell>
          <cell r="DH740">
            <v>188</v>
          </cell>
          <cell r="DI740">
            <v>5.1250000000000002E-3</v>
          </cell>
          <cell r="DJ740">
            <v>82.72</v>
          </cell>
          <cell r="DK740">
            <v>1.1635E-2</v>
          </cell>
          <cell r="DL740">
            <v>138.81</v>
          </cell>
          <cell r="DM740">
            <v>3.1855000000000001E-2</v>
          </cell>
          <cell r="DN740">
            <v>409.53</v>
          </cell>
          <cell r="DO740">
            <v>3.4460000000000005E-2</v>
          </cell>
          <cell r="DP740">
            <v>531.52</v>
          </cell>
          <cell r="DQ740">
            <v>8.5450000000000005E-3</v>
          </cell>
          <cell r="DR740">
            <v>142.30000000000001</v>
          </cell>
          <cell r="DS740">
            <v>2.4060000000000002E-2</v>
          </cell>
          <cell r="DT740">
            <v>384.73</v>
          </cell>
          <cell r="DU740">
            <v>6.7065E-2</v>
          </cell>
          <cell r="DV740">
            <v>1058.5500000000002</v>
          </cell>
          <cell r="DW740">
            <v>0.52842999999999996</v>
          </cell>
          <cell r="DX740">
            <v>8407.7899999999991</v>
          </cell>
          <cell r="DZ740">
            <v>0</v>
          </cell>
          <cell r="EA740">
            <v>15910.886967053346</v>
          </cell>
        </row>
        <row r="741">
          <cell r="B741">
            <v>323409</v>
          </cell>
          <cell r="C741" t="str">
            <v>მარ.სიმინდის-სავილე-800გ*12</v>
          </cell>
          <cell r="D741" t="str">
            <v>T-CH</v>
          </cell>
          <cell r="E741">
            <v>9.5999999999999992E-3</v>
          </cell>
          <cell r="F741">
            <v>55.2</v>
          </cell>
          <cell r="G741">
            <v>2.3999999999999998E-3</v>
          </cell>
          <cell r="H741">
            <v>13.39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O741">
            <v>1.1999999999999999E-2</v>
          </cell>
          <cell r="P741">
            <v>68.59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O741">
            <v>0</v>
          </cell>
          <cell r="AP741">
            <v>0</v>
          </cell>
          <cell r="AS741">
            <v>0</v>
          </cell>
          <cell r="AT741">
            <v>0</v>
          </cell>
          <cell r="AU741">
            <v>5.1200000000000002E-2</v>
          </cell>
          <cell r="AV741">
            <v>304.11</v>
          </cell>
          <cell r="AW741">
            <v>0</v>
          </cell>
          <cell r="AX741">
            <v>0</v>
          </cell>
          <cell r="AY741">
            <v>-8.0000000000000004E-4</v>
          </cell>
          <cell r="AZ741">
            <v>-5.98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-8.0000000000000004E-4</v>
          </cell>
          <cell r="BF741">
            <v>-5.98</v>
          </cell>
          <cell r="BG741">
            <v>0</v>
          </cell>
          <cell r="BH741">
            <v>0</v>
          </cell>
          <cell r="BI741">
            <v>9.5999999999999992E-3</v>
          </cell>
          <cell r="BJ741">
            <v>57.96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8.0000000000000002E-3</v>
          </cell>
          <cell r="BP741">
            <v>48.3</v>
          </cell>
          <cell r="BQ741">
            <v>0</v>
          </cell>
          <cell r="BR741">
            <v>0</v>
          </cell>
          <cell r="BS741">
            <v>1.7600000000000001E-2</v>
          </cell>
          <cell r="BT741">
            <v>106.26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1.2800000000000001E-2</v>
          </cell>
          <cell r="CB741">
            <v>77.28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1.2800000000000001E-2</v>
          </cell>
          <cell r="CJ741">
            <v>77.28</v>
          </cell>
          <cell r="CK741">
            <v>3.0400000000000003E-2</v>
          </cell>
          <cell r="CL741">
            <v>183.54000000000002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0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0</v>
          </cell>
          <cell r="DA741">
            <v>9.5999999999999992E-3</v>
          </cell>
          <cell r="DB741">
            <v>57.96</v>
          </cell>
          <cell r="DC741">
            <v>0</v>
          </cell>
          <cell r="DD741">
            <v>0</v>
          </cell>
          <cell r="DE741">
            <v>9.5999999999999992E-3</v>
          </cell>
          <cell r="DF741">
            <v>57.96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5.1199999999999996E-2</v>
          </cell>
          <cell r="DX741">
            <v>304.11</v>
          </cell>
          <cell r="DY741" t="str">
            <v/>
          </cell>
          <cell r="DZ741">
            <v>0</v>
          </cell>
          <cell r="EA741">
            <v>5939.6484375000009</v>
          </cell>
        </row>
        <row r="742">
          <cell r="B742">
            <v>323432</v>
          </cell>
          <cell r="C742" t="str">
            <v>მარ.სოკოს-სავილე-800გ*12-დაჭრილი</v>
          </cell>
          <cell r="D742" t="str">
            <v>T-CH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O742">
            <v>0</v>
          </cell>
          <cell r="AP742">
            <v>0</v>
          </cell>
          <cell r="AS742">
            <v>0</v>
          </cell>
          <cell r="AT742">
            <v>0</v>
          </cell>
          <cell r="AU742">
            <v>1.52E-2</v>
          </cell>
          <cell r="AV742">
            <v>101.88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4.7999999999999996E-3</v>
          </cell>
          <cell r="BN742">
            <v>33.72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4.7999999999999996E-3</v>
          </cell>
          <cell r="BT742">
            <v>33.72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4.7999999999999996E-3</v>
          </cell>
          <cell r="CL742">
            <v>33.72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0</v>
          </cell>
          <cell r="CU742">
            <v>8.0000000000000002E-3</v>
          </cell>
          <cell r="CV742">
            <v>51.3</v>
          </cell>
          <cell r="CW742">
            <v>0</v>
          </cell>
          <cell r="CX742">
            <v>0</v>
          </cell>
          <cell r="CY742">
            <v>0</v>
          </cell>
          <cell r="CZ742">
            <v>0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0</v>
          </cell>
          <cell r="DH742">
            <v>0</v>
          </cell>
          <cell r="DI742">
            <v>2.3999999999999998E-3</v>
          </cell>
          <cell r="DJ742">
            <v>16.86</v>
          </cell>
          <cell r="DK742">
            <v>0</v>
          </cell>
          <cell r="DL742">
            <v>0</v>
          </cell>
          <cell r="DM742">
            <v>2.3999999999999998E-3</v>
          </cell>
          <cell r="DN742">
            <v>16.86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8.0000000000000002E-3</v>
          </cell>
          <cell r="DT742">
            <v>51.3</v>
          </cell>
          <cell r="DU742">
            <v>8.0000000000000002E-3</v>
          </cell>
          <cell r="DV742">
            <v>51.3</v>
          </cell>
          <cell r="DW742">
            <v>1.5199999999999998E-2</v>
          </cell>
          <cell r="DX742">
            <v>101.88</v>
          </cell>
          <cell r="DY742" t="str">
            <v/>
          </cell>
          <cell r="DZ742">
            <v>0</v>
          </cell>
          <cell r="EA742">
            <v>6702.6315789473692</v>
          </cell>
        </row>
        <row r="743">
          <cell r="B743">
            <v>373513</v>
          </cell>
          <cell r="C743" t="str">
            <v>მარ.წიწაკის_HISAR_0.65კგ_11ც+1ც</v>
          </cell>
          <cell r="D743" t="str">
            <v>T-CH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O743">
            <v>0</v>
          </cell>
          <cell r="AP743">
            <v>0</v>
          </cell>
          <cell r="AS743">
            <v>0</v>
          </cell>
          <cell r="AT743">
            <v>0</v>
          </cell>
          <cell r="AU743">
            <v>7.7999999999999996E-3</v>
          </cell>
          <cell r="AV743">
            <v>66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  <cell r="CL743">
            <v>0</v>
          </cell>
          <cell r="CO743">
            <v>0</v>
          </cell>
          <cell r="CP743">
            <v>0</v>
          </cell>
          <cell r="CQ743">
            <v>0</v>
          </cell>
          <cell r="CR743">
            <v>0</v>
          </cell>
          <cell r="CS743">
            <v>0</v>
          </cell>
          <cell r="CT743">
            <v>0</v>
          </cell>
          <cell r="CU743">
            <v>7.7999999999999996E-3</v>
          </cell>
          <cell r="CV743">
            <v>66</v>
          </cell>
          <cell r="CW743">
            <v>0</v>
          </cell>
          <cell r="CX743">
            <v>0</v>
          </cell>
          <cell r="CY743">
            <v>0</v>
          </cell>
          <cell r="CZ743">
            <v>0</v>
          </cell>
          <cell r="DA743">
            <v>0</v>
          </cell>
          <cell r="DB743">
            <v>0</v>
          </cell>
          <cell r="DC743">
            <v>0</v>
          </cell>
          <cell r="DD743">
            <v>0</v>
          </cell>
          <cell r="DE743">
            <v>0</v>
          </cell>
          <cell r="DF743">
            <v>0</v>
          </cell>
          <cell r="DG743">
            <v>0</v>
          </cell>
          <cell r="DH743">
            <v>0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7.7999999999999996E-3</v>
          </cell>
          <cell r="DT743">
            <v>66</v>
          </cell>
          <cell r="DU743">
            <v>7.7999999999999996E-3</v>
          </cell>
          <cell r="DV743">
            <v>66</v>
          </cell>
          <cell r="DW743">
            <v>7.7999999999999996E-3</v>
          </cell>
          <cell r="DX743">
            <v>66</v>
          </cell>
          <cell r="DY743" t="str">
            <v/>
          </cell>
          <cell r="DZ743">
            <v>0</v>
          </cell>
          <cell r="EA743">
            <v>8461.5384615384628</v>
          </cell>
        </row>
        <row r="744">
          <cell r="B744">
            <v>373511</v>
          </cell>
          <cell r="C744" t="str">
            <v>მარ.წიწაკის_HISAR_0.31კგ_11ც+1ც</v>
          </cell>
          <cell r="D744" t="str">
            <v>T-CH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O744">
            <v>0</v>
          </cell>
          <cell r="AP744">
            <v>0</v>
          </cell>
          <cell r="AS744">
            <v>0</v>
          </cell>
          <cell r="AT744">
            <v>0</v>
          </cell>
          <cell r="AU744">
            <v>7.4400000000000004E-3</v>
          </cell>
          <cell r="AV744">
            <v>80.180000000000007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7.4400000000000004E-3</v>
          </cell>
          <cell r="CV744">
            <v>80.180000000000007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3.7200000000000002E-3</v>
          </cell>
          <cell r="DP744">
            <v>39.479999999999997</v>
          </cell>
          <cell r="DQ744">
            <v>0</v>
          </cell>
          <cell r="DR744">
            <v>0</v>
          </cell>
          <cell r="DS744">
            <v>3.7200000000000002E-3</v>
          </cell>
          <cell r="DT744">
            <v>40.700000000000003</v>
          </cell>
          <cell r="DU744">
            <v>7.4400000000000004E-3</v>
          </cell>
          <cell r="DV744">
            <v>80.180000000000007</v>
          </cell>
          <cell r="DW744">
            <v>7.4400000000000004E-3</v>
          </cell>
          <cell r="DX744">
            <v>80.180000000000007</v>
          </cell>
          <cell r="DY744" t="str">
            <v/>
          </cell>
          <cell r="DZ744">
            <v>0</v>
          </cell>
          <cell r="EA744">
            <v>10776.881720430109</v>
          </cell>
        </row>
        <row r="745">
          <cell r="B745">
            <v>373514</v>
          </cell>
          <cell r="C745" t="str">
            <v>მარ.ასორტი_HISAR_0.68კგ_11ც+1ც</v>
          </cell>
          <cell r="D745" t="str">
            <v>T-CH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O745">
            <v>0</v>
          </cell>
          <cell r="AP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0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0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0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  <cell r="DX745">
            <v>0</v>
          </cell>
          <cell r="DY745" t="str">
            <v/>
          </cell>
          <cell r="DZ745" t="str">
            <v>pasiv</v>
          </cell>
          <cell r="EA745" t="e">
            <v>#DIV/0!</v>
          </cell>
        </row>
        <row r="746">
          <cell r="B746">
            <v>358804</v>
          </cell>
          <cell r="C746" t="str">
            <v>მარ.ასორტი_HISAR_0.68კგ*12</v>
          </cell>
          <cell r="D746" t="str">
            <v>T-CH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O746">
            <v>0</v>
          </cell>
          <cell r="AP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  <cell r="DX746">
            <v>0</v>
          </cell>
          <cell r="DY746" t="str">
            <v/>
          </cell>
          <cell r="DZ746" t="str">
            <v>pasiv</v>
          </cell>
          <cell r="EA746" t="e">
            <v>#DIV/0!</v>
          </cell>
        </row>
        <row r="747">
          <cell r="B747">
            <v>360685</v>
          </cell>
          <cell r="C747" t="str">
            <v>მარ.წიწაკის_HISAR_0.65კგ*12_შაურმისთვის</v>
          </cell>
          <cell r="D747" t="str">
            <v>T-CH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O747">
            <v>0</v>
          </cell>
          <cell r="AP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  <cell r="DX747">
            <v>0</v>
          </cell>
          <cell r="DY747" t="str">
            <v/>
          </cell>
          <cell r="DZ747" t="str">
            <v>pasiv</v>
          </cell>
          <cell r="EA747" t="e">
            <v>#DIV/0!</v>
          </cell>
        </row>
        <row r="748">
          <cell r="B748">
            <v>360686</v>
          </cell>
          <cell r="C748" t="str">
            <v>მარ.წიწაკის_HISAR_2.9კგ*6_შაურმისთვის</v>
          </cell>
          <cell r="D748" t="str">
            <v>T-CH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O748">
            <v>0</v>
          </cell>
          <cell r="AP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-3.3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O748">
            <v>0</v>
          </cell>
          <cell r="CP748">
            <v>0</v>
          </cell>
          <cell r="CQ748">
            <v>0</v>
          </cell>
          <cell r="CR748">
            <v>0</v>
          </cell>
          <cell r="CS748">
            <v>0</v>
          </cell>
          <cell r="CT748">
            <v>0</v>
          </cell>
          <cell r="CU748">
            <v>0</v>
          </cell>
          <cell r="CV748">
            <v>0</v>
          </cell>
          <cell r="CW748">
            <v>0</v>
          </cell>
          <cell r="CX748">
            <v>0</v>
          </cell>
          <cell r="CY748">
            <v>0</v>
          </cell>
          <cell r="CZ748">
            <v>0</v>
          </cell>
          <cell r="DA748">
            <v>0</v>
          </cell>
          <cell r="DB748">
            <v>0</v>
          </cell>
          <cell r="DC748">
            <v>-2.8999999999999998E-3</v>
          </cell>
          <cell r="DD748">
            <v>-20.3</v>
          </cell>
          <cell r="DE748">
            <v>-2.8999999999999998E-3</v>
          </cell>
          <cell r="DF748">
            <v>-20.3</v>
          </cell>
          <cell r="DG748">
            <v>0</v>
          </cell>
          <cell r="DH748">
            <v>0</v>
          </cell>
          <cell r="DI748">
            <v>0</v>
          </cell>
          <cell r="DJ748">
            <v>0</v>
          </cell>
          <cell r="DK748">
            <v>2.8999999999999998E-3</v>
          </cell>
          <cell r="DL748">
            <v>17</v>
          </cell>
          <cell r="DM748">
            <v>2.8999999999999998E-3</v>
          </cell>
          <cell r="DN748">
            <v>17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  <cell r="DX748">
            <v>-3.3000000000000007</v>
          </cell>
          <cell r="DY748" t="str">
            <v/>
          </cell>
          <cell r="DZ748">
            <v>0</v>
          </cell>
          <cell r="EA748" t="e">
            <v>#DIV/0!</v>
          </cell>
        </row>
        <row r="749">
          <cell r="B749">
            <v>360687</v>
          </cell>
          <cell r="C749" t="str">
            <v>მარ.კიტრის_HISAR_3კგ*6</v>
          </cell>
          <cell r="D749" t="str">
            <v>T-CH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O749">
            <v>0</v>
          </cell>
          <cell r="AP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  <cell r="DX749">
            <v>0</v>
          </cell>
          <cell r="DY749" t="str">
            <v/>
          </cell>
          <cell r="DZ749" t="str">
            <v>pasiv</v>
          </cell>
          <cell r="EA749" t="e">
            <v>#DIV/0!</v>
          </cell>
        </row>
        <row r="750">
          <cell r="B750">
            <v>360688</v>
          </cell>
          <cell r="C750" t="str">
            <v>მარ.წიწაკის_HISAR_4.85კგ*4_შაურმისთვის</v>
          </cell>
          <cell r="D750" t="str">
            <v>T-CH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O750">
            <v>0</v>
          </cell>
          <cell r="AP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O750">
            <v>0</v>
          </cell>
          <cell r="CP750">
            <v>0</v>
          </cell>
          <cell r="CQ750">
            <v>0</v>
          </cell>
          <cell r="CR750">
            <v>0</v>
          </cell>
          <cell r="CS750">
            <v>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0</v>
          </cell>
          <cell r="DD750">
            <v>0</v>
          </cell>
          <cell r="DE750">
            <v>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  <cell r="DX750">
            <v>0</v>
          </cell>
          <cell r="DY750" t="str">
            <v/>
          </cell>
          <cell r="DZ750" t="str">
            <v>pasiv</v>
          </cell>
          <cell r="EA750" t="e">
            <v>#DIV/0!</v>
          </cell>
        </row>
        <row r="751">
          <cell r="B751">
            <v>360689</v>
          </cell>
          <cell r="C751" t="str">
            <v>მარ.კიტრის_HISAR_5კგ*4</v>
          </cell>
          <cell r="D751" t="str">
            <v>T-CH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O751">
            <v>0</v>
          </cell>
          <cell r="AP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  <cell r="DX751">
            <v>0</v>
          </cell>
          <cell r="DY751" t="str">
            <v/>
          </cell>
          <cell r="DZ751" t="str">
            <v>pasiv</v>
          </cell>
          <cell r="EA751" t="e">
            <v>#DIV/0!</v>
          </cell>
        </row>
        <row r="752">
          <cell r="B752">
            <v>360790</v>
          </cell>
          <cell r="C752" t="str">
            <v>მარ.კიტრის_HISAR_0.65კგ*12</v>
          </cell>
          <cell r="D752" t="str">
            <v>T-CH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O752">
            <v>0</v>
          </cell>
          <cell r="AP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  <cell r="DX752">
            <v>0</v>
          </cell>
          <cell r="DY752" t="str">
            <v/>
          </cell>
          <cell r="DZ752" t="str">
            <v>pasiv</v>
          </cell>
          <cell r="EA752" t="e">
            <v>#DIV/0!</v>
          </cell>
        </row>
        <row r="753">
          <cell r="B753">
            <v>373389</v>
          </cell>
          <cell r="C753" t="str">
            <v>მარ.კიტრის_HISAR_0.65კგ_11ც+1ც</v>
          </cell>
          <cell r="D753" t="str">
            <v>T-CH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O753">
            <v>0</v>
          </cell>
          <cell r="AP753">
            <v>0</v>
          </cell>
          <cell r="AS753">
            <v>0</v>
          </cell>
          <cell r="AT753">
            <v>0</v>
          </cell>
          <cell r="AU753">
            <v>7.7999999999999996E-3</v>
          </cell>
          <cell r="AV753">
            <v>34.64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7.7999999999999996E-3</v>
          </cell>
          <cell r="CV753">
            <v>34.64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7.7999999999999996E-3</v>
          </cell>
          <cell r="DP753">
            <v>34.64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>
            <v>7.7999999999999996E-3</v>
          </cell>
          <cell r="DV753">
            <v>34.64</v>
          </cell>
          <cell r="DW753">
            <v>7.7999999999999996E-3</v>
          </cell>
          <cell r="DX753">
            <v>34.64</v>
          </cell>
          <cell r="DY753" t="str">
            <v/>
          </cell>
          <cell r="DZ753">
            <v>0</v>
          </cell>
          <cell r="EA753">
            <v>4441.0256410256416</v>
          </cell>
        </row>
        <row r="754">
          <cell r="B754">
            <v>360791</v>
          </cell>
          <cell r="C754" t="str">
            <v>მარ.ასორტი_HISAR_3კგ*6</v>
          </cell>
          <cell r="D754" t="str">
            <v>T-CH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O754">
            <v>0</v>
          </cell>
          <cell r="AP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  <cell r="DX754">
            <v>0</v>
          </cell>
          <cell r="DY754" t="str">
            <v/>
          </cell>
          <cell r="DZ754" t="str">
            <v>pasiv</v>
          </cell>
          <cell r="EA754" t="e">
            <v>#DIV/0!</v>
          </cell>
        </row>
        <row r="755">
          <cell r="B755">
            <v>360792</v>
          </cell>
          <cell r="C755" t="str">
            <v>მარ.ასორტი_HISAR_5კგ*4</v>
          </cell>
          <cell r="D755" t="str">
            <v>T-CH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O755">
            <v>0</v>
          </cell>
          <cell r="AP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>
            <v>0</v>
          </cell>
          <cell r="DV755">
            <v>0</v>
          </cell>
          <cell r="DW755">
            <v>0</v>
          </cell>
          <cell r="DX755">
            <v>0</v>
          </cell>
          <cell r="DY755" t="str">
            <v/>
          </cell>
          <cell r="DZ755" t="str">
            <v>pasiv</v>
          </cell>
          <cell r="EA755" t="e">
            <v>#DIV/0!</v>
          </cell>
        </row>
        <row r="756">
          <cell r="B756">
            <v>359413</v>
          </cell>
          <cell r="C756" t="str">
            <v>მარ.სიმინდის-ჩვ.სუფრა-0.34კგ_22ც+2ც</v>
          </cell>
          <cell r="D756" t="str">
            <v>T-CH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1.6320000000000001E-2</v>
          </cell>
          <cell r="T756">
            <v>97.15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1.6320000000000001E-2</v>
          </cell>
          <cell r="Z756">
            <v>97.15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8.1600000000000006E-3</v>
          </cell>
          <cell r="AL756">
            <v>49.08</v>
          </cell>
          <cell r="AO756">
            <v>8.1600000000000006E-3</v>
          </cell>
          <cell r="AP756">
            <v>49.08</v>
          </cell>
          <cell r="AS756">
            <v>0</v>
          </cell>
          <cell r="AT756">
            <v>0</v>
          </cell>
          <cell r="AU756">
            <v>4.0800000000000003E-2</v>
          </cell>
          <cell r="AV756">
            <v>239.31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8.1600000000000006E-3</v>
          </cell>
          <cell r="CV756">
            <v>49.08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8.1600000000000006E-3</v>
          </cell>
          <cell r="DJ756">
            <v>44</v>
          </cell>
          <cell r="DK756">
            <v>0</v>
          </cell>
          <cell r="DL756">
            <v>0</v>
          </cell>
          <cell r="DM756">
            <v>8.1600000000000006E-3</v>
          </cell>
          <cell r="DN756">
            <v>44</v>
          </cell>
          <cell r="DO756">
            <v>8.1600000000000006E-3</v>
          </cell>
          <cell r="DP756">
            <v>49.08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>
            <v>8.1600000000000006E-3</v>
          </cell>
          <cell r="DV756">
            <v>49.08</v>
          </cell>
          <cell r="DW756">
            <v>4.0800000000000003E-2</v>
          </cell>
          <cell r="DX756">
            <v>239.31</v>
          </cell>
          <cell r="DY756" t="str">
            <v/>
          </cell>
          <cell r="DZ756">
            <v>0</v>
          </cell>
          <cell r="EA756">
            <v>5865.4411764705883</v>
          </cell>
        </row>
        <row r="757">
          <cell r="B757">
            <v>366949</v>
          </cell>
          <cell r="C757" t="str">
            <v>მარ.წიწაკის_HISAR_0.31კგ*24_შაურმისთვის</v>
          </cell>
          <cell r="D757" t="str">
            <v>T-CH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O757">
            <v>0</v>
          </cell>
          <cell r="AP757">
            <v>0</v>
          </cell>
          <cell r="AS757">
            <v>0</v>
          </cell>
          <cell r="AT757">
            <v>0</v>
          </cell>
          <cell r="AU757">
            <v>1.0540000000000001E-2</v>
          </cell>
          <cell r="AV757">
            <v>122.47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7.4400000000000004E-3</v>
          </cell>
          <cell r="BN757">
            <v>86.14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7.4400000000000004E-3</v>
          </cell>
          <cell r="BT757">
            <v>86.14</v>
          </cell>
          <cell r="BU757">
            <v>0</v>
          </cell>
          <cell r="BV757">
            <v>0</v>
          </cell>
          <cell r="BW757">
            <v>1.8600000000000001E-3</v>
          </cell>
          <cell r="BX757">
            <v>21.53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1.8600000000000001E-3</v>
          </cell>
          <cell r="CJ757">
            <v>21.53</v>
          </cell>
          <cell r="CK757">
            <v>9.300000000000001E-3</v>
          </cell>
          <cell r="CL757">
            <v>107.67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1.24E-3</v>
          </cell>
          <cell r="CV757">
            <v>14.8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1.24E-3</v>
          </cell>
          <cell r="DT757">
            <v>14.8</v>
          </cell>
          <cell r="DU757">
            <v>1.24E-3</v>
          </cell>
          <cell r="DV757">
            <v>14.8</v>
          </cell>
          <cell r="DW757">
            <v>1.0540000000000001E-2</v>
          </cell>
          <cell r="DX757">
            <v>122.47</v>
          </cell>
          <cell r="DY757" t="str">
            <v/>
          </cell>
          <cell r="DZ757">
            <v>0</v>
          </cell>
          <cell r="EA757">
            <v>11619.544592030359</v>
          </cell>
        </row>
        <row r="758">
          <cell r="B758">
            <v>366950</v>
          </cell>
          <cell r="C758" t="str">
            <v>მარ.წიწაკის_HISAR_15კგ_შაურმისთვის</v>
          </cell>
          <cell r="D758" t="str">
            <v>T-CH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O758">
            <v>0</v>
          </cell>
          <cell r="AP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S758">
            <v>0</v>
          </cell>
          <cell r="CT758">
            <v>0</v>
          </cell>
          <cell r="CU758">
            <v>0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0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  <cell r="DL758">
            <v>0</v>
          </cell>
          <cell r="DM758">
            <v>0</v>
          </cell>
          <cell r="DN758">
            <v>0</v>
          </cell>
          <cell r="DO758">
            <v>0</v>
          </cell>
          <cell r="DP758">
            <v>0</v>
          </cell>
          <cell r="DQ758">
            <v>0</v>
          </cell>
          <cell r="DR758">
            <v>0</v>
          </cell>
          <cell r="DS758">
            <v>0</v>
          </cell>
          <cell r="DT758">
            <v>0</v>
          </cell>
          <cell r="DU758">
            <v>0</v>
          </cell>
          <cell r="DV758">
            <v>0</v>
          </cell>
          <cell r="DW758">
            <v>0</v>
          </cell>
          <cell r="DX758">
            <v>0</v>
          </cell>
          <cell r="DY758" t="str">
            <v/>
          </cell>
          <cell r="DZ758" t="str">
            <v>pasiv</v>
          </cell>
          <cell r="EA758" t="e">
            <v>#DIV/0!</v>
          </cell>
        </row>
        <row r="759">
          <cell r="B759">
            <v>366951</v>
          </cell>
          <cell r="C759" t="str">
            <v>მარ.ასორტი_HISAR_15კგ</v>
          </cell>
          <cell r="D759" t="str">
            <v>T-CH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O759">
            <v>0</v>
          </cell>
          <cell r="AP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O759">
            <v>0</v>
          </cell>
          <cell r="CP759">
            <v>0</v>
          </cell>
          <cell r="CQ759">
            <v>0</v>
          </cell>
          <cell r="CR759">
            <v>0</v>
          </cell>
          <cell r="CS759">
            <v>0</v>
          </cell>
          <cell r="CT759">
            <v>0</v>
          </cell>
          <cell r="CU759">
            <v>0</v>
          </cell>
          <cell r="CV759">
            <v>0</v>
          </cell>
          <cell r="CW759">
            <v>0</v>
          </cell>
          <cell r="CX759">
            <v>0</v>
          </cell>
          <cell r="CY759">
            <v>0</v>
          </cell>
          <cell r="CZ759">
            <v>0</v>
          </cell>
          <cell r="DA759">
            <v>0</v>
          </cell>
          <cell r="DB759">
            <v>0</v>
          </cell>
          <cell r="DC759">
            <v>0</v>
          </cell>
          <cell r="DD759">
            <v>0</v>
          </cell>
          <cell r="DE759">
            <v>0</v>
          </cell>
          <cell r="DF759">
            <v>0</v>
          </cell>
          <cell r="DG759">
            <v>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  <cell r="DX759">
            <v>0</v>
          </cell>
          <cell r="DY759" t="str">
            <v/>
          </cell>
          <cell r="DZ759" t="str">
            <v>pasiv</v>
          </cell>
          <cell r="EA759" t="e">
            <v>#DIV/0!</v>
          </cell>
        </row>
        <row r="760">
          <cell r="B760">
            <v>107799</v>
          </cell>
          <cell r="C760" t="str">
            <v>CHVENI SUPRA QARGIDALI KONSERVI_340 GR*24</v>
          </cell>
          <cell r="D760" t="str">
            <v>T-CH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2.0400000000000001E-3</v>
          </cell>
          <cell r="AD760">
            <v>13.18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1.2579999999999999E-2</v>
          </cell>
          <cell r="AJ760">
            <v>89.54</v>
          </cell>
          <cell r="AK760">
            <v>1.3600000000000001E-3</v>
          </cell>
          <cell r="AL760">
            <v>9.68</v>
          </cell>
          <cell r="AO760">
            <v>1.5980000000000001E-2</v>
          </cell>
          <cell r="AP760">
            <v>112.4</v>
          </cell>
          <cell r="AS760">
            <v>0</v>
          </cell>
          <cell r="AT760">
            <v>0</v>
          </cell>
          <cell r="AU760">
            <v>0.1207</v>
          </cell>
          <cell r="AV760">
            <v>837.71</v>
          </cell>
          <cell r="AW760">
            <v>0</v>
          </cell>
          <cell r="AX760">
            <v>0</v>
          </cell>
          <cell r="AY760">
            <v>1.0200000000000001E-2</v>
          </cell>
          <cell r="AZ760">
            <v>71.88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1.0200000000000001E-2</v>
          </cell>
          <cell r="BF760">
            <v>71.88</v>
          </cell>
          <cell r="BG760">
            <v>8.1600000000000006E-3</v>
          </cell>
          <cell r="BH760">
            <v>48</v>
          </cell>
          <cell r="BI760">
            <v>0</v>
          </cell>
          <cell r="BJ760">
            <v>0</v>
          </cell>
          <cell r="BK760">
            <v>2.0400000000000001E-3</v>
          </cell>
          <cell r="BL760">
            <v>14.52</v>
          </cell>
          <cell r="BM760">
            <v>2.0400000000000001E-3</v>
          </cell>
          <cell r="BN760">
            <v>14.52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1.2239999999999999E-2</v>
          </cell>
          <cell r="BT760">
            <v>77.040000000000006</v>
          </cell>
          <cell r="BU760">
            <v>0</v>
          </cell>
          <cell r="BV760">
            <v>0</v>
          </cell>
          <cell r="BW760">
            <v>3.3999999999999998E-3</v>
          </cell>
          <cell r="BX760">
            <v>22.59</v>
          </cell>
          <cell r="BY760">
            <v>0</v>
          </cell>
          <cell r="BZ760">
            <v>0</v>
          </cell>
          <cell r="CA760">
            <v>6.8000000000000005E-4</v>
          </cell>
          <cell r="CB760">
            <v>4.84</v>
          </cell>
          <cell r="CC760">
            <v>0</v>
          </cell>
          <cell r="CD760">
            <v>0</v>
          </cell>
          <cell r="CE760">
            <v>3.4000000000000002E-4</v>
          </cell>
          <cell r="CF760">
            <v>2.16</v>
          </cell>
          <cell r="CG760">
            <v>0</v>
          </cell>
          <cell r="CH760">
            <v>0</v>
          </cell>
          <cell r="CI760">
            <v>4.4200000000000003E-3</v>
          </cell>
          <cell r="CJ760">
            <v>29.59</v>
          </cell>
          <cell r="CK760">
            <v>1.6660000000000001E-2</v>
          </cell>
          <cell r="CL760">
            <v>106.63000000000001</v>
          </cell>
          <cell r="CO760">
            <v>0</v>
          </cell>
          <cell r="CP760">
            <v>0</v>
          </cell>
          <cell r="CQ760">
            <v>0</v>
          </cell>
          <cell r="CR760">
            <v>0</v>
          </cell>
          <cell r="CS760">
            <v>0</v>
          </cell>
          <cell r="CT760">
            <v>0</v>
          </cell>
          <cell r="CU760">
            <v>1.8360000000000001E-2</v>
          </cell>
          <cell r="CV760">
            <v>129.24</v>
          </cell>
          <cell r="CW760">
            <v>0</v>
          </cell>
          <cell r="CX760">
            <v>0</v>
          </cell>
          <cell r="CY760">
            <v>4.8959999999999997E-2</v>
          </cell>
          <cell r="CZ760">
            <v>345.6</v>
          </cell>
          <cell r="DA760">
            <v>0</v>
          </cell>
          <cell r="DB760">
            <v>0</v>
          </cell>
          <cell r="DC760">
            <v>3.3999999999999998E-3</v>
          </cell>
          <cell r="DD760">
            <v>21.62</v>
          </cell>
          <cell r="DE760">
            <v>5.2359999999999997E-2</v>
          </cell>
          <cell r="DF760">
            <v>367.22</v>
          </cell>
          <cell r="DG760">
            <v>0</v>
          </cell>
          <cell r="DH760">
            <v>0</v>
          </cell>
          <cell r="DI760">
            <v>2.0400000000000001E-3</v>
          </cell>
          <cell r="DJ760">
            <v>14.04</v>
          </cell>
          <cell r="DK760">
            <v>5.1000000000000004E-3</v>
          </cell>
          <cell r="DL760">
            <v>36.299999999999997</v>
          </cell>
          <cell r="DM760">
            <v>7.1399999999999996E-3</v>
          </cell>
          <cell r="DN760">
            <v>50.34</v>
          </cell>
          <cell r="DO760">
            <v>0</v>
          </cell>
          <cell r="DP760">
            <v>0</v>
          </cell>
          <cell r="DQ760">
            <v>4.0800000000000003E-3</v>
          </cell>
          <cell r="DR760">
            <v>29.04</v>
          </cell>
          <cell r="DS760">
            <v>1.4279999999999999E-2</v>
          </cell>
          <cell r="DT760">
            <v>100.2</v>
          </cell>
          <cell r="DU760">
            <v>1.8360000000000001E-2</v>
          </cell>
          <cell r="DV760">
            <v>129.24</v>
          </cell>
          <cell r="DW760">
            <v>0.1207</v>
          </cell>
          <cell r="DX760">
            <v>837.71</v>
          </cell>
          <cell r="DY760" t="str">
            <v/>
          </cell>
          <cell r="DZ760">
            <v>0</v>
          </cell>
          <cell r="EA760">
            <v>6940.4308202154107</v>
          </cell>
        </row>
        <row r="761">
          <cell r="B761">
            <v>270581</v>
          </cell>
          <cell r="C761" t="str">
            <v>მარ.კიტრის_ბიზიმ ტარლა_670კგ*12_მწარე</v>
          </cell>
          <cell r="D761" t="str">
            <v>T-CH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6.7000000000000002E-4</v>
          </cell>
          <cell r="AF761">
            <v>4.37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1.1390000000000001E-2</v>
          </cell>
          <cell r="AL761">
            <v>79.05</v>
          </cell>
          <cell r="AO761">
            <v>1.2060000000000001E-2</v>
          </cell>
          <cell r="AP761">
            <v>83.42</v>
          </cell>
          <cell r="AS761">
            <v>0</v>
          </cell>
          <cell r="AT761">
            <v>0</v>
          </cell>
          <cell r="AU761">
            <v>1.34E-2</v>
          </cell>
          <cell r="AV761">
            <v>92.72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1.34E-3</v>
          </cell>
          <cell r="BN761">
            <v>9.3000000000000007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1.34E-3</v>
          </cell>
          <cell r="BT761">
            <v>9.3000000000000007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1.34E-3</v>
          </cell>
          <cell r="CL761">
            <v>9.3000000000000007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0</v>
          </cell>
          <cell r="CT761">
            <v>0</v>
          </cell>
          <cell r="CU761">
            <v>0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0</v>
          </cell>
          <cell r="DA761">
            <v>0</v>
          </cell>
          <cell r="DB761">
            <v>0</v>
          </cell>
          <cell r="DC761">
            <v>0</v>
          </cell>
          <cell r="DD761">
            <v>0</v>
          </cell>
          <cell r="DE761">
            <v>0</v>
          </cell>
          <cell r="DF761">
            <v>0</v>
          </cell>
          <cell r="DG761">
            <v>0</v>
          </cell>
          <cell r="DH761">
            <v>0</v>
          </cell>
          <cell r="DI761">
            <v>0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1.3400000000000002E-2</v>
          </cell>
          <cell r="DX761">
            <v>92.72</v>
          </cell>
          <cell r="DY761" t="str">
            <v/>
          </cell>
          <cell r="DZ761">
            <v>0</v>
          </cell>
          <cell r="EA761">
            <v>6919.4029850746256</v>
          </cell>
        </row>
        <row r="762">
          <cell r="B762">
            <v>283066</v>
          </cell>
          <cell r="C762" t="str">
            <v>მარ.სიმინდის-ჩვ.სუფრა-850მლ/800გრ*12</v>
          </cell>
          <cell r="D762" t="str">
            <v>T-CH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O762">
            <v>0</v>
          </cell>
          <cell r="AP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O762">
            <v>0</v>
          </cell>
          <cell r="CP762">
            <v>0</v>
          </cell>
          <cell r="CQ762">
            <v>0</v>
          </cell>
          <cell r="CR762">
            <v>0</v>
          </cell>
          <cell r="CS762">
            <v>0</v>
          </cell>
          <cell r="CT762">
            <v>0</v>
          </cell>
          <cell r="CU762">
            <v>0</v>
          </cell>
          <cell r="CV762">
            <v>0</v>
          </cell>
          <cell r="CW762">
            <v>0</v>
          </cell>
          <cell r="CX762">
            <v>0</v>
          </cell>
          <cell r="CY762">
            <v>0</v>
          </cell>
          <cell r="CZ762">
            <v>0</v>
          </cell>
          <cell r="DA762">
            <v>0</v>
          </cell>
          <cell r="DB762">
            <v>0</v>
          </cell>
          <cell r="DC762">
            <v>0</v>
          </cell>
          <cell r="DD762">
            <v>0</v>
          </cell>
          <cell r="DE762">
            <v>0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  <cell r="DX762">
            <v>0</v>
          </cell>
          <cell r="DY762" t="str">
            <v/>
          </cell>
          <cell r="DZ762" t="str">
            <v>pasiv</v>
          </cell>
          <cell r="EA762" t="e">
            <v>#DIV/0!</v>
          </cell>
        </row>
        <row r="763">
          <cell r="B763">
            <v>180653</v>
          </cell>
          <cell r="C763" t="str">
            <v>ხიზილალა-ბადრიჯანი-ბიზ.ტარლა-300გ*20</v>
          </cell>
          <cell r="D763" t="str">
            <v>AZB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3.5999999999999999E-3</v>
          </cell>
          <cell r="AD763">
            <v>37.08</v>
          </cell>
          <cell r="AE763">
            <v>0</v>
          </cell>
          <cell r="AF763">
            <v>0</v>
          </cell>
          <cell r="AG763">
            <v>2.3999999999999998E-3</v>
          </cell>
          <cell r="AH763">
            <v>18.48</v>
          </cell>
          <cell r="AI763">
            <v>3.3E-3</v>
          </cell>
          <cell r="AJ763">
            <v>28.53</v>
          </cell>
          <cell r="AK763">
            <v>1.8E-3</v>
          </cell>
          <cell r="AL763">
            <v>13.86</v>
          </cell>
          <cell r="AO763">
            <v>1.1099999999999999E-2</v>
          </cell>
          <cell r="AP763">
            <v>97.95</v>
          </cell>
          <cell r="AS763">
            <v>0</v>
          </cell>
          <cell r="AT763">
            <v>0</v>
          </cell>
          <cell r="AU763">
            <v>2.6100000000000002E-2</v>
          </cell>
          <cell r="AV763">
            <v>223.59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8.9999999999999998E-4</v>
          </cell>
          <cell r="CB763">
            <v>9.27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8.9999999999999998E-4</v>
          </cell>
          <cell r="CJ763">
            <v>9.27</v>
          </cell>
          <cell r="CK763">
            <v>8.9999999999999998E-4</v>
          </cell>
          <cell r="CL763">
            <v>9.27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S763">
            <v>0</v>
          </cell>
          <cell r="CT763">
            <v>0</v>
          </cell>
          <cell r="CU763">
            <v>1.35E-2</v>
          </cell>
          <cell r="CV763">
            <v>111.75</v>
          </cell>
          <cell r="CW763">
            <v>0</v>
          </cell>
          <cell r="CX763">
            <v>0</v>
          </cell>
          <cell r="CY763">
            <v>0</v>
          </cell>
          <cell r="CZ763">
            <v>0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5.9999999999999995E-4</v>
          </cell>
          <cell r="DH763">
            <v>4.62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5.9999999999999995E-4</v>
          </cell>
          <cell r="DN763">
            <v>4.62</v>
          </cell>
          <cell r="DO763">
            <v>1.5E-3</v>
          </cell>
          <cell r="DP763">
            <v>15.45</v>
          </cell>
          <cell r="DQ763">
            <v>6.0000000000000001E-3</v>
          </cell>
          <cell r="DR763">
            <v>46.2</v>
          </cell>
          <cell r="DS763">
            <v>6.0000000000000001E-3</v>
          </cell>
          <cell r="DT763">
            <v>50.1</v>
          </cell>
          <cell r="DU763">
            <v>1.35E-2</v>
          </cell>
          <cell r="DV763">
            <v>111.75</v>
          </cell>
          <cell r="DW763">
            <v>2.6099999999999998E-2</v>
          </cell>
          <cell r="DX763">
            <v>223.59</v>
          </cell>
          <cell r="DY763" t="str">
            <v/>
          </cell>
          <cell r="DZ763">
            <v>0</v>
          </cell>
          <cell r="EA763">
            <v>8566.6666666666679</v>
          </cell>
        </row>
        <row r="764">
          <cell r="B764">
            <v>262690</v>
          </cell>
          <cell r="C764" t="str">
            <v>მარ.კიტრის-ბიზიმ-ტარლა-670გ*12-კორნიშონი</v>
          </cell>
          <cell r="D764" t="str">
            <v>AZB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O764">
            <v>0</v>
          </cell>
          <cell r="AP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O764">
            <v>0</v>
          </cell>
          <cell r="CP764">
            <v>0</v>
          </cell>
          <cell r="CQ764">
            <v>0</v>
          </cell>
          <cell r="CR764">
            <v>0</v>
          </cell>
          <cell r="CS764">
            <v>0</v>
          </cell>
          <cell r="CT764">
            <v>0</v>
          </cell>
          <cell r="CU764">
            <v>0</v>
          </cell>
          <cell r="CV764">
            <v>0</v>
          </cell>
          <cell r="CW764">
            <v>0</v>
          </cell>
          <cell r="CX764">
            <v>0</v>
          </cell>
          <cell r="CY764">
            <v>0</v>
          </cell>
          <cell r="CZ764">
            <v>0</v>
          </cell>
          <cell r="DA764">
            <v>0</v>
          </cell>
          <cell r="DB764">
            <v>0</v>
          </cell>
          <cell r="DC764">
            <v>0</v>
          </cell>
          <cell r="DD764">
            <v>0</v>
          </cell>
          <cell r="DE764">
            <v>0</v>
          </cell>
          <cell r="DF764">
            <v>0</v>
          </cell>
          <cell r="DG764">
            <v>0</v>
          </cell>
          <cell r="DH764">
            <v>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 t="str">
            <v/>
          </cell>
          <cell r="DZ764" t="str">
            <v>pasiv</v>
          </cell>
          <cell r="EA764" t="e">
            <v>#DIV/0!</v>
          </cell>
        </row>
        <row r="765">
          <cell r="B765">
            <v>340686</v>
          </cell>
          <cell r="C765" t="str">
            <v>ხიზილალა-ბადრიჯანი-ბიზ.ტარლა-320გ*20</v>
          </cell>
          <cell r="D765" t="str">
            <v>AZB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O765">
            <v>0</v>
          </cell>
          <cell r="AP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O765">
            <v>0</v>
          </cell>
          <cell r="CP765">
            <v>0</v>
          </cell>
          <cell r="CQ765">
            <v>0</v>
          </cell>
          <cell r="CR765">
            <v>0</v>
          </cell>
          <cell r="CS765">
            <v>0</v>
          </cell>
          <cell r="CT765">
            <v>0</v>
          </cell>
          <cell r="CU765">
            <v>0</v>
          </cell>
          <cell r="CV765">
            <v>0</v>
          </cell>
          <cell r="CW765">
            <v>0</v>
          </cell>
          <cell r="CX765">
            <v>0</v>
          </cell>
          <cell r="CY765">
            <v>0</v>
          </cell>
          <cell r="CZ765">
            <v>0</v>
          </cell>
          <cell r="DA765">
            <v>0</v>
          </cell>
          <cell r="DB765">
            <v>0</v>
          </cell>
          <cell r="DC765">
            <v>0</v>
          </cell>
          <cell r="DD765">
            <v>0</v>
          </cell>
          <cell r="DE765">
            <v>0</v>
          </cell>
          <cell r="DF765">
            <v>0</v>
          </cell>
          <cell r="DG765">
            <v>0</v>
          </cell>
          <cell r="DH765">
            <v>0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  <cell r="DX765">
            <v>0</v>
          </cell>
          <cell r="DY765" t="str">
            <v/>
          </cell>
          <cell r="DZ765" t="str">
            <v>pasiv</v>
          </cell>
          <cell r="EA765" t="e">
            <v>#DIV/0!</v>
          </cell>
        </row>
        <row r="766">
          <cell r="A766">
            <v>0.38461499999999998</v>
          </cell>
          <cell r="B766">
            <v>349322</v>
          </cell>
          <cell r="C766" t="str">
            <v>ჩვ.სუფრა_ტ-პასტა 720გ+მარ.კიტრი700გ+ბარდ.კონს400გ</v>
          </cell>
          <cell r="D766" t="str">
            <v>AZB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O766">
            <v>0</v>
          </cell>
          <cell r="AP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S766">
            <v>0</v>
          </cell>
          <cell r="CT766">
            <v>0</v>
          </cell>
          <cell r="CU766">
            <v>0</v>
          </cell>
          <cell r="CV766">
            <v>0</v>
          </cell>
          <cell r="CW766">
            <v>0</v>
          </cell>
          <cell r="CX766">
            <v>0</v>
          </cell>
          <cell r="CY766">
            <v>0</v>
          </cell>
          <cell r="CZ766">
            <v>0</v>
          </cell>
          <cell r="DA766">
            <v>0</v>
          </cell>
          <cell r="DB766">
            <v>0</v>
          </cell>
          <cell r="DC766">
            <v>0</v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  <cell r="DL766">
            <v>0</v>
          </cell>
          <cell r="DM766">
            <v>0</v>
          </cell>
          <cell r="DN766">
            <v>0</v>
          </cell>
          <cell r="DO766">
            <v>0</v>
          </cell>
          <cell r="DP766">
            <v>0</v>
          </cell>
          <cell r="DQ766">
            <v>0</v>
          </cell>
          <cell r="DR766">
            <v>0</v>
          </cell>
          <cell r="DS766">
            <v>0</v>
          </cell>
          <cell r="DT766">
            <v>0</v>
          </cell>
          <cell r="DU766">
            <v>0</v>
          </cell>
          <cell r="DV766">
            <v>0</v>
          </cell>
          <cell r="DW766">
            <v>0</v>
          </cell>
          <cell r="DX766">
            <v>0</v>
          </cell>
          <cell r="DY766" t="str">
            <v/>
          </cell>
          <cell r="DZ766" t="str">
            <v>pasiv</v>
          </cell>
          <cell r="EA766" t="e">
            <v>#DIV/0!</v>
          </cell>
        </row>
        <row r="767">
          <cell r="A767">
            <v>1</v>
          </cell>
          <cell r="B767">
            <v>275375</v>
          </cell>
          <cell r="C767" t="str">
            <v>მარ.ასორტი ჩვენი სუფრა 700გრ_11ც+1ც</v>
          </cell>
          <cell r="D767" t="str">
            <v>AZB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O767">
            <v>0</v>
          </cell>
          <cell r="AP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O767">
            <v>0</v>
          </cell>
          <cell r="CP767">
            <v>0</v>
          </cell>
          <cell r="CQ767">
            <v>0</v>
          </cell>
          <cell r="CR767">
            <v>0</v>
          </cell>
          <cell r="CS767">
            <v>0</v>
          </cell>
          <cell r="CT767">
            <v>0</v>
          </cell>
          <cell r="CU767">
            <v>0</v>
          </cell>
          <cell r="CV767">
            <v>0</v>
          </cell>
          <cell r="CW767">
            <v>0</v>
          </cell>
          <cell r="CX767">
            <v>0</v>
          </cell>
          <cell r="CY767">
            <v>0</v>
          </cell>
          <cell r="CZ767">
            <v>0</v>
          </cell>
          <cell r="DA767">
            <v>0</v>
          </cell>
          <cell r="DB767">
            <v>0</v>
          </cell>
          <cell r="DC767">
            <v>0</v>
          </cell>
          <cell r="DD767">
            <v>0</v>
          </cell>
          <cell r="DE767">
            <v>0</v>
          </cell>
          <cell r="DF767">
            <v>0</v>
          </cell>
          <cell r="DG767">
            <v>0</v>
          </cell>
          <cell r="DH767">
            <v>0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  <cell r="DX767">
            <v>0</v>
          </cell>
          <cell r="DY767" t="str">
            <v>Hedef</v>
          </cell>
          <cell r="DZ767" t="str">
            <v>pasiv</v>
          </cell>
          <cell r="EA767" t="e">
            <v>#DIV/0!</v>
          </cell>
        </row>
        <row r="768">
          <cell r="B768">
            <v>244123</v>
          </cell>
          <cell r="C768" t="str">
            <v>მარ.ასორტი ჩვენი სუფრა 700გრ*12</v>
          </cell>
          <cell r="D768" t="str">
            <v>AZB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O768">
            <v>0</v>
          </cell>
          <cell r="AP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  <cell r="DX768">
            <v>0</v>
          </cell>
          <cell r="DY768" t="str">
            <v/>
          </cell>
          <cell r="DZ768" t="str">
            <v>pasiv</v>
          </cell>
          <cell r="EA768" t="e">
            <v>#DIV/0!</v>
          </cell>
        </row>
        <row r="769">
          <cell r="B769">
            <v>261219</v>
          </cell>
          <cell r="C769" t="str">
            <v>მარ.კიტრის_ბიზიმ ტარლა_670კგ*12</v>
          </cell>
          <cell r="D769" t="str">
            <v>AZB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3.3500000000000001E-3</v>
          </cell>
          <cell r="AL769">
            <v>25</v>
          </cell>
          <cell r="AO769">
            <v>3.3500000000000001E-3</v>
          </cell>
          <cell r="AP769">
            <v>25</v>
          </cell>
          <cell r="AS769">
            <v>0</v>
          </cell>
          <cell r="AT769">
            <v>0</v>
          </cell>
          <cell r="AU769">
            <v>1.4069999999999999E-2</v>
          </cell>
          <cell r="AV769">
            <v>106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2.6800000000000001E-3</v>
          </cell>
          <cell r="CV769">
            <v>21</v>
          </cell>
          <cell r="CW769">
            <v>0</v>
          </cell>
          <cell r="CX769">
            <v>0</v>
          </cell>
          <cell r="CY769">
            <v>8.0400000000000003E-3</v>
          </cell>
          <cell r="CZ769">
            <v>60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8.0400000000000003E-3</v>
          </cell>
          <cell r="DF769">
            <v>60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O769">
            <v>2.6800000000000001E-3</v>
          </cell>
          <cell r="DP769">
            <v>21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2.6800000000000001E-3</v>
          </cell>
          <cell r="DV769">
            <v>21</v>
          </cell>
          <cell r="DW769">
            <v>1.4070000000000001E-2</v>
          </cell>
          <cell r="DX769">
            <v>106</v>
          </cell>
          <cell r="DY769" t="str">
            <v/>
          </cell>
          <cell r="DZ769">
            <v>0</v>
          </cell>
          <cell r="EA769">
            <v>7533.7597725657424</v>
          </cell>
        </row>
        <row r="770">
          <cell r="B770">
            <v>263804</v>
          </cell>
          <cell r="C770" t="str">
            <v>მარ.წით.პომიდვრის_ბიზიმ ტარლა_670კგ*12</v>
          </cell>
          <cell r="D770" t="str">
            <v>AZB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O770">
            <v>0</v>
          </cell>
          <cell r="AP770">
            <v>0</v>
          </cell>
          <cell r="AS770">
            <v>0</v>
          </cell>
          <cell r="AT770">
            <v>0</v>
          </cell>
          <cell r="AU770">
            <v>2.0100000000000001E-3</v>
          </cell>
          <cell r="AV770">
            <v>9.4499999999999993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2.0100000000000001E-3</v>
          </cell>
          <cell r="DB770">
            <v>9.4499999999999993</v>
          </cell>
          <cell r="DC770">
            <v>0</v>
          </cell>
          <cell r="DD770">
            <v>0</v>
          </cell>
          <cell r="DE770">
            <v>2.0100000000000001E-3</v>
          </cell>
          <cell r="DF770">
            <v>9.4499999999999993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2.0100000000000001E-3</v>
          </cell>
          <cell r="DX770">
            <v>9.4499999999999993</v>
          </cell>
          <cell r="DY770" t="str">
            <v/>
          </cell>
          <cell r="DZ770">
            <v>0</v>
          </cell>
          <cell r="EA770">
            <v>4701.492537313432</v>
          </cell>
        </row>
        <row r="771">
          <cell r="B771">
            <v>338379</v>
          </cell>
          <cell r="C771" t="str">
            <v>მარ.კიტრის_ბიზიმ ტარლა_670კგ_11ც+1ც</v>
          </cell>
          <cell r="D771" t="str">
            <v>AZB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8.0400000000000003E-3</v>
          </cell>
          <cell r="AL771">
            <v>55</v>
          </cell>
          <cell r="AO771">
            <v>8.0400000000000003E-3</v>
          </cell>
          <cell r="AP771">
            <v>55</v>
          </cell>
          <cell r="AS771">
            <v>0</v>
          </cell>
          <cell r="AT771">
            <v>0</v>
          </cell>
          <cell r="AU771">
            <v>1.6080000000000001E-2</v>
          </cell>
          <cell r="AV771">
            <v>108.35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8.0400000000000003E-3</v>
          </cell>
          <cell r="BD771">
            <v>53.35</v>
          </cell>
          <cell r="BE771">
            <v>8.0400000000000003E-3</v>
          </cell>
          <cell r="BF771">
            <v>53.35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S771">
            <v>0</v>
          </cell>
          <cell r="CT771">
            <v>0</v>
          </cell>
          <cell r="CU771">
            <v>0</v>
          </cell>
          <cell r="CV771">
            <v>0</v>
          </cell>
          <cell r="CW771">
            <v>0</v>
          </cell>
          <cell r="CX771">
            <v>0</v>
          </cell>
          <cell r="CY771">
            <v>0</v>
          </cell>
          <cell r="CZ771">
            <v>0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0</v>
          </cell>
          <cell r="DJ771">
            <v>0</v>
          </cell>
          <cell r="DK771">
            <v>0</v>
          </cell>
          <cell r="DL771">
            <v>0</v>
          </cell>
          <cell r="DM771">
            <v>0</v>
          </cell>
          <cell r="DN771">
            <v>0</v>
          </cell>
          <cell r="DO771">
            <v>0</v>
          </cell>
          <cell r="DP771">
            <v>0</v>
          </cell>
          <cell r="DQ771">
            <v>0</v>
          </cell>
          <cell r="DR771">
            <v>0</v>
          </cell>
          <cell r="DS771">
            <v>0</v>
          </cell>
          <cell r="DT771">
            <v>0</v>
          </cell>
          <cell r="DU771">
            <v>0</v>
          </cell>
          <cell r="DV771">
            <v>0</v>
          </cell>
          <cell r="DW771">
            <v>1.6080000000000001E-2</v>
          </cell>
          <cell r="DX771">
            <v>108.35</v>
          </cell>
          <cell r="DY771" t="str">
            <v/>
          </cell>
          <cell r="DZ771">
            <v>0</v>
          </cell>
          <cell r="EA771">
            <v>6738.1840796019897</v>
          </cell>
        </row>
        <row r="772">
          <cell r="B772">
            <v>297015</v>
          </cell>
          <cell r="C772" t="str">
            <v>მარ.კიტრის-ჩვ.სუფრა_700გ_11ც+1ც</v>
          </cell>
          <cell r="D772" t="str">
            <v>AZB</v>
          </cell>
          <cell r="E772">
            <v>0</v>
          </cell>
          <cell r="F772">
            <v>0</v>
          </cell>
          <cell r="G772">
            <v>2.52E-2</v>
          </cell>
          <cell r="H772">
            <v>133.94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O772">
            <v>2.52E-2</v>
          </cell>
          <cell r="P772">
            <v>133.94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8.3999999999999995E-3</v>
          </cell>
          <cell r="AJ772">
            <v>44.49</v>
          </cell>
          <cell r="AK772">
            <v>8.3999999999999995E-3</v>
          </cell>
          <cell r="AL772">
            <v>45.87</v>
          </cell>
          <cell r="AO772">
            <v>1.6799999999999999E-2</v>
          </cell>
          <cell r="AP772">
            <v>90.36</v>
          </cell>
          <cell r="AS772">
            <v>0</v>
          </cell>
          <cell r="AT772">
            <v>0</v>
          </cell>
          <cell r="AU772">
            <v>0.1764</v>
          </cell>
          <cell r="AV772">
            <v>933.93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8.3999999999999995E-3</v>
          </cell>
          <cell r="BH772">
            <v>44</v>
          </cell>
          <cell r="BI772">
            <v>8.3999999999999995E-3</v>
          </cell>
          <cell r="BJ772">
            <v>44.49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8.3999999999999995E-3</v>
          </cell>
          <cell r="BP772">
            <v>42.24</v>
          </cell>
          <cell r="BQ772">
            <v>0</v>
          </cell>
          <cell r="BR772">
            <v>0</v>
          </cell>
          <cell r="BS772">
            <v>2.52E-2</v>
          </cell>
          <cell r="BT772">
            <v>130.72999999999999</v>
          </cell>
          <cell r="BU772">
            <v>1.6799999999999999E-2</v>
          </cell>
          <cell r="BV772">
            <v>88.55</v>
          </cell>
          <cell r="BW772">
            <v>1.6799999999999999E-2</v>
          </cell>
          <cell r="BX772">
            <v>90.36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3.3599999999999998E-2</v>
          </cell>
          <cell r="CJ772">
            <v>178.91</v>
          </cell>
          <cell r="CK772">
            <v>5.8799999999999998E-2</v>
          </cell>
          <cell r="CL772">
            <v>309.64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S772">
            <v>0</v>
          </cell>
          <cell r="CT772">
            <v>0</v>
          </cell>
          <cell r="CU772">
            <v>3.3599999999999998E-2</v>
          </cell>
          <cell r="CV772">
            <v>176.64</v>
          </cell>
          <cell r="CW772">
            <v>0</v>
          </cell>
          <cell r="CX772">
            <v>0</v>
          </cell>
          <cell r="CY772">
            <v>0</v>
          </cell>
          <cell r="CZ772">
            <v>0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1.6799999999999999E-2</v>
          </cell>
          <cell r="DH772">
            <v>88.49</v>
          </cell>
          <cell r="DI772">
            <v>0</v>
          </cell>
          <cell r="DJ772">
            <v>0</v>
          </cell>
          <cell r="DK772">
            <v>2.52E-2</v>
          </cell>
          <cell r="DL772">
            <v>134.86000000000001</v>
          </cell>
          <cell r="DM772">
            <v>4.2000000000000003E-2</v>
          </cell>
          <cell r="DN772">
            <v>223.35</v>
          </cell>
          <cell r="DO772">
            <v>8.3999999999999995E-3</v>
          </cell>
          <cell r="DP772">
            <v>44.49</v>
          </cell>
          <cell r="DQ772">
            <v>1.6799999999999999E-2</v>
          </cell>
          <cell r="DR772">
            <v>86.28</v>
          </cell>
          <cell r="DS772">
            <v>8.3999999999999995E-3</v>
          </cell>
          <cell r="DT772">
            <v>45.87</v>
          </cell>
          <cell r="DU772">
            <v>3.3599999999999998E-2</v>
          </cell>
          <cell r="DV772">
            <v>176.64</v>
          </cell>
          <cell r="DW772">
            <v>0.1764</v>
          </cell>
          <cell r="DX772">
            <v>933.93000000000006</v>
          </cell>
          <cell r="DY772" t="str">
            <v/>
          </cell>
          <cell r="DZ772">
            <v>0</v>
          </cell>
          <cell r="EA772">
            <v>5294.3877551020414</v>
          </cell>
        </row>
        <row r="773">
          <cell r="B773">
            <v>386859</v>
          </cell>
          <cell r="C773" t="str">
            <v>მარ.კიდრის_ბიზიმ ტარლა_0.67კგ_11ც+1ც</v>
          </cell>
          <cell r="D773" t="str">
            <v>AZB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O773">
            <v>0</v>
          </cell>
          <cell r="AP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O773">
            <v>0</v>
          </cell>
          <cell r="CP773">
            <v>0</v>
          </cell>
          <cell r="CQ773">
            <v>0</v>
          </cell>
          <cell r="CR773">
            <v>0</v>
          </cell>
          <cell r="CS773">
            <v>0</v>
          </cell>
          <cell r="CT773">
            <v>0</v>
          </cell>
          <cell r="CU773">
            <v>0</v>
          </cell>
          <cell r="CV773">
            <v>0</v>
          </cell>
          <cell r="CW773">
            <v>0</v>
          </cell>
          <cell r="CX773">
            <v>0</v>
          </cell>
          <cell r="CY773">
            <v>0</v>
          </cell>
          <cell r="CZ773">
            <v>0</v>
          </cell>
          <cell r="DA773">
            <v>0</v>
          </cell>
          <cell r="DB773">
            <v>0</v>
          </cell>
          <cell r="DC773">
            <v>0</v>
          </cell>
          <cell r="DD773">
            <v>0</v>
          </cell>
          <cell r="DE773">
            <v>0</v>
          </cell>
          <cell r="DF773">
            <v>0</v>
          </cell>
          <cell r="DG773">
            <v>0</v>
          </cell>
          <cell r="DH773">
            <v>0</v>
          </cell>
          <cell r="DI773">
            <v>0</v>
          </cell>
          <cell r="DJ773">
            <v>0</v>
          </cell>
          <cell r="DK773">
            <v>0</v>
          </cell>
          <cell r="DL773">
            <v>0</v>
          </cell>
          <cell r="DM773">
            <v>0</v>
          </cell>
          <cell r="DN773">
            <v>0</v>
          </cell>
          <cell r="DO773">
            <v>0</v>
          </cell>
          <cell r="DP773">
            <v>0</v>
          </cell>
          <cell r="DQ773">
            <v>0</v>
          </cell>
          <cell r="DR773">
            <v>0</v>
          </cell>
          <cell r="DS773">
            <v>0</v>
          </cell>
          <cell r="DT773">
            <v>0</v>
          </cell>
          <cell r="DU773">
            <v>0</v>
          </cell>
          <cell r="DV773">
            <v>0</v>
          </cell>
          <cell r="DW773">
            <v>0</v>
          </cell>
          <cell r="DX773">
            <v>0</v>
          </cell>
          <cell r="DY773" t="str">
            <v/>
          </cell>
          <cell r="DZ773" t="str">
            <v>pasiv</v>
          </cell>
          <cell r="EA773" t="e">
            <v>#DIV/0!</v>
          </cell>
        </row>
        <row r="774">
          <cell r="B774">
            <v>386860</v>
          </cell>
          <cell r="C774" t="str">
            <v>მარ.ბიზიმ ტარლა-ბოსტ.ალორტი-0.67 კგ_11ც+1ც</v>
          </cell>
          <cell r="D774" t="str">
            <v>AZB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O774">
            <v>0</v>
          </cell>
          <cell r="AP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S774">
            <v>0</v>
          </cell>
          <cell r="CT774">
            <v>0</v>
          </cell>
          <cell r="CU774">
            <v>0</v>
          </cell>
          <cell r="CV774">
            <v>0</v>
          </cell>
          <cell r="CW774">
            <v>0</v>
          </cell>
          <cell r="CX774">
            <v>0</v>
          </cell>
          <cell r="CY774">
            <v>0</v>
          </cell>
          <cell r="CZ774">
            <v>0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  <cell r="DL774">
            <v>0</v>
          </cell>
          <cell r="DM774">
            <v>0</v>
          </cell>
          <cell r="DN774">
            <v>0</v>
          </cell>
          <cell r="DO774">
            <v>0</v>
          </cell>
          <cell r="DP774">
            <v>0</v>
          </cell>
          <cell r="DQ774">
            <v>0</v>
          </cell>
          <cell r="DR774">
            <v>0</v>
          </cell>
          <cell r="DS774">
            <v>0</v>
          </cell>
          <cell r="DT774">
            <v>0</v>
          </cell>
          <cell r="DU774">
            <v>0</v>
          </cell>
          <cell r="DV774">
            <v>0</v>
          </cell>
          <cell r="DW774">
            <v>0</v>
          </cell>
          <cell r="DX774">
            <v>0</v>
          </cell>
          <cell r="DY774" t="str">
            <v/>
          </cell>
          <cell r="DZ774" t="str">
            <v>pasiv</v>
          </cell>
          <cell r="EA774" t="e">
            <v>#DIV/0!</v>
          </cell>
        </row>
        <row r="775">
          <cell r="B775">
            <v>268113</v>
          </cell>
          <cell r="C775" t="str">
            <v>მარ.ბიზიმ ტარლა-ბოსტ.ასორტი-0.67კგ*12</v>
          </cell>
          <cell r="D775" t="str">
            <v>AZB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O775">
            <v>0</v>
          </cell>
          <cell r="AP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O775">
            <v>0</v>
          </cell>
          <cell r="CP775">
            <v>0</v>
          </cell>
          <cell r="CQ775">
            <v>0</v>
          </cell>
          <cell r="CR775">
            <v>0</v>
          </cell>
          <cell r="CS775">
            <v>0</v>
          </cell>
          <cell r="CT775">
            <v>0</v>
          </cell>
          <cell r="CU775">
            <v>0</v>
          </cell>
          <cell r="CV775">
            <v>0</v>
          </cell>
          <cell r="CW775">
            <v>0</v>
          </cell>
          <cell r="CX775">
            <v>0</v>
          </cell>
          <cell r="CY775">
            <v>0</v>
          </cell>
          <cell r="CZ775">
            <v>0</v>
          </cell>
          <cell r="DA775">
            <v>0</v>
          </cell>
          <cell r="DB775">
            <v>0</v>
          </cell>
          <cell r="DC775">
            <v>0</v>
          </cell>
          <cell r="DD775">
            <v>0</v>
          </cell>
          <cell r="DE775">
            <v>0</v>
          </cell>
          <cell r="DF775">
            <v>0</v>
          </cell>
          <cell r="DG775">
            <v>0</v>
          </cell>
          <cell r="DH775">
            <v>0</v>
          </cell>
          <cell r="DI775">
            <v>0</v>
          </cell>
          <cell r="DJ775">
            <v>0</v>
          </cell>
          <cell r="DK775">
            <v>0</v>
          </cell>
          <cell r="DL775">
            <v>0</v>
          </cell>
          <cell r="DM775">
            <v>0</v>
          </cell>
          <cell r="DN775">
            <v>0</v>
          </cell>
          <cell r="DO775">
            <v>0</v>
          </cell>
          <cell r="DP775">
            <v>0</v>
          </cell>
          <cell r="DQ775">
            <v>0</v>
          </cell>
          <cell r="DR775">
            <v>0</v>
          </cell>
          <cell r="DS775">
            <v>0</v>
          </cell>
          <cell r="DT775">
            <v>0</v>
          </cell>
          <cell r="DU775">
            <v>0</v>
          </cell>
          <cell r="DV775">
            <v>0</v>
          </cell>
          <cell r="DW775">
            <v>0</v>
          </cell>
          <cell r="DX775">
            <v>0</v>
          </cell>
          <cell r="DY775" t="str">
            <v/>
          </cell>
          <cell r="DZ775" t="str">
            <v>pasiv</v>
          </cell>
          <cell r="EA775" t="e">
            <v>#DIV/0!</v>
          </cell>
        </row>
        <row r="776">
          <cell r="B776">
            <v>252829</v>
          </cell>
          <cell r="C776" t="str">
            <v>მარ.მწარე წიწაკის_ბიზ.ტარლა_600გრ*12</v>
          </cell>
          <cell r="D776" t="str">
            <v>AZB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O776">
            <v>0</v>
          </cell>
          <cell r="AP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0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  <cell r="DX776">
            <v>0</v>
          </cell>
          <cell r="DY776" t="str">
            <v/>
          </cell>
          <cell r="DZ776" t="str">
            <v>pasiv</v>
          </cell>
          <cell r="EA776" t="e">
            <v>#DIV/0!</v>
          </cell>
        </row>
        <row r="777">
          <cell r="B777">
            <v>178464</v>
          </cell>
          <cell r="C777" t="str">
            <v>მარ.მწარე წიწაკის_სავილე_350გრ*20</v>
          </cell>
          <cell r="D777" t="str">
            <v>AZB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O777">
            <v>0</v>
          </cell>
          <cell r="AP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  <cell r="DX777">
            <v>0</v>
          </cell>
          <cell r="DY777" t="str">
            <v/>
          </cell>
          <cell r="DZ777" t="str">
            <v>pasiv</v>
          </cell>
          <cell r="EA777" t="e">
            <v>#DIV/0!</v>
          </cell>
        </row>
        <row r="778">
          <cell r="B778">
            <v>177927</v>
          </cell>
          <cell r="C778" t="str">
            <v>მარ.მწარე წიწაკის_სავილე_680გრ*12</v>
          </cell>
          <cell r="D778" t="str">
            <v>AZB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O778">
            <v>0</v>
          </cell>
          <cell r="AP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O778">
            <v>0</v>
          </cell>
          <cell r="CP778">
            <v>0</v>
          </cell>
          <cell r="CQ778">
            <v>0</v>
          </cell>
          <cell r="CR778">
            <v>0</v>
          </cell>
          <cell r="CS778">
            <v>0</v>
          </cell>
          <cell r="CT778">
            <v>0</v>
          </cell>
          <cell r="CU778">
            <v>0</v>
          </cell>
          <cell r="CV778">
            <v>0</v>
          </cell>
          <cell r="CW778">
            <v>0</v>
          </cell>
          <cell r="CX778">
            <v>0</v>
          </cell>
          <cell r="CY778">
            <v>0</v>
          </cell>
          <cell r="CZ778">
            <v>0</v>
          </cell>
          <cell r="DA778">
            <v>0</v>
          </cell>
          <cell r="DB778">
            <v>0</v>
          </cell>
          <cell r="DC778">
            <v>0</v>
          </cell>
          <cell r="DD778">
            <v>0</v>
          </cell>
          <cell r="DE778">
            <v>0</v>
          </cell>
          <cell r="DF778">
            <v>0</v>
          </cell>
          <cell r="DG778">
            <v>0</v>
          </cell>
          <cell r="DH778">
            <v>0</v>
          </cell>
          <cell r="DI778">
            <v>0</v>
          </cell>
          <cell r="DJ778">
            <v>0</v>
          </cell>
          <cell r="DK778">
            <v>0</v>
          </cell>
          <cell r="DL778">
            <v>0</v>
          </cell>
          <cell r="DM778">
            <v>0</v>
          </cell>
          <cell r="DN778">
            <v>0</v>
          </cell>
          <cell r="DO778">
            <v>0</v>
          </cell>
          <cell r="DP778">
            <v>0</v>
          </cell>
          <cell r="DQ778">
            <v>0</v>
          </cell>
          <cell r="DR778">
            <v>0</v>
          </cell>
          <cell r="DS778">
            <v>0</v>
          </cell>
          <cell r="DT778">
            <v>0</v>
          </cell>
          <cell r="DU778">
            <v>0</v>
          </cell>
          <cell r="DV778">
            <v>0</v>
          </cell>
          <cell r="DW778">
            <v>0</v>
          </cell>
          <cell r="DX778">
            <v>0</v>
          </cell>
          <cell r="DY778" t="str">
            <v/>
          </cell>
          <cell r="DZ778" t="str">
            <v>pasiv</v>
          </cell>
          <cell r="EA778" t="e">
            <v>#DIV/0!</v>
          </cell>
        </row>
        <row r="779">
          <cell r="B779">
            <v>338382</v>
          </cell>
          <cell r="C779" t="str">
            <v>მარ.წით.პომიდვრის_ბიზიმ ტარლა_670კგ_11ც+1ც</v>
          </cell>
          <cell r="D779" t="str">
            <v>AZB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O779">
            <v>0</v>
          </cell>
          <cell r="AP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O779">
            <v>0</v>
          </cell>
          <cell r="CP779">
            <v>0</v>
          </cell>
          <cell r="CQ779">
            <v>0</v>
          </cell>
          <cell r="CR779">
            <v>0</v>
          </cell>
          <cell r="CS779">
            <v>0</v>
          </cell>
          <cell r="CT779">
            <v>0</v>
          </cell>
          <cell r="CU779">
            <v>0</v>
          </cell>
          <cell r="CV779">
            <v>0</v>
          </cell>
          <cell r="CW779">
            <v>0</v>
          </cell>
          <cell r="CX779">
            <v>0</v>
          </cell>
          <cell r="CY779">
            <v>0</v>
          </cell>
          <cell r="CZ779">
            <v>0</v>
          </cell>
          <cell r="DA779">
            <v>0</v>
          </cell>
          <cell r="DB779">
            <v>0</v>
          </cell>
          <cell r="DC779">
            <v>0</v>
          </cell>
          <cell r="DD779">
            <v>0</v>
          </cell>
          <cell r="DE779">
            <v>0</v>
          </cell>
          <cell r="DF779">
            <v>0</v>
          </cell>
          <cell r="DG779">
            <v>0</v>
          </cell>
          <cell r="DH779">
            <v>0</v>
          </cell>
          <cell r="DI779">
            <v>0</v>
          </cell>
          <cell r="DJ779">
            <v>0</v>
          </cell>
          <cell r="DK779">
            <v>0</v>
          </cell>
          <cell r="DL779">
            <v>0</v>
          </cell>
          <cell r="DM779">
            <v>0</v>
          </cell>
          <cell r="DN779">
            <v>0</v>
          </cell>
          <cell r="DO779">
            <v>0</v>
          </cell>
          <cell r="DP779">
            <v>0</v>
          </cell>
          <cell r="DQ779">
            <v>0</v>
          </cell>
          <cell r="DR779">
            <v>0</v>
          </cell>
          <cell r="DS779">
            <v>0</v>
          </cell>
          <cell r="DT779">
            <v>0</v>
          </cell>
          <cell r="DU779">
            <v>0</v>
          </cell>
          <cell r="DV779">
            <v>0</v>
          </cell>
          <cell r="DW779">
            <v>0</v>
          </cell>
          <cell r="DX779">
            <v>0</v>
          </cell>
          <cell r="DY779" t="str">
            <v/>
          </cell>
          <cell r="DZ779" t="str">
            <v>pasiv</v>
          </cell>
          <cell r="EA779" t="e">
            <v>#DIV/0!</v>
          </cell>
        </row>
        <row r="780">
          <cell r="B780">
            <v>381751</v>
          </cell>
          <cell r="C780" t="str">
            <v>მარ.ბოსტანი_ვაზის ფოთლები-250გ*12</v>
          </cell>
          <cell r="D780" t="str">
            <v>AZB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3.0000000000000001E-3</v>
          </cell>
          <cell r="T780">
            <v>30.85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3.0000000000000001E-3</v>
          </cell>
          <cell r="Z780">
            <v>30.85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O780">
            <v>0</v>
          </cell>
          <cell r="AP780">
            <v>0</v>
          </cell>
          <cell r="AS780">
            <v>0</v>
          </cell>
          <cell r="AT780">
            <v>0</v>
          </cell>
          <cell r="AU780">
            <v>1.7500000000000002E-2</v>
          </cell>
          <cell r="AV780">
            <v>192.09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4.2500000000000003E-3</v>
          </cell>
          <cell r="BH780">
            <v>47.26</v>
          </cell>
          <cell r="BI780">
            <v>0</v>
          </cell>
          <cell r="BJ780">
            <v>0</v>
          </cell>
          <cell r="BK780">
            <v>5.0000000000000001E-4</v>
          </cell>
          <cell r="BL780">
            <v>5.56</v>
          </cell>
          <cell r="BM780">
            <v>2E-3</v>
          </cell>
          <cell r="BN780">
            <v>22.24</v>
          </cell>
          <cell r="BO780">
            <v>1.25E-3</v>
          </cell>
          <cell r="BP780">
            <v>13.9</v>
          </cell>
          <cell r="BQ780">
            <v>0</v>
          </cell>
          <cell r="BR780">
            <v>0</v>
          </cell>
          <cell r="BS780">
            <v>8.0000000000000002E-3</v>
          </cell>
          <cell r="BT780">
            <v>88.96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1.5E-3</v>
          </cell>
          <cell r="BZ780">
            <v>16.68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1.5E-3</v>
          </cell>
          <cell r="CJ780">
            <v>16.68</v>
          </cell>
          <cell r="CK780">
            <v>9.4999999999999998E-3</v>
          </cell>
          <cell r="CL780">
            <v>105.63999999999999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S780">
            <v>0</v>
          </cell>
          <cell r="CT780">
            <v>0</v>
          </cell>
          <cell r="CU780">
            <v>0</v>
          </cell>
          <cell r="CV780">
            <v>0</v>
          </cell>
          <cell r="CW780">
            <v>0</v>
          </cell>
          <cell r="CX780">
            <v>0</v>
          </cell>
          <cell r="CY780">
            <v>3.0000000000000001E-3</v>
          </cell>
          <cell r="CZ780">
            <v>33.36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3.0000000000000001E-3</v>
          </cell>
          <cell r="DF780">
            <v>33.36</v>
          </cell>
          <cell r="DG780">
            <v>1.5E-3</v>
          </cell>
          <cell r="DH780">
            <v>16.68</v>
          </cell>
          <cell r="DI780">
            <v>5.0000000000000001E-4</v>
          </cell>
          <cell r="DJ780">
            <v>5.56</v>
          </cell>
          <cell r="DK780">
            <v>0</v>
          </cell>
          <cell r="DL780">
            <v>0</v>
          </cell>
          <cell r="DM780">
            <v>2E-3</v>
          </cell>
          <cell r="DN780">
            <v>22.24</v>
          </cell>
          <cell r="DO780">
            <v>0</v>
          </cell>
          <cell r="DP780">
            <v>0</v>
          </cell>
          <cell r="DQ780">
            <v>0</v>
          </cell>
          <cell r="DR780">
            <v>0</v>
          </cell>
          <cell r="DS780">
            <v>0</v>
          </cell>
          <cell r="DT780">
            <v>0</v>
          </cell>
          <cell r="DU780">
            <v>0</v>
          </cell>
          <cell r="DV780">
            <v>0</v>
          </cell>
          <cell r="DW780">
            <v>1.7499999999999998E-2</v>
          </cell>
          <cell r="DX780">
            <v>192.08999999999997</v>
          </cell>
          <cell r="DY780" t="str">
            <v/>
          </cell>
          <cell r="DZ780">
            <v>0</v>
          </cell>
          <cell r="EA780">
            <v>10976.571428571428</v>
          </cell>
        </row>
        <row r="781">
          <cell r="B781">
            <v>96841</v>
          </cell>
          <cell r="C781" t="str">
            <v>CHVENI SUPRA TURSU XIYAR_700 GR*12</v>
          </cell>
          <cell r="D781" t="str">
            <v>AZB</v>
          </cell>
          <cell r="E781">
            <v>0</v>
          </cell>
          <cell r="F781">
            <v>0</v>
          </cell>
          <cell r="G781">
            <v>4.1999999999999997E-3</v>
          </cell>
          <cell r="H781">
            <v>24.27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O781">
            <v>4.1999999999999997E-3</v>
          </cell>
          <cell r="P781">
            <v>24.27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4.1999999999999997E-3</v>
          </cell>
          <cell r="AD781">
            <v>26.28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2.8E-3</v>
          </cell>
          <cell r="AJ781">
            <v>17.52</v>
          </cell>
          <cell r="AK781">
            <v>1.0500000000000001E-2</v>
          </cell>
          <cell r="AL781">
            <v>65.7</v>
          </cell>
          <cell r="AO781">
            <v>1.7500000000000002E-2</v>
          </cell>
          <cell r="AP781">
            <v>109.5</v>
          </cell>
          <cell r="AS781">
            <v>0</v>
          </cell>
          <cell r="AT781">
            <v>0</v>
          </cell>
          <cell r="AU781">
            <v>0.224</v>
          </cell>
          <cell r="AV781">
            <v>1401.62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4.1999999999999997E-3</v>
          </cell>
          <cell r="BD781">
            <v>26.28</v>
          </cell>
          <cell r="BE781">
            <v>4.1999999999999997E-3</v>
          </cell>
          <cell r="BF781">
            <v>26.28</v>
          </cell>
          <cell r="BG781">
            <v>0</v>
          </cell>
          <cell r="BH781">
            <v>0</v>
          </cell>
          <cell r="BI781">
            <v>8.3999999999999995E-3</v>
          </cell>
          <cell r="BJ781">
            <v>52.56</v>
          </cell>
          <cell r="BK781">
            <v>6.9999999999999999E-4</v>
          </cell>
          <cell r="BL781">
            <v>4.38</v>
          </cell>
          <cell r="BM781">
            <v>9.7999999999999997E-3</v>
          </cell>
          <cell r="BN781">
            <v>60.56</v>
          </cell>
          <cell r="BO781">
            <v>2.6599999999999999E-2</v>
          </cell>
          <cell r="BP781">
            <v>162.91999999999999</v>
          </cell>
          <cell r="BQ781">
            <v>0</v>
          </cell>
          <cell r="BR781">
            <v>0</v>
          </cell>
          <cell r="BS781">
            <v>4.5499999999999999E-2</v>
          </cell>
          <cell r="BT781">
            <v>280.42</v>
          </cell>
          <cell r="BU781">
            <v>2.8E-3</v>
          </cell>
          <cell r="BV781">
            <v>16.68</v>
          </cell>
          <cell r="BW781">
            <v>6.3E-3</v>
          </cell>
          <cell r="BX781">
            <v>36.78</v>
          </cell>
          <cell r="BY781">
            <v>0</v>
          </cell>
          <cell r="BZ781">
            <v>0</v>
          </cell>
          <cell r="CA781">
            <v>1.26E-2</v>
          </cell>
          <cell r="CB781">
            <v>78.84</v>
          </cell>
          <cell r="CC781">
            <v>2.52E-2</v>
          </cell>
          <cell r="CD781">
            <v>157.68</v>
          </cell>
          <cell r="CE781">
            <v>2.52E-2</v>
          </cell>
          <cell r="CF781">
            <v>166.56</v>
          </cell>
          <cell r="CG781">
            <v>0</v>
          </cell>
          <cell r="CH781">
            <v>0</v>
          </cell>
          <cell r="CI781">
            <v>7.2099999999999997E-2</v>
          </cell>
          <cell r="CJ781">
            <v>456.54</v>
          </cell>
          <cell r="CK781">
            <v>0.1176</v>
          </cell>
          <cell r="CL781">
            <v>736.96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S781">
            <v>0</v>
          </cell>
          <cell r="CT781">
            <v>0</v>
          </cell>
          <cell r="CU781">
            <v>3.0099999999999998E-2</v>
          </cell>
          <cell r="CV781">
            <v>184.81</v>
          </cell>
          <cell r="CW781">
            <v>0</v>
          </cell>
          <cell r="CX781">
            <v>0</v>
          </cell>
          <cell r="CY781">
            <v>4.2000000000000003E-2</v>
          </cell>
          <cell r="CZ781">
            <v>267.24</v>
          </cell>
          <cell r="DA781">
            <v>0</v>
          </cell>
          <cell r="DB781">
            <v>0</v>
          </cell>
          <cell r="DC781">
            <v>8.3999999999999995E-3</v>
          </cell>
          <cell r="DD781">
            <v>52.56</v>
          </cell>
          <cell r="DE781">
            <v>5.04E-2</v>
          </cell>
          <cell r="DF781">
            <v>319.8</v>
          </cell>
          <cell r="DG781">
            <v>0</v>
          </cell>
          <cell r="DH781">
            <v>0</v>
          </cell>
          <cell r="DI781">
            <v>0</v>
          </cell>
          <cell r="DJ781">
            <v>0</v>
          </cell>
          <cell r="DK781">
            <v>0</v>
          </cell>
          <cell r="DL781">
            <v>0</v>
          </cell>
          <cell r="DM781">
            <v>0</v>
          </cell>
          <cell r="DN781">
            <v>0</v>
          </cell>
          <cell r="DO781">
            <v>0</v>
          </cell>
          <cell r="DP781">
            <v>0</v>
          </cell>
          <cell r="DQ781">
            <v>1.7500000000000002E-2</v>
          </cell>
          <cell r="DR781">
            <v>105.97</v>
          </cell>
          <cell r="DS781">
            <v>1.26E-2</v>
          </cell>
          <cell r="DT781">
            <v>78.84</v>
          </cell>
          <cell r="DU781">
            <v>3.0099999999999998E-2</v>
          </cell>
          <cell r="DV781">
            <v>184.81</v>
          </cell>
          <cell r="DW781">
            <v>0.224</v>
          </cell>
          <cell r="DX781">
            <v>1401.6200000000001</v>
          </cell>
          <cell r="DY781" t="str">
            <v/>
          </cell>
          <cell r="DZ781">
            <v>0</v>
          </cell>
          <cell r="EA781">
            <v>6257.2321428571431</v>
          </cell>
        </row>
        <row r="782">
          <cell r="B782">
            <v>324548</v>
          </cell>
          <cell r="C782" t="str">
            <v>მარ.კიტრის-ჩვენი სუფრა-700გ*12-კორნიშონი</v>
          </cell>
          <cell r="D782" t="str">
            <v>AZB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O782">
            <v>0</v>
          </cell>
          <cell r="AP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O782">
            <v>0</v>
          </cell>
          <cell r="CP782">
            <v>0</v>
          </cell>
          <cell r="CQ782">
            <v>0</v>
          </cell>
          <cell r="CR782">
            <v>0</v>
          </cell>
          <cell r="CS782">
            <v>0</v>
          </cell>
          <cell r="CT782">
            <v>0</v>
          </cell>
          <cell r="CU782">
            <v>0</v>
          </cell>
          <cell r="CV782">
            <v>0</v>
          </cell>
          <cell r="CW782">
            <v>0</v>
          </cell>
          <cell r="CX782">
            <v>0</v>
          </cell>
          <cell r="CY782">
            <v>0</v>
          </cell>
          <cell r="CZ782">
            <v>0</v>
          </cell>
          <cell r="DA782">
            <v>0</v>
          </cell>
          <cell r="DB782">
            <v>0</v>
          </cell>
          <cell r="DC782">
            <v>0</v>
          </cell>
          <cell r="DD782">
            <v>0</v>
          </cell>
          <cell r="DE782">
            <v>0</v>
          </cell>
          <cell r="DF782">
            <v>0</v>
          </cell>
          <cell r="DG782">
            <v>0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  <cell r="DL782">
            <v>0</v>
          </cell>
          <cell r="DM782">
            <v>0</v>
          </cell>
          <cell r="DN782">
            <v>0</v>
          </cell>
          <cell r="DO782">
            <v>0</v>
          </cell>
          <cell r="DP782">
            <v>0</v>
          </cell>
          <cell r="DQ782">
            <v>0</v>
          </cell>
          <cell r="DR782">
            <v>0</v>
          </cell>
          <cell r="DS782">
            <v>0</v>
          </cell>
          <cell r="DT782">
            <v>0</v>
          </cell>
          <cell r="DU782">
            <v>0</v>
          </cell>
          <cell r="DV782">
            <v>0</v>
          </cell>
          <cell r="DW782">
            <v>0</v>
          </cell>
          <cell r="DX782">
            <v>0</v>
          </cell>
          <cell r="DY782" t="str">
            <v/>
          </cell>
          <cell r="DZ782" t="str">
            <v>pasiv</v>
          </cell>
          <cell r="EA782" t="e">
            <v>#DIV/0!</v>
          </cell>
        </row>
        <row r="783">
          <cell r="B783">
            <v>240370</v>
          </cell>
          <cell r="C783" t="str">
            <v>სავილე-ყურძნის ფოთლები-640გ*12</v>
          </cell>
          <cell r="D783" t="str">
            <v>AZB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O783">
            <v>0</v>
          </cell>
          <cell r="AP783">
            <v>0</v>
          </cell>
          <cell r="AS783">
            <v>0</v>
          </cell>
          <cell r="AT783">
            <v>0</v>
          </cell>
          <cell r="AU783">
            <v>1.2800000000000001E-3</v>
          </cell>
          <cell r="AV783">
            <v>11.2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O783">
            <v>0</v>
          </cell>
          <cell r="CP783">
            <v>0</v>
          </cell>
          <cell r="CQ783">
            <v>0</v>
          </cell>
          <cell r="CR783">
            <v>0</v>
          </cell>
          <cell r="CS783">
            <v>0</v>
          </cell>
          <cell r="CT783">
            <v>0</v>
          </cell>
          <cell r="CU783">
            <v>0</v>
          </cell>
          <cell r="CV783">
            <v>0</v>
          </cell>
          <cell r="CW783">
            <v>0</v>
          </cell>
          <cell r="CX783">
            <v>0</v>
          </cell>
          <cell r="CY783">
            <v>0</v>
          </cell>
          <cell r="CZ783">
            <v>0</v>
          </cell>
          <cell r="DA783">
            <v>0</v>
          </cell>
          <cell r="DB783">
            <v>0</v>
          </cell>
          <cell r="DC783">
            <v>0</v>
          </cell>
          <cell r="DD783">
            <v>0</v>
          </cell>
          <cell r="DE783">
            <v>0</v>
          </cell>
          <cell r="DF783">
            <v>0</v>
          </cell>
          <cell r="DG783">
            <v>0</v>
          </cell>
          <cell r="DH783">
            <v>0</v>
          </cell>
          <cell r="DI783">
            <v>0</v>
          </cell>
          <cell r="DJ783">
            <v>0</v>
          </cell>
          <cell r="DK783">
            <v>1.2800000000000001E-3</v>
          </cell>
          <cell r="DL783">
            <v>11.2</v>
          </cell>
          <cell r="DM783">
            <v>1.2800000000000001E-3</v>
          </cell>
          <cell r="DN783">
            <v>11.2</v>
          </cell>
          <cell r="DO783">
            <v>0</v>
          </cell>
          <cell r="DP783">
            <v>0</v>
          </cell>
          <cell r="DQ783">
            <v>0</v>
          </cell>
          <cell r="DR783">
            <v>0</v>
          </cell>
          <cell r="DS783">
            <v>0</v>
          </cell>
          <cell r="DT783">
            <v>0</v>
          </cell>
          <cell r="DU783">
            <v>0</v>
          </cell>
          <cell r="DV783">
            <v>0</v>
          </cell>
          <cell r="DW783">
            <v>1.2800000000000001E-3</v>
          </cell>
          <cell r="DX783">
            <v>11.2</v>
          </cell>
          <cell r="DY783" t="str">
            <v/>
          </cell>
          <cell r="DZ783">
            <v>0</v>
          </cell>
          <cell r="EA783">
            <v>8749.9999999999982</v>
          </cell>
        </row>
        <row r="784">
          <cell r="C784" t="str">
            <v>TURSU Turk-china</v>
          </cell>
          <cell r="D784" t="str">
            <v>TON</v>
          </cell>
          <cell r="E784">
            <v>9.5999999999999992E-3</v>
          </cell>
          <cell r="F784">
            <v>55.2</v>
          </cell>
          <cell r="G784">
            <v>2.3999999999999998E-3</v>
          </cell>
          <cell r="H784">
            <v>13.39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1.1999999999999999E-2</v>
          </cell>
          <cell r="P784">
            <v>68.59</v>
          </cell>
          <cell r="Q784">
            <v>0</v>
          </cell>
          <cell r="R784">
            <v>0</v>
          </cell>
          <cell r="S784">
            <v>1.6320000000000001E-2</v>
          </cell>
          <cell r="T784">
            <v>97.15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1.6320000000000001E-2</v>
          </cell>
          <cell r="Z784">
            <v>97.15</v>
          </cell>
          <cell r="AA784">
            <v>0</v>
          </cell>
          <cell r="AB784">
            <v>0</v>
          </cell>
          <cell r="AC784">
            <v>2.0400000000000001E-3</v>
          </cell>
          <cell r="AD784">
            <v>13.18</v>
          </cell>
          <cell r="AE784">
            <v>6.7000000000000002E-4</v>
          </cell>
          <cell r="AF784">
            <v>4.37</v>
          </cell>
          <cell r="AG784">
            <v>0</v>
          </cell>
          <cell r="AH784">
            <v>0</v>
          </cell>
          <cell r="AI784">
            <v>1.2579999999999999E-2</v>
          </cell>
          <cell r="AJ784">
            <v>89.54</v>
          </cell>
          <cell r="AK784">
            <v>2.0910000000000002E-2</v>
          </cell>
          <cell r="AL784">
            <v>137.81</v>
          </cell>
          <cell r="AM784">
            <v>0</v>
          </cell>
          <cell r="AN784">
            <v>0</v>
          </cell>
          <cell r="AO784">
            <v>3.6200000000000003E-2</v>
          </cell>
          <cell r="AP784">
            <v>244.90000000000003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0.27488000000000007</v>
          </cell>
          <cell r="AV784">
            <v>1875.7200000000003</v>
          </cell>
          <cell r="AW784">
            <v>0</v>
          </cell>
          <cell r="AX784">
            <v>0</v>
          </cell>
          <cell r="AY784">
            <v>9.4000000000000004E-3</v>
          </cell>
          <cell r="AZ784">
            <v>65.899999999999991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9.4000000000000004E-3</v>
          </cell>
          <cell r="BF784">
            <v>65.899999999999991</v>
          </cell>
          <cell r="BG784">
            <v>8.1600000000000006E-3</v>
          </cell>
          <cell r="BH784">
            <v>48</v>
          </cell>
          <cell r="BI784">
            <v>9.5999999999999992E-3</v>
          </cell>
          <cell r="BJ784">
            <v>57.96</v>
          </cell>
          <cell r="BK784">
            <v>2.0400000000000001E-3</v>
          </cell>
          <cell r="BL784">
            <v>14.52</v>
          </cell>
          <cell r="BM784">
            <v>1.5620000000000002E-2</v>
          </cell>
          <cell r="BN784">
            <v>143.68</v>
          </cell>
          <cell r="BO784">
            <v>8.0000000000000002E-3</v>
          </cell>
          <cell r="BP784">
            <v>48.3</v>
          </cell>
          <cell r="BQ784">
            <v>0</v>
          </cell>
          <cell r="BR784">
            <v>0</v>
          </cell>
          <cell r="BS784">
            <v>4.342E-2</v>
          </cell>
          <cell r="BT784">
            <v>312.46000000000004</v>
          </cell>
          <cell r="BU784">
            <v>0</v>
          </cell>
          <cell r="BV784">
            <v>0</v>
          </cell>
          <cell r="BW784">
            <v>5.2599999999999999E-3</v>
          </cell>
          <cell r="BX784">
            <v>44.120000000000005</v>
          </cell>
          <cell r="BY784">
            <v>0</v>
          </cell>
          <cell r="BZ784">
            <v>0</v>
          </cell>
          <cell r="CA784">
            <v>1.3480000000000001E-2</v>
          </cell>
          <cell r="CB784">
            <v>82.12</v>
          </cell>
          <cell r="CC784">
            <v>0</v>
          </cell>
          <cell r="CD784">
            <v>0</v>
          </cell>
          <cell r="CE784">
            <v>3.4000000000000002E-4</v>
          </cell>
          <cell r="CF784">
            <v>2.16</v>
          </cell>
          <cell r="CG784">
            <v>0</v>
          </cell>
          <cell r="CH784">
            <v>0</v>
          </cell>
          <cell r="CI784">
            <v>1.908E-2</v>
          </cell>
          <cell r="CJ784">
            <v>128.4</v>
          </cell>
          <cell r="CK784">
            <v>6.25E-2</v>
          </cell>
          <cell r="CL784">
            <v>440.86</v>
          </cell>
          <cell r="CM784">
            <v>0</v>
          </cell>
          <cell r="CN784">
            <v>0</v>
          </cell>
          <cell r="CO784">
            <v>0</v>
          </cell>
          <cell r="CP784">
            <v>0</v>
          </cell>
          <cell r="CQ784">
            <v>0</v>
          </cell>
          <cell r="CR784">
            <v>0</v>
          </cell>
          <cell r="CS784">
            <v>0</v>
          </cell>
          <cell r="CT784">
            <v>0</v>
          </cell>
          <cell r="CU784">
            <v>5.8800000000000005E-2</v>
          </cell>
          <cell r="CV784">
            <v>425.24</v>
          </cell>
          <cell r="CW784">
            <v>0</v>
          </cell>
          <cell r="CX784">
            <v>0</v>
          </cell>
          <cell r="CY784">
            <v>4.8959999999999997E-2</v>
          </cell>
          <cell r="CZ784">
            <v>345.6</v>
          </cell>
          <cell r="DA784">
            <v>9.5999999999999992E-3</v>
          </cell>
          <cell r="DB784">
            <v>57.96</v>
          </cell>
          <cell r="DC784">
            <v>5.0000000000000001E-4</v>
          </cell>
          <cell r="DD784">
            <v>1.3200000000000003</v>
          </cell>
          <cell r="DE784">
            <v>5.9059999999999994E-2</v>
          </cell>
          <cell r="DF784">
            <v>404.88</v>
          </cell>
          <cell r="DG784">
            <v>0</v>
          </cell>
          <cell r="DH784">
            <v>0</v>
          </cell>
          <cell r="DI784">
            <v>1.26E-2</v>
          </cell>
          <cell r="DJ784">
            <v>74.900000000000006</v>
          </cell>
          <cell r="DK784">
            <v>8.0000000000000002E-3</v>
          </cell>
          <cell r="DL784">
            <v>53.3</v>
          </cell>
          <cell r="DM784">
            <v>2.06E-2</v>
          </cell>
          <cell r="DN784">
            <v>128.19999999999999</v>
          </cell>
          <cell r="DO784">
            <v>1.968E-2</v>
          </cell>
          <cell r="DP784">
            <v>123.2</v>
          </cell>
          <cell r="DQ784">
            <v>4.0800000000000003E-3</v>
          </cell>
          <cell r="DR784">
            <v>29.04</v>
          </cell>
          <cell r="DS784">
            <v>3.5040000000000002E-2</v>
          </cell>
          <cell r="DT784">
            <v>273</v>
          </cell>
          <cell r="DU784">
            <v>5.8800000000000005E-2</v>
          </cell>
          <cell r="DV784">
            <v>425.24</v>
          </cell>
          <cell r="DW784">
            <v>0.27488000000000001</v>
          </cell>
          <cell r="DX784">
            <v>1875.7200000000003</v>
          </cell>
        </row>
        <row r="785">
          <cell r="C785" t="str">
            <v>TURSU AZB</v>
          </cell>
          <cell r="D785" t="str">
            <v>TON</v>
          </cell>
          <cell r="E785">
            <v>0</v>
          </cell>
          <cell r="F785">
            <v>0</v>
          </cell>
          <cell r="G785">
            <v>2.9399999999999999E-2</v>
          </cell>
          <cell r="H785">
            <v>158.21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2.9399999999999999E-2</v>
          </cell>
          <cell r="P785">
            <v>158.21</v>
          </cell>
          <cell r="Q785">
            <v>0</v>
          </cell>
          <cell r="R785">
            <v>0</v>
          </cell>
          <cell r="S785">
            <v>3.0000000000000001E-3</v>
          </cell>
          <cell r="T785">
            <v>30.85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3.0000000000000001E-3</v>
          </cell>
          <cell r="Z785">
            <v>30.85</v>
          </cell>
          <cell r="AA785">
            <v>0</v>
          </cell>
          <cell r="AB785">
            <v>0</v>
          </cell>
          <cell r="AC785">
            <v>7.7999999999999996E-3</v>
          </cell>
          <cell r="AD785">
            <v>63.36</v>
          </cell>
          <cell r="AE785">
            <v>0</v>
          </cell>
          <cell r="AF785">
            <v>0</v>
          </cell>
          <cell r="AG785">
            <v>2.3999999999999998E-3</v>
          </cell>
          <cell r="AH785">
            <v>18.48</v>
          </cell>
          <cell r="AI785">
            <v>1.4499999999999999E-2</v>
          </cell>
          <cell r="AJ785">
            <v>90.54</v>
          </cell>
          <cell r="AK785">
            <v>3.209E-2</v>
          </cell>
          <cell r="AL785">
            <v>205.43</v>
          </cell>
          <cell r="AM785">
            <v>0</v>
          </cell>
          <cell r="AN785">
            <v>0</v>
          </cell>
          <cell r="AO785">
            <v>5.679E-2</v>
          </cell>
          <cell r="AP785">
            <v>377.81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0.47744000000000003</v>
          </cell>
          <cell r="AV785">
            <v>2986.2299999999996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1.2240000000000001E-2</v>
          </cell>
          <cell r="BD785">
            <v>79.63</v>
          </cell>
          <cell r="BE785">
            <v>1.2240000000000001E-2</v>
          </cell>
          <cell r="BF785">
            <v>79.63</v>
          </cell>
          <cell r="BG785">
            <v>1.265E-2</v>
          </cell>
          <cell r="BH785">
            <v>91.259999999999991</v>
          </cell>
          <cell r="BI785">
            <v>1.6799999999999999E-2</v>
          </cell>
          <cell r="BJ785">
            <v>97.050000000000011</v>
          </cell>
          <cell r="BK785">
            <v>1.2000000000000001E-3</v>
          </cell>
          <cell r="BL785">
            <v>9.94</v>
          </cell>
          <cell r="BM785">
            <v>1.18E-2</v>
          </cell>
          <cell r="BN785">
            <v>82.8</v>
          </cell>
          <cell r="BO785">
            <v>3.6249999999999998E-2</v>
          </cell>
          <cell r="BP785">
            <v>219.06</v>
          </cell>
          <cell r="BQ785">
            <v>0</v>
          </cell>
          <cell r="BR785">
            <v>0</v>
          </cell>
          <cell r="BS785">
            <v>7.8699999999999992E-2</v>
          </cell>
          <cell r="BT785">
            <v>500.11</v>
          </cell>
          <cell r="BU785">
            <v>1.9599999999999999E-2</v>
          </cell>
          <cell r="BV785">
            <v>105.22999999999999</v>
          </cell>
          <cell r="BW785">
            <v>2.3099999999999999E-2</v>
          </cell>
          <cell r="BX785">
            <v>127.14</v>
          </cell>
          <cell r="BY785">
            <v>1.5E-3</v>
          </cell>
          <cell r="BZ785">
            <v>16.68</v>
          </cell>
          <cell r="CA785">
            <v>1.35E-2</v>
          </cell>
          <cell r="CB785">
            <v>88.11</v>
          </cell>
          <cell r="CC785">
            <v>2.52E-2</v>
          </cell>
          <cell r="CD785">
            <v>157.68</v>
          </cell>
          <cell r="CE785">
            <v>2.52E-2</v>
          </cell>
          <cell r="CF785">
            <v>166.56</v>
          </cell>
          <cell r="CG785">
            <v>0</v>
          </cell>
          <cell r="CH785">
            <v>0</v>
          </cell>
          <cell r="CI785">
            <v>0.1081</v>
          </cell>
          <cell r="CJ785">
            <v>661.40000000000009</v>
          </cell>
          <cell r="CK785">
            <v>0.18679999999999999</v>
          </cell>
          <cell r="CL785">
            <v>1161.51</v>
          </cell>
          <cell r="CM785">
            <v>0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S785">
            <v>0</v>
          </cell>
          <cell r="CT785">
            <v>0</v>
          </cell>
          <cell r="CU785">
            <v>7.9879999999999993E-2</v>
          </cell>
          <cell r="CV785">
            <v>494.2</v>
          </cell>
          <cell r="CW785">
            <v>0</v>
          </cell>
          <cell r="CX785">
            <v>0</v>
          </cell>
          <cell r="CY785">
            <v>5.3040000000000004E-2</v>
          </cell>
          <cell r="CZ785">
            <v>360.6</v>
          </cell>
          <cell r="DA785">
            <v>2.0100000000000001E-3</v>
          </cell>
          <cell r="DB785">
            <v>9.4499999999999993</v>
          </cell>
          <cell r="DC785">
            <v>8.3999999999999995E-3</v>
          </cell>
          <cell r="DD785">
            <v>52.56</v>
          </cell>
          <cell r="DE785">
            <v>6.3450000000000006E-2</v>
          </cell>
          <cell r="DF785">
            <v>422.61</v>
          </cell>
          <cell r="DG785">
            <v>1.89E-2</v>
          </cell>
          <cell r="DH785">
            <v>109.78999999999999</v>
          </cell>
          <cell r="DI785">
            <v>5.0000000000000001E-4</v>
          </cell>
          <cell r="DJ785">
            <v>5.56</v>
          </cell>
          <cell r="DK785">
            <v>2.648E-2</v>
          </cell>
          <cell r="DL785">
            <v>146.06</v>
          </cell>
          <cell r="DM785">
            <v>4.5880000000000011E-2</v>
          </cell>
          <cell r="DN785">
            <v>261.41000000000003</v>
          </cell>
          <cell r="DO785">
            <v>1.2579999999999999E-2</v>
          </cell>
          <cell r="DP785">
            <v>80.94</v>
          </cell>
          <cell r="DQ785">
            <v>4.0300000000000002E-2</v>
          </cell>
          <cell r="DR785">
            <v>238.45000000000002</v>
          </cell>
          <cell r="DS785">
            <v>2.7E-2</v>
          </cell>
          <cell r="DT785">
            <v>174.81</v>
          </cell>
          <cell r="DU785">
            <v>7.9879999999999993E-2</v>
          </cell>
          <cell r="DV785">
            <v>494.2</v>
          </cell>
          <cell r="DW785">
            <v>0.47744000000000003</v>
          </cell>
          <cell r="DX785">
            <v>2986.23</v>
          </cell>
        </row>
        <row r="786">
          <cell r="A786">
            <v>51</v>
          </cell>
          <cell r="B786">
            <v>0</v>
          </cell>
          <cell r="C786" t="str">
            <v>TURSU TOPLAMI</v>
          </cell>
          <cell r="D786" t="str">
            <v>TON</v>
          </cell>
          <cell r="E786">
            <v>9.5999999999999992E-3</v>
          </cell>
          <cell r="F786">
            <v>55.2</v>
          </cell>
          <cell r="G786">
            <v>3.1800000000000002E-2</v>
          </cell>
          <cell r="H786">
            <v>171.60000000000002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4.1399999999999999E-2</v>
          </cell>
          <cell r="P786">
            <v>226.8</v>
          </cell>
          <cell r="Q786">
            <v>0</v>
          </cell>
          <cell r="R786">
            <v>0</v>
          </cell>
          <cell r="S786">
            <v>1.932E-2</v>
          </cell>
          <cell r="T786">
            <v>128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1.932E-2</v>
          </cell>
          <cell r="Z786">
            <v>128</v>
          </cell>
          <cell r="AA786">
            <v>0</v>
          </cell>
          <cell r="AB786">
            <v>0</v>
          </cell>
          <cell r="AC786">
            <v>9.8399999999999998E-3</v>
          </cell>
          <cell r="AD786">
            <v>76.539999999999992</v>
          </cell>
          <cell r="AE786">
            <v>6.7000000000000002E-4</v>
          </cell>
          <cell r="AF786">
            <v>4.37</v>
          </cell>
          <cell r="AG786">
            <v>2.3999999999999998E-3</v>
          </cell>
          <cell r="AH786">
            <v>18.48</v>
          </cell>
          <cell r="AI786">
            <v>2.708E-2</v>
          </cell>
          <cell r="AJ786">
            <v>180.08</v>
          </cell>
          <cell r="AK786">
            <v>5.3000000000000005E-2</v>
          </cell>
          <cell r="AL786">
            <v>343.24</v>
          </cell>
          <cell r="AM786">
            <v>0</v>
          </cell>
          <cell r="AN786">
            <v>0</v>
          </cell>
          <cell r="AO786">
            <v>9.2990000000000003E-2</v>
          </cell>
          <cell r="AP786">
            <v>622.71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0.7523200000000001</v>
          </cell>
          <cell r="AV786">
            <v>4861.95</v>
          </cell>
          <cell r="AW786">
            <v>0</v>
          </cell>
          <cell r="AX786">
            <v>0</v>
          </cell>
          <cell r="AY786">
            <v>9.4000000000000004E-3</v>
          </cell>
          <cell r="AZ786">
            <v>65.899999999999991</v>
          </cell>
          <cell r="BA786">
            <v>0</v>
          </cell>
          <cell r="BB786">
            <v>0</v>
          </cell>
          <cell r="BC786">
            <v>1.2240000000000001E-2</v>
          </cell>
          <cell r="BD786">
            <v>79.63</v>
          </cell>
          <cell r="BE786">
            <v>2.164E-2</v>
          </cell>
          <cell r="BF786">
            <v>145.52999999999997</v>
          </cell>
          <cell r="BG786">
            <v>2.0810000000000002E-2</v>
          </cell>
          <cell r="BH786">
            <v>139.26</v>
          </cell>
          <cell r="BI786">
            <v>2.64E-2</v>
          </cell>
          <cell r="BJ786">
            <v>155.01000000000002</v>
          </cell>
          <cell r="BK786">
            <v>3.2400000000000003E-3</v>
          </cell>
          <cell r="BL786">
            <v>24.46</v>
          </cell>
          <cell r="BM786">
            <v>2.742E-2</v>
          </cell>
          <cell r="BN786">
            <v>226.48000000000002</v>
          </cell>
          <cell r="BO786">
            <v>4.4249999999999998E-2</v>
          </cell>
          <cell r="BP786">
            <v>267.36</v>
          </cell>
          <cell r="BQ786">
            <v>0</v>
          </cell>
          <cell r="BR786">
            <v>0</v>
          </cell>
          <cell r="BS786">
            <v>0.12211999999999999</v>
          </cell>
          <cell r="BT786">
            <v>812.57</v>
          </cell>
          <cell r="BU786">
            <v>1.9599999999999999E-2</v>
          </cell>
          <cell r="BV786">
            <v>105.22999999999999</v>
          </cell>
          <cell r="BW786">
            <v>2.836E-2</v>
          </cell>
          <cell r="BX786">
            <v>171.26</v>
          </cell>
          <cell r="BY786">
            <v>1.5E-3</v>
          </cell>
          <cell r="BZ786">
            <v>16.68</v>
          </cell>
          <cell r="CA786">
            <v>2.6980000000000001E-2</v>
          </cell>
          <cell r="CB786">
            <v>170.23000000000002</v>
          </cell>
          <cell r="CC786">
            <v>2.52E-2</v>
          </cell>
          <cell r="CD786">
            <v>157.68</v>
          </cell>
          <cell r="CE786">
            <v>2.554E-2</v>
          </cell>
          <cell r="CF786">
            <v>168.72</v>
          </cell>
          <cell r="CG786">
            <v>0</v>
          </cell>
          <cell r="CH786">
            <v>0</v>
          </cell>
          <cell r="CI786">
            <v>0.12718000000000002</v>
          </cell>
          <cell r="CJ786">
            <v>789.80000000000007</v>
          </cell>
          <cell r="CK786">
            <v>0.24929999999999999</v>
          </cell>
          <cell r="CL786">
            <v>1602.37</v>
          </cell>
          <cell r="CM786">
            <v>0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S786">
            <v>0</v>
          </cell>
          <cell r="CT786">
            <v>0</v>
          </cell>
          <cell r="CU786">
            <v>0.13868</v>
          </cell>
          <cell r="CV786">
            <v>919.44</v>
          </cell>
          <cell r="CW786">
            <v>0</v>
          </cell>
          <cell r="CX786">
            <v>0</v>
          </cell>
          <cell r="CY786">
            <v>0.10200000000000001</v>
          </cell>
          <cell r="CZ786">
            <v>706.2</v>
          </cell>
          <cell r="DA786">
            <v>1.1609999999999999E-2</v>
          </cell>
          <cell r="DB786">
            <v>67.41</v>
          </cell>
          <cell r="DC786">
            <v>8.8999999999999999E-3</v>
          </cell>
          <cell r="DD786">
            <v>53.88</v>
          </cell>
          <cell r="DE786">
            <v>0.12251000000000001</v>
          </cell>
          <cell r="DF786">
            <v>827.49</v>
          </cell>
          <cell r="DG786">
            <v>1.89E-2</v>
          </cell>
          <cell r="DH786">
            <v>109.78999999999999</v>
          </cell>
          <cell r="DI786">
            <v>1.3100000000000001E-2</v>
          </cell>
          <cell r="DJ786">
            <v>80.460000000000008</v>
          </cell>
          <cell r="DK786">
            <v>3.4479999999999997E-2</v>
          </cell>
          <cell r="DL786">
            <v>199.36</v>
          </cell>
          <cell r="DM786">
            <v>6.6480000000000011E-2</v>
          </cell>
          <cell r="DN786">
            <v>389.61</v>
          </cell>
          <cell r="DO786">
            <v>3.2259999999999997E-2</v>
          </cell>
          <cell r="DP786">
            <v>204.14</v>
          </cell>
          <cell r="DQ786">
            <v>4.4380000000000003E-2</v>
          </cell>
          <cell r="DR786">
            <v>267.49</v>
          </cell>
          <cell r="DS786">
            <v>6.2039999999999998E-2</v>
          </cell>
          <cell r="DT786">
            <v>447.81</v>
          </cell>
          <cell r="DU786">
            <v>0.13868</v>
          </cell>
          <cell r="DV786">
            <v>919.44</v>
          </cell>
          <cell r="DW786">
            <v>0.7523200000000001</v>
          </cell>
          <cell r="DX786">
            <v>4861.9500000000007</v>
          </cell>
          <cell r="DY786" t="str">
            <v>Hedef</v>
          </cell>
          <cell r="DZ786">
            <v>0</v>
          </cell>
          <cell r="EA786">
            <v>6462.6089961718417</v>
          </cell>
        </row>
        <row r="787">
          <cell r="B787">
            <v>320928</v>
          </cell>
          <cell r="C787" t="str">
            <v>ბარდ.კონს.ჩვ.სუფრა-400გ თუნუქის_11ც+1ც</v>
          </cell>
          <cell r="D787" t="str">
            <v>TON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O787">
            <v>0</v>
          </cell>
          <cell r="AP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S787">
            <v>0</v>
          </cell>
          <cell r="CT787">
            <v>0</v>
          </cell>
          <cell r="CU787">
            <v>0</v>
          </cell>
          <cell r="CV787">
            <v>0</v>
          </cell>
          <cell r="CW787">
            <v>0</v>
          </cell>
          <cell r="CX787">
            <v>0</v>
          </cell>
          <cell r="CY787">
            <v>0</v>
          </cell>
          <cell r="CZ787">
            <v>0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0</v>
          </cell>
          <cell r="DK787">
            <v>0</v>
          </cell>
          <cell r="DL787">
            <v>0</v>
          </cell>
          <cell r="DM787">
            <v>0</v>
          </cell>
          <cell r="DN787">
            <v>0</v>
          </cell>
          <cell r="DO787">
            <v>0</v>
          </cell>
          <cell r="DP787">
            <v>0</v>
          </cell>
          <cell r="DQ787">
            <v>0</v>
          </cell>
          <cell r="DR787">
            <v>0</v>
          </cell>
          <cell r="DS787">
            <v>0</v>
          </cell>
          <cell r="DT787">
            <v>0</v>
          </cell>
          <cell r="DU787">
            <v>0</v>
          </cell>
          <cell r="DV787">
            <v>0</v>
          </cell>
          <cell r="DW787">
            <v>0</v>
          </cell>
          <cell r="DX787">
            <v>0</v>
          </cell>
          <cell r="DY787" t="str">
            <v/>
          </cell>
          <cell r="DZ787" t="str">
            <v>pasiv</v>
          </cell>
          <cell r="EA787" t="e">
            <v>#DIV/0!</v>
          </cell>
        </row>
        <row r="788">
          <cell r="B788">
            <v>307459</v>
          </cell>
          <cell r="C788" t="str">
            <v>ბარდ.კონს.ჩვენი სუფრა/400გ*20/თუნუქის ქილაში</v>
          </cell>
          <cell r="D788" t="str">
            <v>TON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O788">
            <v>0</v>
          </cell>
          <cell r="AP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O788">
            <v>0</v>
          </cell>
          <cell r="CP788">
            <v>0</v>
          </cell>
          <cell r="CQ788">
            <v>0</v>
          </cell>
          <cell r="CR788">
            <v>0</v>
          </cell>
          <cell r="CS788">
            <v>0</v>
          </cell>
          <cell r="CT788">
            <v>0</v>
          </cell>
          <cell r="CU788">
            <v>0</v>
          </cell>
          <cell r="CV788">
            <v>0</v>
          </cell>
          <cell r="CW788">
            <v>0</v>
          </cell>
          <cell r="CX788">
            <v>0</v>
          </cell>
          <cell r="CY788">
            <v>0</v>
          </cell>
          <cell r="CZ788">
            <v>0</v>
          </cell>
          <cell r="DA788">
            <v>0</v>
          </cell>
          <cell r="DB788">
            <v>0</v>
          </cell>
          <cell r="DC788">
            <v>0</v>
          </cell>
          <cell r="DD788">
            <v>0</v>
          </cell>
          <cell r="DE788">
            <v>0</v>
          </cell>
          <cell r="DF788">
            <v>0</v>
          </cell>
          <cell r="DG788">
            <v>0</v>
          </cell>
          <cell r="DH788">
            <v>0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  <cell r="DX788">
            <v>0</v>
          </cell>
          <cell r="DY788" t="str">
            <v/>
          </cell>
          <cell r="DZ788" t="str">
            <v>pasiv</v>
          </cell>
          <cell r="EA788" t="e">
            <v>#DIV/0!</v>
          </cell>
        </row>
        <row r="789">
          <cell r="B789">
            <v>358803</v>
          </cell>
          <cell r="C789" t="str">
            <v>ბარდ.კონს.ბიზიმ ტარლა-325გ_11ც+1ც</v>
          </cell>
          <cell r="D789" t="str">
            <v>TON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7.7999999999999996E-3</v>
          </cell>
          <cell r="T789">
            <v>47.31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7.7999999999999996E-3</v>
          </cell>
          <cell r="Z789">
            <v>47.31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O789">
            <v>0</v>
          </cell>
          <cell r="AP789">
            <v>0</v>
          </cell>
          <cell r="AS789">
            <v>0</v>
          </cell>
          <cell r="AT789">
            <v>0</v>
          </cell>
          <cell r="AU789">
            <v>7.7999999999999996E-3</v>
          </cell>
          <cell r="AV789">
            <v>47.31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S789">
            <v>0</v>
          </cell>
          <cell r="CT789">
            <v>0</v>
          </cell>
          <cell r="CU789">
            <v>0</v>
          </cell>
          <cell r="CV789">
            <v>0</v>
          </cell>
          <cell r="CW789">
            <v>0</v>
          </cell>
          <cell r="CX789">
            <v>0</v>
          </cell>
          <cell r="CY789">
            <v>0</v>
          </cell>
          <cell r="CZ789">
            <v>0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  <cell r="DL789">
            <v>0</v>
          </cell>
          <cell r="DM789">
            <v>0</v>
          </cell>
          <cell r="DN789">
            <v>0</v>
          </cell>
          <cell r="DO789">
            <v>0</v>
          </cell>
          <cell r="DP789">
            <v>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>
            <v>0</v>
          </cell>
          <cell r="DV789">
            <v>0</v>
          </cell>
          <cell r="DW789">
            <v>7.7999999999999996E-3</v>
          </cell>
          <cell r="DX789">
            <v>47.31</v>
          </cell>
          <cell r="DY789" t="str">
            <v/>
          </cell>
          <cell r="DZ789">
            <v>0</v>
          </cell>
          <cell r="EA789">
            <v>6065.3846153846162</v>
          </cell>
        </row>
        <row r="790">
          <cell r="B790">
            <v>369073</v>
          </cell>
          <cell r="C790" t="str">
            <v>ბარდ.კონს.იფექ_560გ*12_შუშა</v>
          </cell>
          <cell r="D790" t="str">
            <v>TON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O790">
            <v>0</v>
          </cell>
          <cell r="AP790">
            <v>0</v>
          </cell>
          <cell r="AS790">
            <v>0</v>
          </cell>
          <cell r="AT790">
            <v>0</v>
          </cell>
          <cell r="AU790">
            <v>1.1199999999999999E-3</v>
          </cell>
          <cell r="AV790">
            <v>6.6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1.1199999999999999E-3</v>
          </cell>
          <cell r="BX790">
            <v>6.6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1.1199999999999999E-3</v>
          </cell>
          <cell r="CJ790">
            <v>6.6</v>
          </cell>
          <cell r="CK790">
            <v>1.1199999999999999E-3</v>
          </cell>
          <cell r="CL790">
            <v>6.6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S790">
            <v>0</v>
          </cell>
          <cell r="CT790">
            <v>0</v>
          </cell>
          <cell r="CU790">
            <v>0</v>
          </cell>
          <cell r="CV790">
            <v>0</v>
          </cell>
          <cell r="CW790">
            <v>0</v>
          </cell>
          <cell r="CX790">
            <v>0</v>
          </cell>
          <cell r="CY790">
            <v>0</v>
          </cell>
          <cell r="CZ790">
            <v>0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  <cell r="DL790">
            <v>0</v>
          </cell>
          <cell r="DM790">
            <v>0</v>
          </cell>
          <cell r="DN790">
            <v>0</v>
          </cell>
          <cell r="DO790">
            <v>0</v>
          </cell>
          <cell r="DP790">
            <v>0</v>
          </cell>
          <cell r="DQ790">
            <v>0</v>
          </cell>
          <cell r="DR790">
            <v>0</v>
          </cell>
          <cell r="DS790">
            <v>0</v>
          </cell>
          <cell r="DT790">
            <v>0</v>
          </cell>
          <cell r="DU790">
            <v>0</v>
          </cell>
          <cell r="DV790">
            <v>0</v>
          </cell>
          <cell r="DW790">
            <v>1.1199999999999999E-3</v>
          </cell>
          <cell r="DX790">
            <v>6.6</v>
          </cell>
          <cell r="DY790" t="str">
            <v/>
          </cell>
          <cell r="DZ790">
            <v>0</v>
          </cell>
          <cell r="EA790">
            <v>5892.8571428571431</v>
          </cell>
        </row>
        <row r="791">
          <cell r="B791">
            <v>298599</v>
          </cell>
          <cell r="C791" t="str">
            <v xml:space="preserve">ბარდ.კონს.ჩვენი სუფრა_700გ_11ც+1ც </v>
          </cell>
          <cell r="D791" t="str">
            <v>TON</v>
          </cell>
          <cell r="E791">
            <v>0</v>
          </cell>
          <cell r="F791">
            <v>0</v>
          </cell>
          <cell r="G791">
            <v>3.3599999999999998E-2</v>
          </cell>
          <cell r="H791">
            <v>185.18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O791">
            <v>3.3599999999999998E-2</v>
          </cell>
          <cell r="P791">
            <v>185.18</v>
          </cell>
          <cell r="Q791">
            <v>8.3999999999999995E-3</v>
          </cell>
          <cell r="R791">
            <v>47.85</v>
          </cell>
          <cell r="S791">
            <v>1.6799999999999999E-2</v>
          </cell>
          <cell r="T791">
            <v>91.87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2.52E-2</v>
          </cell>
          <cell r="Z791">
            <v>139.72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8.3999999999999995E-3</v>
          </cell>
          <cell r="AJ791">
            <v>46.41</v>
          </cell>
          <cell r="AK791">
            <v>0</v>
          </cell>
          <cell r="AL791">
            <v>0</v>
          </cell>
          <cell r="AO791">
            <v>8.3999999999999995E-3</v>
          </cell>
          <cell r="AP791">
            <v>46.41</v>
          </cell>
          <cell r="AS791">
            <v>0</v>
          </cell>
          <cell r="AT791">
            <v>0</v>
          </cell>
          <cell r="AU791">
            <v>0.19320000000000001</v>
          </cell>
          <cell r="AV791">
            <v>1079.48</v>
          </cell>
          <cell r="AW791">
            <v>0</v>
          </cell>
          <cell r="AX791">
            <v>0</v>
          </cell>
          <cell r="AY791">
            <v>8.3999999999999995E-3</v>
          </cell>
          <cell r="AZ791">
            <v>46.41</v>
          </cell>
          <cell r="BA791">
            <v>0</v>
          </cell>
          <cell r="BB791">
            <v>0</v>
          </cell>
          <cell r="BC791">
            <v>2.52E-2</v>
          </cell>
          <cell r="BD791">
            <v>139.24</v>
          </cell>
          <cell r="BE791">
            <v>3.3599999999999998E-2</v>
          </cell>
          <cell r="BF791">
            <v>185.65</v>
          </cell>
          <cell r="BG791">
            <v>8.3999999999999995E-3</v>
          </cell>
          <cell r="BH791">
            <v>47.85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8.3999999999999995E-3</v>
          </cell>
          <cell r="BT791">
            <v>47.85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8.3999999999999995E-3</v>
          </cell>
          <cell r="CL791">
            <v>47.85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S791">
            <v>0</v>
          </cell>
          <cell r="CT791">
            <v>0</v>
          </cell>
          <cell r="CU791">
            <v>2.52E-2</v>
          </cell>
          <cell r="CV791">
            <v>139.72</v>
          </cell>
          <cell r="CW791">
            <v>0</v>
          </cell>
          <cell r="CX791">
            <v>0</v>
          </cell>
          <cell r="CY791">
            <v>0</v>
          </cell>
          <cell r="CZ791">
            <v>0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5.04E-2</v>
          </cell>
          <cell r="DJ791">
            <v>287.10000000000002</v>
          </cell>
          <cell r="DK791">
            <v>8.3999999999999995E-3</v>
          </cell>
          <cell r="DL791">
            <v>47.85</v>
          </cell>
          <cell r="DM791">
            <v>5.8799999999999998E-2</v>
          </cell>
          <cell r="DN791">
            <v>334.95</v>
          </cell>
          <cell r="DO791">
            <v>0</v>
          </cell>
          <cell r="DP791">
            <v>0</v>
          </cell>
          <cell r="DQ791">
            <v>1.6799999999999999E-2</v>
          </cell>
          <cell r="DR791">
            <v>91.87</v>
          </cell>
          <cell r="DS791">
            <v>8.3999999999999995E-3</v>
          </cell>
          <cell r="DT791">
            <v>47.85</v>
          </cell>
          <cell r="DU791">
            <v>2.52E-2</v>
          </cell>
          <cell r="DV791">
            <v>139.72</v>
          </cell>
          <cell r="DW791">
            <v>0.19319999999999998</v>
          </cell>
          <cell r="DX791">
            <v>1079.48</v>
          </cell>
          <cell r="DY791" t="str">
            <v/>
          </cell>
          <cell r="DZ791">
            <v>0</v>
          </cell>
          <cell r="EA791">
            <v>5587.3706004140795</v>
          </cell>
        </row>
        <row r="792">
          <cell r="B792">
            <v>259291</v>
          </cell>
          <cell r="C792" t="str">
            <v>ბარდ.კონს.ბიზიმ ტარლა-680გ*12</v>
          </cell>
          <cell r="D792" t="str">
            <v>TON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O792">
            <v>0</v>
          </cell>
          <cell r="AP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O792">
            <v>0</v>
          </cell>
          <cell r="CP792">
            <v>0</v>
          </cell>
          <cell r="CQ792">
            <v>0</v>
          </cell>
          <cell r="CR792">
            <v>0</v>
          </cell>
          <cell r="CS792">
            <v>0</v>
          </cell>
          <cell r="CT792">
            <v>0</v>
          </cell>
          <cell r="CU792">
            <v>0</v>
          </cell>
          <cell r="CV792">
            <v>0</v>
          </cell>
          <cell r="CW792">
            <v>0</v>
          </cell>
          <cell r="CX792">
            <v>0</v>
          </cell>
          <cell r="CY792">
            <v>0</v>
          </cell>
          <cell r="CZ792">
            <v>0</v>
          </cell>
          <cell r="DA792">
            <v>0</v>
          </cell>
          <cell r="DB792">
            <v>0</v>
          </cell>
          <cell r="DC792">
            <v>0</v>
          </cell>
          <cell r="DD792">
            <v>0</v>
          </cell>
          <cell r="DE792">
            <v>0</v>
          </cell>
          <cell r="DF792">
            <v>0</v>
          </cell>
          <cell r="DG792">
            <v>0</v>
          </cell>
          <cell r="DH792">
            <v>0</v>
          </cell>
          <cell r="DI792">
            <v>0</v>
          </cell>
          <cell r="DJ792">
            <v>0</v>
          </cell>
          <cell r="DK792">
            <v>0</v>
          </cell>
          <cell r="DL792">
            <v>0</v>
          </cell>
          <cell r="DM792">
            <v>0</v>
          </cell>
          <cell r="DN792">
            <v>0</v>
          </cell>
          <cell r="DO792">
            <v>0</v>
          </cell>
          <cell r="DP792">
            <v>0</v>
          </cell>
          <cell r="DQ792">
            <v>0</v>
          </cell>
          <cell r="DR792">
            <v>0</v>
          </cell>
          <cell r="DS792">
            <v>0</v>
          </cell>
          <cell r="DT792">
            <v>0</v>
          </cell>
          <cell r="DU792">
            <v>0</v>
          </cell>
          <cell r="DV792">
            <v>0</v>
          </cell>
          <cell r="DW792">
            <v>0</v>
          </cell>
          <cell r="DX792">
            <v>0</v>
          </cell>
          <cell r="DY792" t="str">
            <v/>
          </cell>
          <cell r="DZ792" t="str">
            <v>pasiv</v>
          </cell>
          <cell r="EA792" t="e">
            <v>#DIV/0!</v>
          </cell>
        </row>
        <row r="793">
          <cell r="B793">
            <v>338383</v>
          </cell>
          <cell r="C793" t="str">
            <v>ბარდ.კონს.ბიზიმ-ტარლა_660გ_11ც+1ც</v>
          </cell>
          <cell r="D793" t="str">
            <v>TON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7.92E-3</v>
          </cell>
          <cell r="T793">
            <v>44.35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7.92E-3</v>
          </cell>
          <cell r="Z793">
            <v>44.35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O793">
            <v>0</v>
          </cell>
          <cell r="AP793">
            <v>0</v>
          </cell>
          <cell r="AS793">
            <v>0</v>
          </cell>
          <cell r="AT793">
            <v>0</v>
          </cell>
          <cell r="AU793">
            <v>1.584E-2</v>
          </cell>
          <cell r="AV793">
            <v>89.16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7.92E-3</v>
          </cell>
          <cell r="BD793">
            <v>44.81</v>
          </cell>
          <cell r="BE793">
            <v>7.92E-3</v>
          </cell>
          <cell r="BF793">
            <v>44.81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O793">
            <v>0</v>
          </cell>
          <cell r="CP793">
            <v>0</v>
          </cell>
          <cell r="CQ793">
            <v>0</v>
          </cell>
          <cell r="CR793">
            <v>0</v>
          </cell>
          <cell r="CS793">
            <v>0</v>
          </cell>
          <cell r="CT793">
            <v>0</v>
          </cell>
          <cell r="CU793">
            <v>0</v>
          </cell>
          <cell r="CV793">
            <v>0</v>
          </cell>
          <cell r="CW793">
            <v>0</v>
          </cell>
          <cell r="CX793">
            <v>0</v>
          </cell>
          <cell r="CY793">
            <v>0</v>
          </cell>
          <cell r="CZ793">
            <v>0</v>
          </cell>
          <cell r="DA793">
            <v>0</v>
          </cell>
          <cell r="DB793">
            <v>0</v>
          </cell>
          <cell r="DC793">
            <v>0</v>
          </cell>
          <cell r="DD793">
            <v>0</v>
          </cell>
          <cell r="DE793">
            <v>0</v>
          </cell>
          <cell r="DF793">
            <v>0</v>
          </cell>
          <cell r="DG793">
            <v>0</v>
          </cell>
          <cell r="DH793">
            <v>0</v>
          </cell>
          <cell r="DI793">
            <v>0</v>
          </cell>
          <cell r="DJ793">
            <v>0</v>
          </cell>
          <cell r="DK793">
            <v>0</v>
          </cell>
          <cell r="DL793">
            <v>0</v>
          </cell>
          <cell r="DM793">
            <v>0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0</v>
          </cell>
          <cell r="DT793">
            <v>0</v>
          </cell>
          <cell r="DU793">
            <v>0</v>
          </cell>
          <cell r="DV793">
            <v>0</v>
          </cell>
          <cell r="DW793">
            <v>1.584E-2</v>
          </cell>
          <cell r="DX793">
            <v>89.16</v>
          </cell>
          <cell r="DY793" t="str">
            <v/>
          </cell>
          <cell r="DZ793">
            <v>0</v>
          </cell>
          <cell r="EA793">
            <v>5628.787878787879</v>
          </cell>
        </row>
        <row r="794">
          <cell r="B794">
            <v>326749</v>
          </cell>
          <cell r="C794" t="str">
            <v>ბარდ.კონს.ჩვენი სუფრა-275გ*20</v>
          </cell>
          <cell r="D794" t="str">
            <v>TON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O794">
            <v>0</v>
          </cell>
          <cell r="AP794">
            <v>0</v>
          </cell>
          <cell r="AS794">
            <v>0</v>
          </cell>
          <cell r="AT794">
            <v>0</v>
          </cell>
          <cell r="AU794">
            <v>3.0525E-2</v>
          </cell>
          <cell r="AV794">
            <v>210.44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1.65E-3</v>
          </cell>
          <cell r="BJ794">
            <v>11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1.65E-3</v>
          </cell>
          <cell r="BT794">
            <v>11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1.9250000000000001E-3</v>
          </cell>
          <cell r="CF794">
            <v>12.44</v>
          </cell>
          <cell r="CG794">
            <v>0</v>
          </cell>
          <cell r="CH794">
            <v>0</v>
          </cell>
          <cell r="CI794">
            <v>1.9250000000000001E-3</v>
          </cell>
          <cell r="CJ794">
            <v>12.44</v>
          </cell>
          <cell r="CK794">
            <v>3.5750000000000001E-3</v>
          </cell>
          <cell r="CL794">
            <v>23.439999999999998</v>
          </cell>
          <cell r="CO794">
            <v>0</v>
          </cell>
          <cell r="CP794">
            <v>0</v>
          </cell>
          <cell r="CQ794">
            <v>0</v>
          </cell>
          <cell r="CR794">
            <v>0</v>
          </cell>
          <cell r="CS794">
            <v>0</v>
          </cell>
          <cell r="CT794">
            <v>0</v>
          </cell>
          <cell r="CU794">
            <v>6.6E-3</v>
          </cell>
          <cell r="CV794">
            <v>46.17</v>
          </cell>
          <cell r="CW794">
            <v>0</v>
          </cell>
          <cell r="CX794">
            <v>0</v>
          </cell>
          <cell r="CY794">
            <v>0</v>
          </cell>
          <cell r="CZ794">
            <v>0</v>
          </cell>
          <cell r="DA794">
            <v>5.4999999999999997E-3</v>
          </cell>
          <cell r="DB794">
            <v>39.6</v>
          </cell>
          <cell r="DC794">
            <v>1.0999999999999999E-2</v>
          </cell>
          <cell r="DD794">
            <v>73.510000000000005</v>
          </cell>
          <cell r="DE794">
            <v>1.6500000000000001E-2</v>
          </cell>
          <cell r="DF794">
            <v>113.11000000000001</v>
          </cell>
          <cell r="DG794">
            <v>1.1000000000000001E-3</v>
          </cell>
          <cell r="DH794">
            <v>7.92</v>
          </cell>
          <cell r="DI794">
            <v>0</v>
          </cell>
          <cell r="DJ794">
            <v>0</v>
          </cell>
          <cell r="DK794">
            <v>2.7499999999999998E-3</v>
          </cell>
          <cell r="DL794">
            <v>19.8</v>
          </cell>
          <cell r="DM794">
            <v>3.8500000000000001E-3</v>
          </cell>
          <cell r="DN794">
            <v>27.72</v>
          </cell>
          <cell r="DO794">
            <v>0</v>
          </cell>
          <cell r="DP794">
            <v>0</v>
          </cell>
          <cell r="DQ794">
            <v>6.6E-3</v>
          </cell>
          <cell r="DR794">
            <v>46.17</v>
          </cell>
          <cell r="DS794">
            <v>0</v>
          </cell>
          <cell r="DT794">
            <v>0</v>
          </cell>
          <cell r="DU794">
            <v>6.6E-3</v>
          </cell>
          <cell r="DV794">
            <v>46.17</v>
          </cell>
          <cell r="DW794">
            <v>3.0525000000000004E-2</v>
          </cell>
          <cell r="DX794">
            <v>210.44</v>
          </cell>
          <cell r="DY794" t="str">
            <v/>
          </cell>
          <cell r="DZ794">
            <v>0</v>
          </cell>
          <cell r="EA794">
            <v>6894.0212940212932</v>
          </cell>
        </row>
        <row r="795">
          <cell r="B795">
            <v>327939</v>
          </cell>
          <cell r="C795" t="str">
            <v>ბარდ.კონს.ჩვენი სუფრა-275გ_11ც+1ც</v>
          </cell>
          <cell r="D795" t="str">
            <v>TON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3.3E-3</v>
          </cell>
          <cell r="AJ795">
            <v>20.170000000000002</v>
          </cell>
          <cell r="AK795">
            <v>0</v>
          </cell>
          <cell r="AL795">
            <v>0</v>
          </cell>
          <cell r="AO795">
            <v>3.3E-3</v>
          </cell>
          <cell r="AP795">
            <v>20.170000000000002</v>
          </cell>
          <cell r="AS795">
            <v>0</v>
          </cell>
          <cell r="AT795">
            <v>0</v>
          </cell>
          <cell r="AU795">
            <v>5.6099999999999997E-2</v>
          </cell>
          <cell r="AV795">
            <v>346.37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3.3E-3</v>
          </cell>
          <cell r="BV795">
            <v>20.79</v>
          </cell>
          <cell r="BW795">
            <v>3.3E-3</v>
          </cell>
          <cell r="BX795">
            <v>20.79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6.6E-3</v>
          </cell>
          <cell r="CJ795">
            <v>41.58</v>
          </cell>
          <cell r="CK795">
            <v>6.6E-3</v>
          </cell>
          <cell r="CL795">
            <v>41.58</v>
          </cell>
          <cell r="CO795">
            <v>0</v>
          </cell>
          <cell r="CP795">
            <v>0</v>
          </cell>
          <cell r="CQ795">
            <v>0</v>
          </cell>
          <cell r="CR795">
            <v>0</v>
          </cell>
          <cell r="CS795">
            <v>0</v>
          </cell>
          <cell r="CT795">
            <v>0</v>
          </cell>
          <cell r="CU795">
            <v>3.3000000000000002E-2</v>
          </cell>
          <cell r="CV795">
            <v>202.71</v>
          </cell>
          <cell r="CW795">
            <v>0</v>
          </cell>
          <cell r="CX795">
            <v>0</v>
          </cell>
          <cell r="CY795">
            <v>0</v>
          </cell>
          <cell r="CZ795">
            <v>0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3.3E-3</v>
          </cell>
          <cell r="DJ795">
            <v>20.79</v>
          </cell>
          <cell r="DK795">
            <v>9.9000000000000008E-3</v>
          </cell>
          <cell r="DL795">
            <v>61.12</v>
          </cell>
          <cell r="DM795">
            <v>1.32E-2</v>
          </cell>
          <cell r="DN795">
            <v>81.91</v>
          </cell>
          <cell r="DO795">
            <v>6.6E-3</v>
          </cell>
          <cell r="DP795">
            <v>40.340000000000003</v>
          </cell>
          <cell r="DQ795">
            <v>1.6500000000000001E-2</v>
          </cell>
          <cell r="DR795">
            <v>100</v>
          </cell>
          <cell r="DS795">
            <v>9.9000000000000008E-3</v>
          </cell>
          <cell r="DT795">
            <v>62.37</v>
          </cell>
          <cell r="DU795">
            <v>3.3000000000000002E-2</v>
          </cell>
          <cell r="DV795">
            <v>202.71</v>
          </cell>
          <cell r="DW795">
            <v>5.6100000000000004E-2</v>
          </cell>
          <cell r="DX795">
            <v>346.37</v>
          </cell>
          <cell r="DY795" t="str">
            <v/>
          </cell>
          <cell r="DZ795">
            <v>0</v>
          </cell>
          <cell r="EA795">
            <v>6174.1532976827093</v>
          </cell>
        </row>
        <row r="796">
          <cell r="A796">
            <v>0.21978</v>
          </cell>
          <cell r="B796">
            <v>349322</v>
          </cell>
          <cell r="C796" t="str">
            <v>ჩვ.სუფრა_ტ-პასტა 720გ+მარ.კიტრი700გ+ბარდ.კონს400გ</v>
          </cell>
          <cell r="D796" t="str">
            <v>TON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O796">
            <v>0</v>
          </cell>
          <cell r="AP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O796">
            <v>0</v>
          </cell>
          <cell r="CP796">
            <v>0</v>
          </cell>
          <cell r="CQ796">
            <v>0</v>
          </cell>
          <cell r="CR796">
            <v>0</v>
          </cell>
          <cell r="CS796">
            <v>0</v>
          </cell>
          <cell r="CT796">
            <v>0</v>
          </cell>
          <cell r="CU796">
            <v>0</v>
          </cell>
          <cell r="CV796">
            <v>0</v>
          </cell>
          <cell r="CW796">
            <v>0</v>
          </cell>
          <cell r="CX796">
            <v>0</v>
          </cell>
          <cell r="CY796">
            <v>0</v>
          </cell>
          <cell r="CZ796">
            <v>0</v>
          </cell>
          <cell r="DA796">
            <v>0</v>
          </cell>
          <cell r="DB796">
            <v>0</v>
          </cell>
          <cell r="DC796">
            <v>0</v>
          </cell>
          <cell r="DD796">
            <v>0</v>
          </cell>
          <cell r="DE796">
            <v>0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0</v>
          </cell>
          <cell r="DK796">
            <v>0</v>
          </cell>
          <cell r="DL796">
            <v>0</v>
          </cell>
          <cell r="DM796">
            <v>0</v>
          </cell>
          <cell r="DN796">
            <v>0</v>
          </cell>
          <cell r="DO796">
            <v>0</v>
          </cell>
          <cell r="DP796">
            <v>0</v>
          </cell>
          <cell r="DQ796">
            <v>0</v>
          </cell>
          <cell r="DR796">
            <v>0</v>
          </cell>
          <cell r="DS796">
            <v>0</v>
          </cell>
          <cell r="DT796">
            <v>0</v>
          </cell>
          <cell r="DU796">
            <v>0</v>
          </cell>
          <cell r="DV796">
            <v>0</v>
          </cell>
          <cell r="DW796">
            <v>0</v>
          </cell>
          <cell r="DX796">
            <v>0</v>
          </cell>
          <cell r="DY796" t="str">
            <v/>
          </cell>
          <cell r="DZ796" t="str">
            <v>pasiv</v>
          </cell>
          <cell r="EA796" t="e">
            <v>#DIV/0!</v>
          </cell>
        </row>
        <row r="797">
          <cell r="A797">
            <v>0.60439500000000002</v>
          </cell>
          <cell r="B797">
            <v>349327</v>
          </cell>
          <cell r="C797" t="str">
            <v>ჩვ.სუფრა_ბარდ.კონს.700გ+ტ-პასტა 720გ+ბარდ.კონს400გ</v>
          </cell>
          <cell r="D797" t="str">
            <v>TON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O797">
            <v>0</v>
          </cell>
          <cell r="AP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S797">
            <v>0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0</v>
          </cell>
          <cell r="CY797">
            <v>0</v>
          </cell>
          <cell r="CZ797">
            <v>0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  <cell r="DL797">
            <v>0</v>
          </cell>
          <cell r="DM797">
            <v>0</v>
          </cell>
          <cell r="DN797">
            <v>0</v>
          </cell>
          <cell r="DO797">
            <v>0</v>
          </cell>
          <cell r="DP797">
            <v>0</v>
          </cell>
          <cell r="DQ797">
            <v>0</v>
          </cell>
          <cell r="DR797">
            <v>0</v>
          </cell>
          <cell r="DS797">
            <v>0</v>
          </cell>
          <cell r="DT797">
            <v>0</v>
          </cell>
          <cell r="DU797">
            <v>0</v>
          </cell>
          <cell r="DV797">
            <v>0</v>
          </cell>
          <cell r="DW797">
            <v>0</v>
          </cell>
          <cell r="DX797">
            <v>0</v>
          </cell>
          <cell r="DY797" t="str">
            <v/>
          </cell>
          <cell r="DZ797" t="str">
            <v>pasiv</v>
          </cell>
          <cell r="EA797" t="e">
            <v>#DIV/0!</v>
          </cell>
        </row>
        <row r="798">
          <cell r="B798">
            <v>144987</v>
          </cell>
          <cell r="C798" t="str">
            <v>ბარდ.კონს.ბიზიმ ტარლა-325გ*20</v>
          </cell>
          <cell r="D798" t="str">
            <v>TON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O798">
            <v>0</v>
          </cell>
          <cell r="AP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S798">
            <v>0</v>
          </cell>
          <cell r="CT798">
            <v>0</v>
          </cell>
          <cell r="CU798">
            <v>0</v>
          </cell>
          <cell r="CV798">
            <v>0</v>
          </cell>
          <cell r="CW798">
            <v>0</v>
          </cell>
          <cell r="CX798">
            <v>0</v>
          </cell>
          <cell r="CY798">
            <v>0</v>
          </cell>
          <cell r="CZ798">
            <v>0</v>
          </cell>
          <cell r="DA798">
            <v>0</v>
          </cell>
          <cell r="DB798">
            <v>0</v>
          </cell>
          <cell r="DC798">
            <v>0</v>
          </cell>
          <cell r="DD798">
            <v>0</v>
          </cell>
          <cell r="DE798">
            <v>0</v>
          </cell>
          <cell r="DF798">
            <v>0</v>
          </cell>
          <cell r="DG798">
            <v>0</v>
          </cell>
          <cell r="DH798">
            <v>0</v>
          </cell>
          <cell r="DI798">
            <v>0</v>
          </cell>
          <cell r="DJ798">
            <v>0</v>
          </cell>
          <cell r="DK798">
            <v>0</v>
          </cell>
          <cell r="DL798">
            <v>0</v>
          </cell>
          <cell r="DM798">
            <v>0</v>
          </cell>
          <cell r="DN798">
            <v>0</v>
          </cell>
          <cell r="DO798">
            <v>0</v>
          </cell>
          <cell r="DP798">
            <v>0</v>
          </cell>
          <cell r="DQ798">
            <v>0</v>
          </cell>
          <cell r="DR798">
            <v>0</v>
          </cell>
          <cell r="DS798">
            <v>0</v>
          </cell>
          <cell r="DT798">
            <v>0</v>
          </cell>
          <cell r="DU798">
            <v>0</v>
          </cell>
          <cell r="DV798">
            <v>0</v>
          </cell>
          <cell r="DW798">
            <v>0</v>
          </cell>
          <cell r="DX798">
            <v>0</v>
          </cell>
          <cell r="DY798" t="str">
            <v/>
          </cell>
          <cell r="DZ798" t="str">
            <v>pasiv</v>
          </cell>
          <cell r="EA798" t="e">
            <v>#DIV/0!</v>
          </cell>
        </row>
        <row r="799">
          <cell r="B799">
            <v>232867</v>
          </cell>
          <cell r="C799" t="str">
            <v>ბარდ.კონს.ბიზიმ-ტარლა_660გ*12</v>
          </cell>
          <cell r="D799" t="str">
            <v>TON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O799">
            <v>0</v>
          </cell>
          <cell r="AP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S799">
            <v>0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0</v>
          </cell>
          <cell r="CY799">
            <v>0</v>
          </cell>
          <cell r="CZ799">
            <v>0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0</v>
          </cell>
          <cell r="DL799">
            <v>0</v>
          </cell>
          <cell r="DM799">
            <v>0</v>
          </cell>
          <cell r="DN799">
            <v>0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>
            <v>0</v>
          </cell>
          <cell r="DV799">
            <v>0</v>
          </cell>
          <cell r="DW799">
            <v>0</v>
          </cell>
          <cell r="DX799">
            <v>0</v>
          </cell>
          <cell r="DY799" t="str">
            <v/>
          </cell>
          <cell r="DZ799" t="str">
            <v>pasiv</v>
          </cell>
          <cell r="EA799" t="e">
            <v>#DIV/0!</v>
          </cell>
        </row>
        <row r="800">
          <cell r="B800">
            <v>377313</v>
          </cell>
          <cell r="C800" t="str">
            <v>ბარდ.კონს.იფექ_560გ_11ც+1ც</v>
          </cell>
          <cell r="D800" t="str">
            <v>TON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O800">
            <v>0</v>
          </cell>
          <cell r="AP800">
            <v>0</v>
          </cell>
          <cell r="AS800">
            <v>0</v>
          </cell>
          <cell r="AT800">
            <v>0</v>
          </cell>
          <cell r="AU800">
            <v>2.0160000000000001E-2</v>
          </cell>
          <cell r="AV800">
            <v>108.46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1.3440000000000001E-2</v>
          </cell>
          <cell r="BD800">
            <v>72.56</v>
          </cell>
          <cell r="BE800">
            <v>1.3440000000000001E-2</v>
          </cell>
          <cell r="BF800">
            <v>72.56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O800">
            <v>0</v>
          </cell>
          <cell r="CP800">
            <v>0</v>
          </cell>
          <cell r="CQ800">
            <v>0</v>
          </cell>
          <cell r="CR800">
            <v>0</v>
          </cell>
          <cell r="CS800">
            <v>0</v>
          </cell>
          <cell r="CT800">
            <v>0</v>
          </cell>
          <cell r="CU800">
            <v>6.7200000000000003E-3</v>
          </cell>
          <cell r="CV800">
            <v>35.9</v>
          </cell>
          <cell r="CW800">
            <v>0</v>
          </cell>
          <cell r="CX800">
            <v>0</v>
          </cell>
          <cell r="CY800">
            <v>0</v>
          </cell>
          <cell r="CZ800">
            <v>0</v>
          </cell>
          <cell r="DA800">
            <v>0</v>
          </cell>
          <cell r="DB800">
            <v>0</v>
          </cell>
          <cell r="DC800">
            <v>0</v>
          </cell>
          <cell r="DD800">
            <v>0</v>
          </cell>
          <cell r="DE800">
            <v>0</v>
          </cell>
          <cell r="DF800">
            <v>0</v>
          </cell>
          <cell r="DG800">
            <v>0</v>
          </cell>
          <cell r="DH800">
            <v>0</v>
          </cell>
          <cell r="DI800">
            <v>0</v>
          </cell>
          <cell r="DJ800">
            <v>0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O800">
            <v>6.7200000000000003E-3</v>
          </cell>
          <cell r="DP800">
            <v>35.9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6.7200000000000003E-3</v>
          </cell>
          <cell r="DV800">
            <v>35.9</v>
          </cell>
          <cell r="DW800">
            <v>2.0160000000000001E-2</v>
          </cell>
          <cell r="DX800">
            <v>108.46000000000001</v>
          </cell>
          <cell r="DY800" t="str">
            <v/>
          </cell>
          <cell r="DZ800">
            <v>0</v>
          </cell>
          <cell r="EA800">
            <v>5379.960317460318</v>
          </cell>
        </row>
        <row r="801">
          <cell r="B801">
            <v>157913</v>
          </cell>
          <cell r="C801" t="str">
            <v>C.SUPRA Y.NOXUD_700QR*12</v>
          </cell>
          <cell r="D801" t="str">
            <v>TON</v>
          </cell>
          <cell r="E801">
            <v>0</v>
          </cell>
          <cell r="F801">
            <v>0</v>
          </cell>
          <cell r="G801">
            <v>2.0999999999999999E-3</v>
          </cell>
          <cell r="H801">
            <v>12.66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O801">
            <v>2.0999999999999999E-3</v>
          </cell>
          <cell r="P801">
            <v>12.66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3.5000000000000001E-3</v>
          </cell>
          <cell r="AD801">
            <v>22.85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1.4E-3</v>
          </cell>
          <cell r="AJ801">
            <v>9.14</v>
          </cell>
          <cell r="AK801">
            <v>1.89E-2</v>
          </cell>
          <cell r="AL801">
            <v>123.39</v>
          </cell>
          <cell r="AO801">
            <v>2.3800000000000002E-2</v>
          </cell>
          <cell r="AP801">
            <v>155.38</v>
          </cell>
          <cell r="AS801">
            <v>0</v>
          </cell>
          <cell r="AT801">
            <v>0</v>
          </cell>
          <cell r="AU801">
            <v>0.40110000000000001</v>
          </cell>
          <cell r="AV801">
            <v>2609.8000000000002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8.3999999999999995E-3</v>
          </cell>
          <cell r="BH801">
            <v>54.84</v>
          </cell>
          <cell r="BI801">
            <v>8.3999999999999995E-3</v>
          </cell>
          <cell r="BJ801">
            <v>54.84</v>
          </cell>
          <cell r="BK801">
            <v>1.4E-2</v>
          </cell>
          <cell r="BL801">
            <v>91.4</v>
          </cell>
          <cell r="BM801">
            <v>4.1999999999999997E-3</v>
          </cell>
          <cell r="BN801">
            <v>27.42</v>
          </cell>
          <cell r="BO801">
            <v>2.7300000000000001E-2</v>
          </cell>
          <cell r="BP801">
            <v>178.23</v>
          </cell>
          <cell r="BQ801">
            <v>0</v>
          </cell>
          <cell r="BR801">
            <v>0</v>
          </cell>
          <cell r="BS801">
            <v>6.2300000000000001E-2</v>
          </cell>
          <cell r="BT801">
            <v>406.73</v>
          </cell>
          <cell r="BU801">
            <v>0</v>
          </cell>
          <cell r="BV801">
            <v>0</v>
          </cell>
          <cell r="BW801">
            <v>9.1000000000000004E-3</v>
          </cell>
          <cell r="BX801">
            <v>55.25</v>
          </cell>
          <cell r="BY801">
            <v>8.3999999999999995E-3</v>
          </cell>
          <cell r="BZ801">
            <v>54.84</v>
          </cell>
          <cell r="CA801">
            <v>0.1008</v>
          </cell>
          <cell r="CB801">
            <v>658.08</v>
          </cell>
          <cell r="CC801">
            <v>1.6799999999999999E-2</v>
          </cell>
          <cell r="CD801">
            <v>109.68</v>
          </cell>
          <cell r="CE801">
            <v>9.7999999999999997E-3</v>
          </cell>
          <cell r="CF801">
            <v>60.38</v>
          </cell>
          <cell r="CG801">
            <v>0</v>
          </cell>
          <cell r="CH801">
            <v>0</v>
          </cell>
          <cell r="CI801">
            <v>0.1449</v>
          </cell>
          <cell r="CJ801">
            <v>938.23</v>
          </cell>
          <cell r="CK801">
            <v>0.2072</v>
          </cell>
          <cell r="CL801">
            <v>1344.96</v>
          </cell>
          <cell r="CO801">
            <v>0</v>
          </cell>
          <cell r="CP801">
            <v>0</v>
          </cell>
          <cell r="CQ801">
            <v>0</v>
          </cell>
          <cell r="CR801">
            <v>0</v>
          </cell>
          <cell r="CS801">
            <v>0</v>
          </cell>
          <cell r="CT801">
            <v>0</v>
          </cell>
          <cell r="CU801">
            <v>6.5100000000000005E-2</v>
          </cell>
          <cell r="CV801">
            <v>425.01</v>
          </cell>
          <cell r="CW801">
            <v>0</v>
          </cell>
          <cell r="CX801">
            <v>0</v>
          </cell>
          <cell r="CY801">
            <v>3.3599999999999998E-2</v>
          </cell>
          <cell r="CZ801">
            <v>219.36</v>
          </cell>
          <cell r="DA801">
            <v>0</v>
          </cell>
          <cell r="DB801">
            <v>0</v>
          </cell>
          <cell r="DC801">
            <v>0</v>
          </cell>
          <cell r="DD801">
            <v>0</v>
          </cell>
          <cell r="DE801">
            <v>3.3599999999999998E-2</v>
          </cell>
          <cell r="DF801">
            <v>219.36</v>
          </cell>
          <cell r="DG801">
            <v>2.7300000000000001E-2</v>
          </cell>
          <cell r="DH801">
            <v>178.23</v>
          </cell>
          <cell r="DI801">
            <v>4.2000000000000003E-2</v>
          </cell>
          <cell r="DJ801">
            <v>274.2</v>
          </cell>
          <cell r="DK801">
            <v>0</v>
          </cell>
          <cell r="DL801">
            <v>0</v>
          </cell>
          <cell r="DM801">
            <v>6.93E-2</v>
          </cell>
          <cell r="DN801">
            <v>452.43</v>
          </cell>
          <cell r="DO801">
            <v>1.61E-2</v>
          </cell>
          <cell r="DP801">
            <v>105.11</v>
          </cell>
          <cell r="DQ801">
            <v>1.26E-2</v>
          </cell>
          <cell r="DR801">
            <v>82.26</v>
          </cell>
          <cell r="DS801">
            <v>3.6400000000000002E-2</v>
          </cell>
          <cell r="DT801">
            <v>237.64</v>
          </cell>
          <cell r="DU801">
            <v>6.5100000000000005E-2</v>
          </cell>
          <cell r="DV801">
            <v>425.01</v>
          </cell>
          <cell r="DW801">
            <v>0.40109999999999996</v>
          </cell>
          <cell r="DX801">
            <v>2609.8000000000002</v>
          </cell>
          <cell r="DY801" t="str">
            <v/>
          </cell>
          <cell r="DZ801">
            <v>0</v>
          </cell>
          <cell r="EA801">
            <v>6506.6068312141624</v>
          </cell>
        </row>
        <row r="802">
          <cell r="A802">
            <v>16</v>
          </cell>
          <cell r="B802">
            <v>0</v>
          </cell>
          <cell r="C802" t="str">
            <v>BEZELYE TOPLAM</v>
          </cell>
          <cell r="D802" t="str">
            <v>TON</v>
          </cell>
          <cell r="E802">
            <v>0</v>
          </cell>
          <cell r="F802">
            <v>0</v>
          </cell>
          <cell r="G802">
            <v>3.5699999999999996E-2</v>
          </cell>
          <cell r="H802">
            <v>197.84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O802">
            <v>3.5699999999999996E-2</v>
          </cell>
          <cell r="P802">
            <v>197.84</v>
          </cell>
          <cell r="Q802">
            <v>8.3999999999999995E-3</v>
          </cell>
          <cell r="R802">
            <v>47.85</v>
          </cell>
          <cell r="S802">
            <v>3.2519999999999993E-2</v>
          </cell>
          <cell r="T802">
            <v>183.53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4.0919999999999998E-2</v>
          </cell>
          <cell r="Z802">
            <v>231.38</v>
          </cell>
          <cell r="AA802">
            <v>0</v>
          </cell>
          <cell r="AB802">
            <v>0</v>
          </cell>
          <cell r="AC802">
            <v>3.5000000000000001E-3</v>
          </cell>
          <cell r="AD802">
            <v>22.85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1.3099999999999999E-2</v>
          </cell>
          <cell r="AJ802">
            <v>75.72</v>
          </cell>
          <cell r="AK802">
            <v>1.89E-2</v>
          </cell>
          <cell r="AL802">
            <v>123.39</v>
          </cell>
          <cell r="AO802">
            <v>3.5500000000000004E-2</v>
          </cell>
          <cell r="AP802">
            <v>221.95999999999998</v>
          </cell>
          <cell r="AS802">
            <v>0</v>
          </cell>
          <cell r="AT802">
            <v>0</v>
          </cell>
          <cell r="AU802">
            <v>0.72584500000000007</v>
          </cell>
          <cell r="AV802">
            <v>4497.6200000000008</v>
          </cell>
          <cell r="AW802">
            <v>0</v>
          </cell>
          <cell r="AX802">
            <v>0</v>
          </cell>
          <cell r="AY802">
            <v>8.3999999999999995E-3</v>
          </cell>
          <cell r="AZ802">
            <v>46.41</v>
          </cell>
          <cell r="BA802">
            <v>0</v>
          </cell>
          <cell r="BB802">
            <v>0</v>
          </cell>
          <cell r="BC802">
            <v>4.6559999999999997E-2</v>
          </cell>
          <cell r="BD802">
            <v>256.61</v>
          </cell>
          <cell r="BE802">
            <v>5.4960000000000002E-2</v>
          </cell>
          <cell r="BF802">
            <v>303.02</v>
          </cell>
          <cell r="BG802">
            <v>1.6799999999999999E-2</v>
          </cell>
          <cell r="BH802">
            <v>102.69</v>
          </cell>
          <cell r="BI802">
            <v>1.005E-2</v>
          </cell>
          <cell r="BJ802">
            <v>65.84</v>
          </cell>
          <cell r="BK802">
            <v>1.4E-2</v>
          </cell>
          <cell r="BL802">
            <v>91.4</v>
          </cell>
          <cell r="BM802">
            <v>4.1999999999999997E-3</v>
          </cell>
          <cell r="BN802">
            <v>27.42</v>
          </cell>
          <cell r="BO802">
            <v>2.7300000000000001E-2</v>
          </cell>
          <cell r="BP802">
            <v>178.23</v>
          </cell>
          <cell r="BQ802">
            <v>0</v>
          </cell>
          <cell r="BR802">
            <v>0</v>
          </cell>
          <cell r="BS802">
            <v>7.2349999999999998E-2</v>
          </cell>
          <cell r="BT802">
            <v>465.58000000000004</v>
          </cell>
          <cell r="BU802">
            <v>3.3E-3</v>
          </cell>
          <cell r="BV802">
            <v>20.79</v>
          </cell>
          <cell r="BW802">
            <v>1.3520000000000001E-2</v>
          </cell>
          <cell r="BX802">
            <v>82.64</v>
          </cell>
          <cell r="BY802">
            <v>8.3999999999999995E-3</v>
          </cell>
          <cell r="BZ802">
            <v>54.84</v>
          </cell>
          <cell r="CA802">
            <v>0.1008</v>
          </cell>
          <cell r="CB802">
            <v>658.08</v>
          </cell>
          <cell r="CC802">
            <v>1.6799999999999999E-2</v>
          </cell>
          <cell r="CD802">
            <v>109.68</v>
          </cell>
          <cell r="CE802">
            <v>1.1724999999999999E-2</v>
          </cell>
          <cell r="CF802">
            <v>72.820000000000007</v>
          </cell>
          <cell r="CG802">
            <v>0</v>
          </cell>
          <cell r="CH802">
            <v>0</v>
          </cell>
          <cell r="CI802">
            <v>0.15454499999999999</v>
          </cell>
          <cell r="CJ802">
            <v>998.85</v>
          </cell>
          <cell r="CK802">
            <v>0.22689499999999999</v>
          </cell>
          <cell r="CL802">
            <v>1464.43</v>
          </cell>
          <cell r="CO802">
            <v>0</v>
          </cell>
          <cell r="CP802">
            <v>0</v>
          </cell>
          <cell r="CQ802">
            <v>0</v>
          </cell>
          <cell r="CR802">
            <v>0</v>
          </cell>
          <cell r="CS802">
            <v>0</v>
          </cell>
          <cell r="CT802">
            <v>0</v>
          </cell>
          <cell r="CU802">
            <v>0.13662000000000002</v>
          </cell>
          <cell r="CV802">
            <v>849.51</v>
          </cell>
          <cell r="CW802">
            <v>0</v>
          </cell>
          <cell r="CX802">
            <v>0</v>
          </cell>
          <cell r="CY802">
            <v>3.3599999999999998E-2</v>
          </cell>
          <cell r="CZ802">
            <v>219.36</v>
          </cell>
          <cell r="DA802">
            <v>5.4999999999999997E-3</v>
          </cell>
          <cell r="DB802">
            <v>39.6</v>
          </cell>
          <cell r="DC802">
            <v>1.0999999999999999E-2</v>
          </cell>
          <cell r="DD802">
            <v>73.510000000000005</v>
          </cell>
          <cell r="DE802">
            <v>5.0099999999999999E-2</v>
          </cell>
          <cell r="DF802">
            <v>332.47</v>
          </cell>
          <cell r="DG802">
            <v>2.8400000000000002E-2</v>
          </cell>
          <cell r="DH802">
            <v>186.14999999999998</v>
          </cell>
          <cell r="DI802">
            <v>9.5700000000000007E-2</v>
          </cell>
          <cell r="DJ802">
            <v>582.09</v>
          </cell>
          <cell r="DK802">
            <v>2.1049999999999999E-2</v>
          </cell>
          <cell r="DL802">
            <v>128.77000000000001</v>
          </cell>
          <cell r="DM802">
            <v>0.14515</v>
          </cell>
          <cell r="DN802">
            <v>897.01</v>
          </cell>
          <cell r="DO802">
            <v>2.9420000000000002E-2</v>
          </cell>
          <cell r="DP802">
            <v>181.35000000000002</v>
          </cell>
          <cell r="DQ802">
            <v>5.2499999999999998E-2</v>
          </cell>
          <cell r="DR802">
            <v>320.3</v>
          </cell>
          <cell r="DS802">
            <v>5.4699999999999999E-2</v>
          </cell>
          <cell r="DT802">
            <v>347.86</v>
          </cell>
          <cell r="DU802">
            <v>0.13662000000000002</v>
          </cell>
          <cell r="DV802">
            <v>849.51</v>
          </cell>
          <cell r="DW802">
            <v>0.72584499999999996</v>
          </cell>
          <cell r="DX802">
            <v>4497.6200000000008</v>
          </cell>
          <cell r="DY802" t="str">
            <v>Hedef</v>
          </cell>
          <cell r="DZ802">
            <v>0</v>
          </cell>
          <cell r="EA802">
            <v>6196.3917916359569</v>
          </cell>
        </row>
        <row r="803">
          <cell r="B803">
            <v>100143</v>
          </cell>
          <cell r="C803" t="str">
            <v>BIZIM TARLA MUREBBE MORUQ_400 GR*20</v>
          </cell>
          <cell r="D803" t="str">
            <v>TON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2.12E-2</v>
          </cell>
          <cell r="AD803">
            <v>343.79</v>
          </cell>
          <cell r="AE803">
            <v>2.8E-3</v>
          </cell>
          <cell r="AF803">
            <v>40.799999999999997</v>
          </cell>
          <cell r="AG803">
            <v>0</v>
          </cell>
          <cell r="AH803">
            <v>0</v>
          </cell>
          <cell r="AI803">
            <v>2E-3</v>
          </cell>
          <cell r="AJ803">
            <v>32.549999999999997</v>
          </cell>
          <cell r="AK803">
            <v>4.0000000000000001E-3</v>
          </cell>
          <cell r="AL803">
            <v>65.099999999999994</v>
          </cell>
          <cell r="AO803">
            <v>3.0000000000000002E-2</v>
          </cell>
          <cell r="AP803">
            <v>482.24</v>
          </cell>
          <cell r="AS803">
            <v>0</v>
          </cell>
          <cell r="AT803">
            <v>0</v>
          </cell>
          <cell r="AU803">
            <v>7.3599999999999999E-2</v>
          </cell>
          <cell r="AV803">
            <v>1168.74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2E-3</v>
          </cell>
          <cell r="BN803">
            <v>32.549999999999997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2E-3</v>
          </cell>
          <cell r="BT803">
            <v>32.549999999999997</v>
          </cell>
          <cell r="BU803">
            <v>0</v>
          </cell>
          <cell r="BV803">
            <v>0</v>
          </cell>
          <cell r="BW803">
            <v>9.1999999999999998E-3</v>
          </cell>
          <cell r="BX803">
            <v>142.04</v>
          </cell>
          <cell r="BY803">
            <v>2.3999999999999998E-3</v>
          </cell>
          <cell r="BZ803">
            <v>35.71</v>
          </cell>
          <cell r="CA803">
            <v>8.0000000000000004E-4</v>
          </cell>
          <cell r="CB803">
            <v>13.02</v>
          </cell>
          <cell r="CC803">
            <v>1.1999999999999999E-3</v>
          </cell>
          <cell r="CD803">
            <v>19.53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1.3599999999999999E-2</v>
          </cell>
          <cell r="CJ803">
            <v>210.3</v>
          </cell>
          <cell r="CK803">
            <v>1.5599999999999999E-2</v>
          </cell>
          <cell r="CL803">
            <v>242.85000000000002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S803">
            <v>0</v>
          </cell>
          <cell r="CT803">
            <v>0</v>
          </cell>
          <cell r="CU803">
            <v>1.24E-2</v>
          </cell>
          <cell r="CV803">
            <v>200.82</v>
          </cell>
          <cell r="CW803">
            <v>0</v>
          </cell>
          <cell r="CX803">
            <v>0</v>
          </cell>
          <cell r="CY803">
            <v>0</v>
          </cell>
          <cell r="CZ803">
            <v>0</v>
          </cell>
          <cell r="DA803">
            <v>0</v>
          </cell>
          <cell r="DB803">
            <v>0</v>
          </cell>
          <cell r="DC803">
            <v>1.2E-2</v>
          </cell>
          <cell r="DD803">
            <v>184.24</v>
          </cell>
          <cell r="DE803">
            <v>1.2E-2</v>
          </cell>
          <cell r="DF803">
            <v>184.24</v>
          </cell>
          <cell r="DG803">
            <v>4.0000000000000002E-4</v>
          </cell>
          <cell r="DH803">
            <v>6.51</v>
          </cell>
          <cell r="DI803">
            <v>2.3999999999999998E-3</v>
          </cell>
          <cell r="DJ803">
            <v>39.06</v>
          </cell>
          <cell r="DK803">
            <v>8.0000000000000004E-4</v>
          </cell>
          <cell r="DL803">
            <v>13.02</v>
          </cell>
          <cell r="DM803">
            <v>3.5999999999999999E-3</v>
          </cell>
          <cell r="DN803">
            <v>58.59</v>
          </cell>
          <cell r="DO803">
            <v>3.5999999999999999E-3</v>
          </cell>
          <cell r="DP803">
            <v>57.6</v>
          </cell>
          <cell r="DQ803">
            <v>4.7999999999999996E-3</v>
          </cell>
          <cell r="DR803">
            <v>78.12</v>
          </cell>
          <cell r="DS803">
            <v>4.0000000000000001E-3</v>
          </cell>
          <cell r="DT803">
            <v>65.099999999999994</v>
          </cell>
          <cell r="DU803">
            <v>1.24E-2</v>
          </cell>
          <cell r="DV803">
            <v>200.82</v>
          </cell>
          <cell r="DW803">
            <v>7.3599999999999999E-2</v>
          </cell>
          <cell r="DX803">
            <v>1168.74</v>
          </cell>
          <cell r="DY803" t="str">
            <v/>
          </cell>
          <cell r="DZ803">
            <v>0</v>
          </cell>
          <cell r="EA803">
            <v>15879.619565217392</v>
          </cell>
        </row>
        <row r="804">
          <cell r="B804">
            <v>100022</v>
          </cell>
          <cell r="C804" t="str">
            <v>B.T MUREBBE QOZ_400QR*20</v>
          </cell>
          <cell r="D804" t="str">
            <v>TON</v>
          </cell>
          <cell r="E804">
            <v>4.0000000000000001E-3</v>
          </cell>
          <cell r="F804">
            <v>50.93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O804">
            <v>4.0000000000000001E-3</v>
          </cell>
          <cell r="P804">
            <v>50.93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O804">
            <v>0</v>
          </cell>
          <cell r="AP804">
            <v>0</v>
          </cell>
          <cell r="AS804">
            <v>0</v>
          </cell>
          <cell r="AT804">
            <v>0</v>
          </cell>
          <cell r="AU804">
            <v>6.4000000000000003E-3</v>
          </cell>
          <cell r="AV804">
            <v>83.16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8.0000000000000004E-4</v>
          </cell>
          <cell r="BN804">
            <v>11.02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8.0000000000000004E-4</v>
          </cell>
          <cell r="BT804">
            <v>11.02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8.0000000000000004E-4</v>
          </cell>
          <cell r="CL804">
            <v>11.02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S804">
            <v>0</v>
          </cell>
          <cell r="CT804">
            <v>0</v>
          </cell>
          <cell r="CU804">
            <v>8.0000000000000004E-4</v>
          </cell>
          <cell r="CV804">
            <v>10.19</v>
          </cell>
          <cell r="CW804">
            <v>0</v>
          </cell>
          <cell r="CX804">
            <v>0</v>
          </cell>
          <cell r="CY804">
            <v>0</v>
          </cell>
          <cell r="CZ804">
            <v>0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8.0000000000000004E-4</v>
          </cell>
          <cell r="DJ804">
            <v>11.02</v>
          </cell>
          <cell r="DK804">
            <v>0</v>
          </cell>
          <cell r="DL804">
            <v>0</v>
          </cell>
          <cell r="DM804">
            <v>8.0000000000000004E-4</v>
          </cell>
          <cell r="DN804">
            <v>11.02</v>
          </cell>
          <cell r="DO804">
            <v>8.0000000000000004E-4</v>
          </cell>
          <cell r="DP804">
            <v>10.19</v>
          </cell>
          <cell r="DQ804">
            <v>0</v>
          </cell>
          <cell r="DR804">
            <v>0</v>
          </cell>
          <cell r="DS804">
            <v>0</v>
          </cell>
          <cell r="DT804">
            <v>0</v>
          </cell>
          <cell r="DU804">
            <v>8.0000000000000004E-4</v>
          </cell>
          <cell r="DV804">
            <v>10.19</v>
          </cell>
          <cell r="DW804">
            <v>6.4000000000000003E-3</v>
          </cell>
          <cell r="DX804">
            <v>83.16</v>
          </cell>
          <cell r="DY804" t="str">
            <v/>
          </cell>
          <cell r="DZ804">
            <v>0</v>
          </cell>
          <cell r="EA804">
            <v>12993.749999999998</v>
          </cell>
        </row>
        <row r="805">
          <cell r="B805">
            <v>190504</v>
          </cell>
          <cell r="C805" t="str">
            <v>წითელი ბლის მურ.ბიზიმ-ტარლა-0.400კგ*20</v>
          </cell>
          <cell r="D805" t="str">
            <v>TON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O805">
            <v>0</v>
          </cell>
          <cell r="AP805">
            <v>0</v>
          </cell>
          <cell r="AS805">
            <v>0</v>
          </cell>
          <cell r="AT805">
            <v>0</v>
          </cell>
          <cell r="AU805">
            <v>8.0000000000000004E-4</v>
          </cell>
          <cell r="AV805">
            <v>10.09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8.0000000000000004E-4</v>
          </cell>
          <cell r="CV805">
            <v>10.09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0</v>
          </cell>
          <cell r="DG805">
            <v>0</v>
          </cell>
          <cell r="DH805">
            <v>0</v>
          </cell>
          <cell r="DI805">
            <v>0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8.0000000000000004E-4</v>
          </cell>
          <cell r="DP805">
            <v>10.09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8.0000000000000004E-4</v>
          </cell>
          <cell r="DV805">
            <v>10.09</v>
          </cell>
          <cell r="DW805">
            <v>8.0000000000000004E-4</v>
          </cell>
          <cell r="DX805">
            <v>10.09</v>
          </cell>
          <cell r="DY805" t="str">
            <v/>
          </cell>
          <cell r="DZ805">
            <v>0</v>
          </cell>
          <cell r="EA805">
            <v>12612.5</v>
          </cell>
        </row>
        <row r="806">
          <cell r="B806">
            <v>101391</v>
          </cell>
          <cell r="C806" t="str">
            <v>B.T MUREBBE ALBALI_400QR*20</v>
          </cell>
          <cell r="D806" t="str">
            <v>TON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8.0000000000000004E-4</v>
          </cell>
          <cell r="AL806">
            <v>10.5</v>
          </cell>
          <cell r="AO806">
            <v>8.0000000000000004E-4</v>
          </cell>
          <cell r="AP806">
            <v>10.5</v>
          </cell>
          <cell r="AS806">
            <v>0</v>
          </cell>
          <cell r="AT806">
            <v>0</v>
          </cell>
          <cell r="AU806">
            <v>5.5199999999999999E-2</v>
          </cell>
          <cell r="AV806">
            <v>726.9</v>
          </cell>
          <cell r="AW806">
            <v>0</v>
          </cell>
          <cell r="AX806">
            <v>0</v>
          </cell>
          <cell r="AY806">
            <v>8.0000000000000002E-3</v>
          </cell>
          <cell r="AZ806">
            <v>105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8.0000000000000002E-3</v>
          </cell>
          <cell r="BF806">
            <v>105</v>
          </cell>
          <cell r="BG806">
            <v>0</v>
          </cell>
          <cell r="BH806">
            <v>0</v>
          </cell>
          <cell r="BI806">
            <v>8.0000000000000002E-3</v>
          </cell>
          <cell r="BJ806">
            <v>105</v>
          </cell>
          <cell r="BK806">
            <v>0</v>
          </cell>
          <cell r="BL806">
            <v>0</v>
          </cell>
          <cell r="BM806">
            <v>2E-3</v>
          </cell>
          <cell r="BN806">
            <v>26.25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0.01</v>
          </cell>
          <cell r="BT806">
            <v>131.25</v>
          </cell>
          <cell r="BU806">
            <v>0</v>
          </cell>
          <cell r="BV806">
            <v>0</v>
          </cell>
          <cell r="BW806">
            <v>2.3999999999999998E-3</v>
          </cell>
          <cell r="BX806">
            <v>29.7</v>
          </cell>
          <cell r="BY806">
            <v>0</v>
          </cell>
          <cell r="BZ806">
            <v>0</v>
          </cell>
          <cell r="CA806">
            <v>0</v>
          </cell>
          <cell r="CB806">
            <v>0</v>
          </cell>
          <cell r="CC806">
            <v>8.0000000000000002E-3</v>
          </cell>
          <cell r="CD806">
            <v>105</v>
          </cell>
          <cell r="CE806">
            <v>8.0000000000000002E-3</v>
          </cell>
          <cell r="CF806">
            <v>105</v>
          </cell>
          <cell r="CG806">
            <v>0</v>
          </cell>
          <cell r="CH806">
            <v>0</v>
          </cell>
          <cell r="CI806">
            <v>1.84E-2</v>
          </cell>
          <cell r="CJ806">
            <v>239.7</v>
          </cell>
          <cell r="CK806">
            <v>2.8400000000000002E-2</v>
          </cell>
          <cell r="CL806">
            <v>370.95</v>
          </cell>
          <cell r="CO806">
            <v>0</v>
          </cell>
          <cell r="CP806">
            <v>0</v>
          </cell>
          <cell r="CQ806">
            <v>0</v>
          </cell>
          <cell r="CR806">
            <v>0</v>
          </cell>
          <cell r="CS806">
            <v>0</v>
          </cell>
          <cell r="CT806">
            <v>0</v>
          </cell>
          <cell r="CU806">
            <v>8.0000000000000004E-4</v>
          </cell>
          <cell r="CV806">
            <v>9.6999999999999993</v>
          </cell>
          <cell r="CW806">
            <v>0</v>
          </cell>
          <cell r="CX806">
            <v>0</v>
          </cell>
          <cell r="CY806">
            <v>1.6E-2</v>
          </cell>
          <cell r="CZ806">
            <v>215</v>
          </cell>
          <cell r="DA806">
            <v>1.1999999999999999E-3</v>
          </cell>
          <cell r="DB806">
            <v>15.75</v>
          </cell>
          <cell r="DC806">
            <v>0</v>
          </cell>
          <cell r="DD806">
            <v>0</v>
          </cell>
          <cell r="DE806">
            <v>1.72E-2</v>
          </cell>
          <cell r="DF806">
            <v>230.75</v>
          </cell>
          <cell r="DG806">
            <v>0</v>
          </cell>
          <cell r="DH806">
            <v>0</v>
          </cell>
          <cell r="DI806">
            <v>0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8.0000000000000004E-4</v>
          </cell>
          <cell r="DP806">
            <v>9.6999999999999993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8.0000000000000004E-4</v>
          </cell>
          <cell r="DV806">
            <v>9.6999999999999993</v>
          </cell>
          <cell r="DW806">
            <v>5.5199999999999999E-2</v>
          </cell>
          <cell r="DX806">
            <v>726.9</v>
          </cell>
          <cell r="DY806" t="str">
            <v/>
          </cell>
          <cell r="DZ806">
            <v>0</v>
          </cell>
          <cell r="EA806">
            <v>13168.478260869566</v>
          </cell>
        </row>
        <row r="807">
          <cell r="B807">
            <v>100023</v>
          </cell>
          <cell r="C807" t="str">
            <v>ლეღვის-მურ.ბიზიმ-ტარლა/0.400*20/კგ</v>
          </cell>
          <cell r="D807" t="str">
            <v>TON</v>
          </cell>
          <cell r="E807">
            <v>4.0000000000000001E-3</v>
          </cell>
          <cell r="F807">
            <v>40.74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O807">
            <v>4.0000000000000001E-3</v>
          </cell>
          <cell r="P807">
            <v>40.74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1.1999999999999999E-3</v>
          </cell>
          <cell r="AD807">
            <v>12.6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O807">
            <v>1.1999999999999999E-3</v>
          </cell>
          <cell r="AP807">
            <v>12.6</v>
          </cell>
          <cell r="AS807">
            <v>0</v>
          </cell>
          <cell r="AT807">
            <v>0</v>
          </cell>
          <cell r="AU807">
            <v>1.1599999999999999E-2</v>
          </cell>
          <cell r="AV807">
            <v>120.16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6.4000000000000003E-3</v>
          </cell>
          <cell r="BX807">
            <v>66.819999999999993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6.4000000000000003E-3</v>
          </cell>
          <cell r="CJ807">
            <v>66.819999999999993</v>
          </cell>
          <cell r="CK807">
            <v>6.4000000000000003E-3</v>
          </cell>
          <cell r="CL807">
            <v>66.819999999999993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S807">
            <v>0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0</v>
          </cell>
          <cell r="CZ807">
            <v>0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0</v>
          </cell>
          <cell r="DK807">
            <v>0</v>
          </cell>
          <cell r="DL807">
            <v>0</v>
          </cell>
          <cell r="DM807">
            <v>0</v>
          </cell>
          <cell r="DN807">
            <v>0</v>
          </cell>
          <cell r="DO807">
            <v>0</v>
          </cell>
          <cell r="DP807">
            <v>0</v>
          </cell>
          <cell r="DQ807">
            <v>0</v>
          </cell>
          <cell r="DR807">
            <v>0</v>
          </cell>
          <cell r="DS807">
            <v>0</v>
          </cell>
          <cell r="DT807">
            <v>0</v>
          </cell>
          <cell r="DU807">
            <v>0</v>
          </cell>
          <cell r="DV807">
            <v>0</v>
          </cell>
          <cell r="DW807">
            <v>1.1599999999999999E-2</v>
          </cell>
          <cell r="DX807">
            <v>120.16</v>
          </cell>
          <cell r="DY807" t="str">
            <v/>
          </cell>
          <cell r="DZ807">
            <v>0</v>
          </cell>
          <cell r="EA807">
            <v>10358.620689655172</v>
          </cell>
        </row>
        <row r="808">
          <cell r="B808">
            <v>100144</v>
          </cell>
          <cell r="C808" t="str">
            <v>კომშის-მურ.ბიზიმ-ტარლა/0.400*20/კგ</v>
          </cell>
          <cell r="D808" t="str">
            <v>TON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O808">
            <v>0</v>
          </cell>
          <cell r="AP808">
            <v>0</v>
          </cell>
          <cell r="AS808">
            <v>0</v>
          </cell>
          <cell r="AT808">
            <v>0</v>
          </cell>
          <cell r="AU808">
            <v>1.1999999999999999E-3</v>
          </cell>
          <cell r="AV808">
            <v>10.19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1.1999999999999999E-3</v>
          </cell>
          <cell r="BX808">
            <v>10.19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1.1999999999999999E-3</v>
          </cell>
          <cell r="CJ808">
            <v>10.19</v>
          </cell>
          <cell r="CK808">
            <v>1.1999999999999999E-3</v>
          </cell>
          <cell r="CL808">
            <v>10.19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1.1999999999999999E-3</v>
          </cell>
          <cell r="DX808">
            <v>10.19</v>
          </cell>
          <cell r="DY808" t="str">
            <v/>
          </cell>
          <cell r="DZ808">
            <v>0</v>
          </cell>
          <cell r="EA808">
            <v>8491.6666666666679</v>
          </cell>
        </row>
        <row r="809">
          <cell r="B809">
            <v>367325</v>
          </cell>
          <cell r="C809" t="str">
            <v>გოგრის-მურ.ბიზიმ-ტარლა-400გ*20</v>
          </cell>
          <cell r="D809" t="str">
            <v>TON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O809">
            <v>0</v>
          </cell>
          <cell r="AP809">
            <v>0</v>
          </cell>
          <cell r="AS809">
            <v>0</v>
          </cell>
          <cell r="AT809">
            <v>0</v>
          </cell>
          <cell r="AU809">
            <v>4.7999999999999996E-3</v>
          </cell>
          <cell r="AV809">
            <v>47.4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4.0000000000000001E-3</v>
          </cell>
          <cell r="BX809">
            <v>39.64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4.0000000000000001E-3</v>
          </cell>
          <cell r="CJ809">
            <v>39.64</v>
          </cell>
          <cell r="CK809">
            <v>4.0000000000000001E-3</v>
          </cell>
          <cell r="CL809">
            <v>39.64</v>
          </cell>
          <cell r="CO809">
            <v>0</v>
          </cell>
          <cell r="CP809">
            <v>0</v>
          </cell>
          <cell r="CQ809">
            <v>0</v>
          </cell>
          <cell r="CR809">
            <v>0</v>
          </cell>
          <cell r="CS809">
            <v>0</v>
          </cell>
          <cell r="CT809">
            <v>0</v>
          </cell>
          <cell r="CU809">
            <v>8.0000000000000004E-4</v>
          </cell>
          <cell r="CV809">
            <v>7.76</v>
          </cell>
          <cell r="CW809">
            <v>0</v>
          </cell>
          <cell r="CX809">
            <v>0</v>
          </cell>
          <cell r="CY809">
            <v>0</v>
          </cell>
          <cell r="CZ809">
            <v>0</v>
          </cell>
          <cell r="DA809">
            <v>0</v>
          </cell>
          <cell r="DB809">
            <v>0</v>
          </cell>
          <cell r="DC809">
            <v>0</v>
          </cell>
          <cell r="DD809">
            <v>0</v>
          </cell>
          <cell r="DE809">
            <v>0</v>
          </cell>
          <cell r="DF809">
            <v>0</v>
          </cell>
          <cell r="DG809">
            <v>0</v>
          </cell>
          <cell r="DH809">
            <v>0</v>
          </cell>
          <cell r="DI809">
            <v>0</v>
          </cell>
          <cell r="DJ809">
            <v>0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O809">
            <v>8.0000000000000004E-4</v>
          </cell>
          <cell r="DP809">
            <v>7.76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8.0000000000000004E-4</v>
          </cell>
          <cell r="DV809">
            <v>7.76</v>
          </cell>
          <cell r="DW809">
            <v>4.8000000000000004E-3</v>
          </cell>
          <cell r="DX809">
            <v>47.4</v>
          </cell>
          <cell r="DY809" t="str">
            <v/>
          </cell>
          <cell r="DZ809">
            <v>0</v>
          </cell>
          <cell r="EA809">
            <v>9874.9999999999982</v>
          </cell>
        </row>
        <row r="810">
          <cell r="B810">
            <v>102013</v>
          </cell>
          <cell r="C810" t="str">
            <v>შინდის-მურ.ბიზიმ-ტარლა-400გ*20</v>
          </cell>
          <cell r="D810" t="str">
            <v>TON</v>
          </cell>
          <cell r="E810">
            <v>4.0000000000000001E-3</v>
          </cell>
          <cell r="F810">
            <v>38.799999999999997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O810">
            <v>4.0000000000000001E-3</v>
          </cell>
          <cell r="P810">
            <v>38.799999999999997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O810">
            <v>0</v>
          </cell>
          <cell r="AP810">
            <v>0</v>
          </cell>
          <cell r="AS810">
            <v>0</v>
          </cell>
          <cell r="AT810">
            <v>0</v>
          </cell>
          <cell r="AU810">
            <v>7.6E-3</v>
          </cell>
          <cell r="AV810">
            <v>77.739999999999995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2E-3</v>
          </cell>
          <cell r="BN810">
            <v>21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2E-3</v>
          </cell>
          <cell r="BT810">
            <v>21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2E-3</v>
          </cell>
          <cell r="CL810">
            <v>21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1.6000000000000001E-3</v>
          </cell>
          <cell r="CV810">
            <v>17.940000000000001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O810">
            <v>1.6000000000000001E-3</v>
          </cell>
          <cell r="DP810">
            <v>17.940000000000001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1.6000000000000001E-3</v>
          </cell>
          <cell r="DV810">
            <v>17.940000000000001</v>
          </cell>
          <cell r="DW810">
            <v>7.6E-3</v>
          </cell>
          <cell r="DX810">
            <v>77.739999999999995</v>
          </cell>
          <cell r="DY810" t="str">
            <v/>
          </cell>
          <cell r="DZ810">
            <v>0</v>
          </cell>
          <cell r="EA810">
            <v>10228.947368421052</v>
          </cell>
        </row>
        <row r="811">
          <cell r="B811">
            <v>130907</v>
          </cell>
          <cell r="C811" t="str">
            <v>მალინის-მურ.ბიზიმ-ტარლა/0.400*20/კგ</v>
          </cell>
          <cell r="D811" t="str">
            <v>TON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O811">
            <v>0</v>
          </cell>
          <cell r="AP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  <cell r="DX811">
            <v>0</v>
          </cell>
          <cell r="DY811" t="str">
            <v/>
          </cell>
          <cell r="DZ811" t="str">
            <v>pasiv</v>
          </cell>
          <cell r="EA811" t="e">
            <v>#DIV/0!</v>
          </cell>
        </row>
        <row r="812">
          <cell r="B812">
            <v>98620</v>
          </cell>
          <cell r="C812" t="str">
            <v>B.T MUREBBE CIYELEK_400QR*20</v>
          </cell>
          <cell r="D812" t="str">
            <v>TON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2E-3</v>
          </cell>
          <cell r="AD812">
            <v>21.5</v>
          </cell>
          <cell r="AE812">
            <v>0</v>
          </cell>
          <cell r="AF812">
            <v>0</v>
          </cell>
          <cell r="AG812">
            <v>1.6000000000000001E-3</v>
          </cell>
          <cell r="AH812">
            <v>18.079999999999998</v>
          </cell>
          <cell r="AI812">
            <v>8.0000000000000002E-3</v>
          </cell>
          <cell r="AJ812">
            <v>90.4</v>
          </cell>
          <cell r="AK812">
            <v>1.1999999999999999E-3</v>
          </cell>
          <cell r="AL812">
            <v>13.56</v>
          </cell>
          <cell r="AO812">
            <v>1.2799999999999999E-2</v>
          </cell>
          <cell r="AP812">
            <v>143.54000000000002</v>
          </cell>
          <cell r="AS812">
            <v>0</v>
          </cell>
          <cell r="AT812">
            <v>0</v>
          </cell>
          <cell r="AU812">
            <v>9.1600000000000001E-2</v>
          </cell>
          <cell r="AV812">
            <v>1050.49</v>
          </cell>
          <cell r="AW812">
            <v>0</v>
          </cell>
          <cell r="AX812">
            <v>0</v>
          </cell>
          <cell r="AY812">
            <v>2.3999999999999998E-3</v>
          </cell>
          <cell r="AZ812">
            <v>27.12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2.3999999999999998E-3</v>
          </cell>
          <cell r="BF812">
            <v>27.12</v>
          </cell>
          <cell r="BG812">
            <v>0</v>
          </cell>
          <cell r="BH812">
            <v>0</v>
          </cell>
          <cell r="BI812">
            <v>9.1999999999999998E-3</v>
          </cell>
          <cell r="BJ812">
            <v>103.96</v>
          </cell>
          <cell r="BK812">
            <v>0</v>
          </cell>
          <cell r="BL812">
            <v>0</v>
          </cell>
          <cell r="BM812">
            <v>3.5999999999999999E-3</v>
          </cell>
          <cell r="BN812">
            <v>40.68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1.2800000000000001E-2</v>
          </cell>
          <cell r="BT812">
            <v>144.63999999999999</v>
          </cell>
          <cell r="BU812">
            <v>0</v>
          </cell>
          <cell r="BV812">
            <v>0</v>
          </cell>
          <cell r="BW812">
            <v>4.0000000000000001E-3</v>
          </cell>
          <cell r="BX812">
            <v>42.61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8.0000000000000002E-3</v>
          </cell>
          <cell r="CD812">
            <v>90.4</v>
          </cell>
          <cell r="CE812">
            <v>0.02</v>
          </cell>
          <cell r="CF812">
            <v>232.6</v>
          </cell>
          <cell r="CG812">
            <v>0</v>
          </cell>
          <cell r="CH812">
            <v>0</v>
          </cell>
          <cell r="CI812">
            <v>3.2000000000000001E-2</v>
          </cell>
          <cell r="CJ812">
            <v>365.61</v>
          </cell>
          <cell r="CK812">
            <v>4.48E-2</v>
          </cell>
          <cell r="CL812">
            <v>510.25</v>
          </cell>
          <cell r="CO812">
            <v>0</v>
          </cell>
          <cell r="CP812">
            <v>0</v>
          </cell>
          <cell r="CQ812">
            <v>0</v>
          </cell>
          <cell r="CR812">
            <v>0</v>
          </cell>
          <cell r="CS812">
            <v>0</v>
          </cell>
          <cell r="CT812">
            <v>0</v>
          </cell>
          <cell r="CU812">
            <v>1.24E-2</v>
          </cell>
          <cell r="CV812">
            <v>139.41999999999999</v>
          </cell>
          <cell r="CW812">
            <v>0</v>
          </cell>
          <cell r="CX812">
            <v>0</v>
          </cell>
          <cell r="CY812">
            <v>1.6E-2</v>
          </cell>
          <cell r="CZ812">
            <v>194</v>
          </cell>
          <cell r="DA812">
            <v>0</v>
          </cell>
          <cell r="DB812">
            <v>0</v>
          </cell>
          <cell r="DC812">
            <v>1.1999999999999999E-3</v>
          </cell>
          <cell r="DD812">
            <v>13.56</v>
          </cell>
          <cell r="DE812">
            <v>1.72E-2</v>
          </cell>
          <cell r="DF812">
            <v>207.56</v>
          </cell>
          <cell r="DG812">
            <v>1.1999999999999999E-3</v>
          </cell>
          <cell r="DH812">
            <v>13.56</v>
          </cell>
          <cell r="DI812">
            <v>8.0000000000000004E-4</v>
          </cell>
          <cell r="DJ812">
            <v>9.0399999999999991</v>
          </cell>
          <cell r="DK812">
            <v>0</v>
          </cell>
          <cell r="DL812">
            <v>0</v>
          </cell>
          <cell r="DM812">
            <v>2E-3</v>
          </cell>
          <cell r="DN812">
            <v>22.6</v>
          </cell>
          <cell r="DO812">
            <v>1.6000000000000001E-3</v>
          </cell>
          <cell r="DP812">
            <v>17.38</v>
          </cell>
          <cell r="DQ812">
            <v>4.7999999999999996E-3</v>
          </cell>
          <cell r="DR812">
            <v>54.24</v>
          </cell>
          <cell r="DS812">
            <v>6.0000000000000001E-3</v>
          </cell>
          <cell r="DT812">
            <v>67.8</v>
          </cell>
          <cell r="DU812">
            <v>1.24E-2</v>
          </cell>
          <cell r="DV812">
            <v>139.41999999999999</v>
          </cell>
          <cell r="DW812">
            <v>9.1599999999999987E-2</v>
          </cell>
          <cell r="DX812">
            <v>1050.49</v>
          </cell>
          <cell r="DY812" t="str">
            <v/>
          </cell>
          <cell r="DZ812">
            <v>0</v>
          </cell>
          <cell r="EA812">
            <v>11468.231441048036</v>
          </cell>
        </row>
        <row r="813">
          <cell r="B813">
            <v>98621</v>
          </cell>
          <cell r="C813" t="str">
            <v>B.T MUREBBE AG GILAS_400QR*20</v>
          </cell>
          <cell r="D813" t="str">
            <v>TON</v>
          </cell>
          <cell r="E813">
            <v>4.0000000000000001E-3</v>
          </cell>
          <cell r="F813">
            <v>60.14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O813">
            <v>4.0000000000000001E-3</v>
          </cell>
          <cell r="P813">
            <v>60.14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1.1999999999999999E-3</v>
          </cell>
          <cell r="AL813">
            <v>19.53</v>
          </cell>
          <cell r="AO813">
            <v>1.1999999999999999E-3</v>
          </cell>
          <cell r="AP813">
            <v>19.53</v>
          </cell>
          <cell r="AS813">
            <v>0</v>
          </cell>
          <cell r="AT813">
            <v>0</v>
          </cell>
          <cell r="AU813">
            <v>1.3599999999999999E-2</v>
          </cell>
          <cell r="AV813">
            <v>207.3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O813">
            <v>0</v>
          </cell>
          <cell r="CP813">
            <v>0</v>
          </cell>
          <cell r="CQ813">
            <v>0</v>
          </cell>
          <cell r="CR813">
            <v>0</v>
          </cell>
          <cell r="CS813">
            <v>0</v>
          </cell>
          <cell r="CT813">
            <v>0</v>
          </cell>
          <cell r="CU813">
            <v>8.0000000000000004E-4</v>
          </cell>
          <cell r="CV813">
            <v>12.03</v>
          </cell>
          <cell r="CW813">
            <v>0</v>
          </cell>
          <cell r="CX813">
            <v>0</v>
          </cell>
          <cell r="CY813">
            <v>0</v>
          </cell>
          <cell r="CZ813">
            <v>0</v>
          </cell>
          <cell r="DA813">
            <v>0</v>
          </cell>
          <cell r="DB813">
            <v>0</v>
          </cell>
          <cell r="DC813">
            <v>6.4000000000000003E-3</v>
          </cell>
          <cell r="DD813">
            <v>96.07</v>
          </cell>
          <cell r="DE813">
            <v>6.4000000000000003E-3</v>
          </cell>
          <cell r="DF813">
            <v>96.07</v>
          </cell>
          <cell r="DG813">
            <v>0</v>
          </cell>
          <cell r="DH813">
            <v>0</v>
          </cell>
          <cell r="DI813">
            <v>1.1999999999999999E-3</v>
          </cell>
          <cell r="DJ813">
            <v>19.53</v>
          </cell>
          <cell r="DK813">
            <v>0</v>
          </cell>
          <cell r="DL813">
            <v>0</v>
          </cell>
          <cell r="DM813">
            <v>1.1999999999999999E-3</v>
          </cell>
          <cell r="DN813">
            <v>19.53</v>
          </cell>
          <cell r="DO813">
            <v>8.0000000000000004E-4</v>
          </cell>
          <cell r="DP813">
            <v>12.03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8.0000000000000004E-4</v>
          </cell>
          <cell r="DV813">
            <v>12.03</v>
          </cell>
          <cell r="DW813">
            <v>1.3599999999999999E-2</v>
          </cell>
          <cell r="DX813">
            <v>207.3</v>
          </cell>
          <cell r="DY813" t="str">
            <v/>
          </cell>
          <cell r="DZ813">
            <v>0</v>
          </cell>
          <cell r="EA813">
            <v>15242.647058823532</v>
          </cell>
        </row>
        <row r="814">
          <cell r="B814">
            <v>98698</v>
          </cell>
          <cell r="C814" t="str">
            <v>B.TARLA BOYURTKEN MUREBBESI_400QR*20</v>
          </cell>
          <cell r="D814" t="str">
            <v>TON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1.6000000000000001E-3</v>
          </cell>
          <cell r="AH814">
            <v>18.079999999999998</v>
          </cell>
          <cell r="AI814">
            <v>8.0000000000000002E-3</v>
          </cell>
          <cell r="AJ814">
            <v>90.4</v>
          </cell>
          <cell r="AK814">
            <v>0</v>
          </cell>
          <cell r="AL814">
            <v>0</v>
          </cell>
          <cell r="AO814">
            <v>9.6000000000000009E-3</v>
          </cell>
          <cell r="AP814">
            <v>108.48</v>
          </cell>
          <cell r="AS814">
            <v>0</v>
          </cell>
          <cell r="AT814">
            <v>0</v>
          </cell>
          <cell r="AU814">
            <v>4.8800000000000003E-2</v>
          </cell>
          <cell r="AV814">
            <v>604.09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1.1999999999999999E-3</v>
          </cell>
          <cell r="BD814">
            <v>13.56</v>
          </cell>
          <cell r="BE814">
            <v>1.1999999999999999E-3</v>
          </cell>
          <cell r="BF814">
            <v>13.56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2E-3</v>
          </cell>
          <cell r="BN814">
            <v>22.6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2E-3</v>
          </cell>
          <cell r="BT814">
            <v>22.6</v>
          </cell>
          <cell r="BU814">
            <v>0</v>
          </cell>
          <cell r="BV814">
            <v>0</v>
          </cell>
          <cell r="BW814">
            <v>1.1999999999999999E-3</v>
          </cell>
          <cell r="BX814">
            <v>12.51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8.0000000000000002E-3</v>
          </cell>
          <cell r="CF814">
            <v>104</v>
          </cell>
          <cell r="CG814">
            <v>0</v>
          </cell>
          <cell r="CH814">
            <v>0</v>
          </cell>
          <cell r="CI814">
            <v>9.1999999999999998E-3</v>
          </cell>
          <cell r="CJ814">
            <v>116.51</v>
          </cell>
          <cell r="CK814">
            <v>1.12E-2</v>
          </cell>
          <cell r="CL814">
            <v>139.11000000000001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8.0000000000000004E-4</v>
          </cell>
          <cell r="CV814">
            <v>8.34</v>
          </cell>
          <cell r="CW814">
            <v>0</v>
          </cell>
          <cell r="CX814">
            <v>0</v>
          </cell>
          <cell r="CY814">
            <v>2.4E-2</v>
          </cell>
          <cell r="CZ814">
            <v>312</v>
          </cell>
          <cell r="DA814">
            <v>0</v>
          </cell>
          <cell r="DB814">
            <v>0</v>
          </cell>
          <cell r="DC814">
            <v>1.1999999999999999E-3</v>
          </cell>
          <cell r="DD814">
            <v>13.56</v>
          </cell>
          <cell r="DE814">
            <v>2.52E-2</v>
          </cell>
          <cell r="DF814">
            <v>325.56</v>
          </cell>
          <cell r="DG814">
            <v>0</v>
          </cell>
          <cell r="DH814">
            <v>0</v>
          </cell>
          <cell r="DI814">
            <v>8.0000000000000004E-4</v>
          </cell>
          <cell r="DJ814">
            <v>9.0399999999999991</v>
          </cell>
          <cell r="DK814">
            <v>0</v>
          </cell>
          <cell r="DL814">
            <v>0</v>
          </cell>
          <cell r="DM814">
            <v>8.0000000000000004E-4</v>
          </cell>
          <cell r="DN814">
            <v>9.0399999999999991</v>
          </cell>
          <cell r="DO814">
            <v>8.0000000000000004E-4</v>
          </cell>
          <cell r="DP814">
            <v>8.34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8.0000000000000004E-4</v>
          </cell>
          <cell r="DV814">
            <v>8.34</v>
          </cell>
          <cell r="DW814">
            <v>4.8799999999999996E-2</v>
          </cell>
          <cell r="DX814">
            <v>604.09</v>
          </cell>
          <cell r="DY814" t="str">
            <v/>
          </cell>
          <cell r="DZ814">
            <v>0</v>
          </cell>
          <cell r="EA814">
            <v>12378.893442622952</v>
          </cell>
        </row>
        <row r="815">
          <cell r="B815">
            <v>99146</v>
          </cell>
          <cell r="C815" t="str">
            <v>BIZIM TARLA GUL MUREBBESI_400QR*20</v>
          </cell>
          <cell r="D815" t="str">
            <v>TON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8.0000000000000004E-4</v>
          </cell>
          <cell r="AD815">
            <v>6.7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O815">
            <v>8.0000000000000004E-4</v>
          </cell>
          <cell r="AP815">
            <v>6.7</v>
          </cell>
          <cell r="AS815">
            <v>0</v>
          </cell>
          <cell r="AT815">
            <v>0</v>
          </cell>
          <cell r="AU815">
            <v>4.0000000000000001E-3</v>
          </cell>
          <cell r="AV815">
            <v>33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2.3999999999999998E-3</v>
          </cell>
          <cell r="BX815">
            <v>19.8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2.3999999999999998E-3</v>
          </cell>
          <cell r="CJ815">
            <v>19.8</v>
          </cell>
          <cell r="CK815">
            <v>2.3999999999999998E-3</v>
          </cell>
          <cell r="CL815">
            <v>19.8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8.0000000000000004E-4</v>
          </cell>
          <cell r="CV815">
            <v>6.5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O815">
            <v>8.0000000000000004E-4</v>
          </cell>
          <cell r="DP815">
            <v>6.5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8.0000000000000004E-4</v>
          </cell>
          <cell r="DV815">
            <v>6.5</v>
          </cell>
          <cell r="DW815">
            <v>4.0000000000000001E-3</v>
          </cell>
          <cell r="DX815">
            <v>33</v>
          </cell>
          <cell r="DY815" t="str">
            <v/>
          </cell>
          <cell r="DZ815">
            <v>0</v>
          </cell>
          <cell r="EA815">
            <v>8250</v>
          </cell>
        </row>
        <row r="816">
          <cell r="B816">
            <v>0</v>
          </cell>
          <cell r="C816" t="str">
            <v>RECEL TOPLAMI</v>
          </cell>
          <cell r="D816" t="str">
            <v>TON</v>
          </cell>
          <cell r="E816">
            <v>1.6E-2</v>
          </cell>
          <cell r="F816">
            <v>190.61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O816">
            <v>1.6E-2</v>
          </cell>
          <cell r="P816">
            <v>190.61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2.5199999999999997E-2</v>
          </cell>
          <cell r="AD816">
            <v>384.59000000000003</v>
          </cell>
          <cell r="AE816">
            <v>2.8E-3</v>
          </cell>
          <cell r="AF816">
            <v>40.799999999999997</v>
          </cell>
          <cell r="AG816">
            <v>3.2000000000000002E-3</v>
          </cell>
          <cell r="AH816">
            <v>36.159999999999997</v>
          </cell>
          <cell r="AI816">
            <v>1.8000000000000002E-2</v>
          </cell>
          <cell r="AJ816">
            <v>213.35000000000002</v>
          </cell>
          <cell r="AK816">
            <v>7.1999999999999998E-3</v>
          </cell>
          <cell r="AL816">
            <v>108.69</v>
          </cell>
          <cell r="AO816">
            <v>5.6399999999999999E-2</v>
          </cell>
          <cell r="AP816">
            <v>783.59000000000015</v>
          </cell>
          <cell r="AS816">
            <v>0</v>
          </cell>
          <cell r="AT816">
            <v>0</v>
          </cell>
          <cell r="AU816">
            <v>0.31920000000000004</v>
          </cell>
          <cell r="AV816">
            <v>4139.26</v>
          </cell>
          <cell r="AW816">
            <v>0</v>
          </cell>
          <cell r="AX816">
            <v>0</v>
          </cell>
          <cell r="AY816">
            <v>1.04E-2</v>
          </cell>
          <cell r="AZ816">
            <v>132.12</v>
          </cell>
          <cell r="BA816">
            <v>0</v>
          </cell>
          <cell r="BB816">
            <v>0</v>
          </cell>
          <cell r="BC816">
            <v>1.1999999999999999E-3</v>
          </cell>
          <cell r="BD816">
            <v>13.56</v>
          </cell>
          <cell r="BE816">
            <v>1.1599999999999999E-2</v>
          </cell>
          <cell r="BF816">
            <v>145.68</v>
          </cell>
          <cell r="BG816">
            <v>0</v>
          </cell>
          <cell r="BH816">
            <v>0</v>
          </cell>
          <cell r="BI816">
            <v>1.72E-2</v>
          </cell>
          <cell r="BJ816">
            <v>208.95999999999998</v>
          </cell>
          <cell r="BK816">
            <v>0</v>
          </cell>
          <cell r="BL816">
            <v>0</v>
          </cell>
          <cell r="BM816">
            <v>1.24E-2</v>
          </cell>
          <cell r="BN816">
            <v>154.1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2.9600000000000001E-2</v>
          </cell>
          <cell r="BT816">
            <v>363.06</v>
          </cell>
          <cell r="BU816">
            <v>0</v>
          </cell>
          <cell r="BV816">
            <v>0</v>
          </cell>
          <cell r="BW816">
            <v>3.0799999999999998E-2</v>
          </cell>
          <cell r="BX816">
            <v>363.31</v>
          </cell>
          <cell r="BY816">
            <v>2.3999999999999998E-3</v>
          </cell>
          <cell r="BZ816">
            <v>35.71</v>
          </cell>
          <cell r="CA816">
            <v>8.0000000000000004E-4</v>
          </cell>
          <cell r="CB816">
            <v>13.02</v>
          </cell>
          <cell r="CC816">
            <v>1.72E-2</v>
          </cell>
          <cell r="CD816">
            <v>214.93</v>
          </cell>
          <cell r="CE816">
            <v>3.6000000000000004E-2</v>
          </cell>
          <cell r="CF816">
            <v>441.6</v>
          </cell>
          <cell r="CG816">
            <v>0</v>
          </cell>
          <cell r="CH816">
            <v>0</v>
          </cell>
          <cell r="CI816">
            <v>8.72E-2</v>
          </cell>
          <cell r="CJ816">
            <v>1068.57</v>
          </cell>
          <cell r="CK816">
            <v>0.11680000000000001</v>
          </cell>
          <cell r="CL816">
            <v>1431.6300000000003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S816">
            <v>0</v>
          </cell>
          <cell r="CT816">
            <v>0</v>
          </cell>
          <cell r="CU816">
            <v>3.2000000000000001E-2</v>
          </cell>
          <cell r="CV816">
            <v>422.78999999999991</v>
          </cell>
          <cell r="CW816">
            <v>0</v>
          </cell>
          <cell r="CX816">
            <v>0</v>
          </cell>
          <cell r="CY816">
            <v>5.6000000000000001E-2</v>
          </cell>
          <cell r="CZ816">
            <v>721</v>
          </cell>
          <cell r="DA816">
            <v>1.1999999999999999E-3</v>
          </cell>
          <cell r="DB816">
            <v>15.75</v>
          </cell>
          <cell r="DC816">
            <v>2.0799999999999999E-2</v>
          </cell>
          <cell r="DD816">
            <v>307.43</v>
          </cell>
          <cell r="DE816">
            <v>7.8E-2</v>
          </cell>
          <cell r="DF816">
            <v>1044.1799999999998</v>
          </cell>
          <cell r="DG816">
            <v>1.5999999999999999E-3</v>
          </cell>
          <cell r="DH816">
            <v>20.07</v>
          </cell>
          <cell r="DI816">
            <v>6.0000000000000001E-3</v>
          </cell>
          <cell r="DJ816">
            <v>87.69</v>
          </cell>
          <cell r="DK816">
            <v>8.0000000000000004E-4</v>
          </cell>
          <cell r="DL816">
            <v>13.02</v>
          </cell>
          <cell r="DM816">
            <v>8.3999999999999995E-3</v>
          </cell>
          <cell r="DN816">
            <v>120.78</v>
          </cell>
          <cell r="DO816">
            <v>1.2400000000000003E-2</v>
          </cell>
          <cell r="DP816">
            <v>157.53000000000003</v>
          </cell>
          <cell r="DQ816">
            <v>9.5999999999999992E-3</v>
          </cell>
          <cell r="DR816">
            <v>132.36000000000001</v>
          </cell>
          <cell r="DS816">
            <v>0.01</v>
          </cell>
          <cell r="DT816">
            <v>132.89999999999998</v>
          </cell>
          <cell r="DU816">
            <v>3.2000000000000001E-2</v>
          </cell>
          <cell r="DV816">
            <v>422.78999999999991</v>
          </cell>
          <cell r="DW816">
            <v>0.31920000000000004</v>
          </cell>
          <cell r="DX816">
            <v>4139.26</v>
          </cell>
          <cell r="DY816" t="str">
            <v/>
          </cell>
          <cell r="DZ816">
            <v>0</v>
          </cell>
          <cell r="EA816">
            <v>12967.606516290725</v>
          </cell>
        </row>
        <row r="817">
          <cell r="B817">
            <v>102684</v>
          </cell>
          <cell r="C817" t="str">
            <v>ZEYTUN_350 GR*12_QARA_TUMSUZ_SUSE_ACORSA</v>
          </cell>
          <cell r="D817" t="str">
            <v>TON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O817">
            <v>0</v>
          </cell>
          <cell r="AP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O817">
            <v>0</v>
          </cell>
          <cell r="CP817">
            <v>0</v>
          </cell>
          <cell r="CQ817">
            <v>0</v>
          </cell>
          <cell r="CR817">
            <v>0</v>
          </cell>
          <cell r="CS817">
            <v>0</v>
          </cell>
          <cell r="CT817">
            <v>0</v>
          </cell>
          <cell r="CU817">
            <v>0</v>
          </cell>
          <cell r="CV817">
            <v>0</v>
          </cell>
          <cell r="CW817">
            <v>0</v>
          </cell>
          <cell r="CX817">
            <v>0</v>
          </cell>
          <cell r="CY817">
            <v>0</v>
          </cell>
          <cell r="CZ817">
            <v>0</v>
          </cell>
          <cell r="DA817">
            <v>0</v>
          </cell>
          <cell r="DB817">
            <v>0</v>
          </cell>
          <cell r="DC817">
            <v>0</v>
          </cell>
          <cell r="DD817">
            <v>0</v>
          </cell>
          <cell r="DE817">
            <v>0</v>
          </cell>
          <cell r="DF817">
            <v>0</v>
          </cell>
          <cell r="DG817">
            <v>0</v>
          </cell>
          <cell r="DH817">
            <v>0</v>
          </cell>
          <cell r="DI817">
            <v>0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  <cell r="DX817">
            <v>0</v>
          </cell>
          <cell r="DY817" t="str">
            <v/>
          </cell>
          <cell r="DZ817" t="str">
            <v>pasiv</v>
          </cell>
          <cell r="EA817" t="e">
            <v>#DIV/0!</v>
          </cell>
        </row>
        <row r="818">
          <cell r="B818">
            <v>89376</v>
          </cell>
          <cell r="C818" t="str">
            <v>ZEYTUN_8 KG*2_QARA_TUMLU_ACORSA</v>
          </cell>
          <cell r="D818" t="str">
            <v>TON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O818">
            <v>0</v>
          </cell>
          <cell r="AP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O818">
            <v>0</v>
          </cell>
          <cell r="CP818">
            <v>0</v>
          </cell>
          <cell r="CQ818">
            <v>0</v>
          </cell>
          <cell r="CR818">
            <v>0</v>
          </cell>
          <cell r="CS818">
            <v>0</v>
          </cell>
          <cell r="CT818">
            <v>0</v>
          </cell>
          <cell r="CU818">
            <v>0</v>
          </cell>
          <cell r="CV818">
            <v>0</v>
          </cell>
          <cell r="CW818">
            <v>0</v>
          </cell>
          <cell r="CX818">
            <v>0</v>
          </cell>
          <cell r="CY818">
            <v>0</v>
          </cell>
          <cell r="CZ818">
            <v>0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0</v>
          </cell>
          <cell r="DK818">
            <v>0</v>
          </cell>
          <cell r="DL818">
            <v>0</v>
          </cell>
          <cell r="DM818">
            <v>0</v>
          </cell>
          <cell r="DN818">
            <v>0</v>
          </cell>
          <cell r="DO818">
            <v>0</v>
          </cell>
          <cell r="DP818">
            <v>0</v>
          </cell>
          <cell r="DQ818">
            <v>0</v>
          </cell>
          <cell r="DR818">
            <v>0</v>
          </cell>
          <cell r="DS818">
            <v>0</v>
          </cell>
          <cell r="DT818">
            <v>0</v>
          </cell>
          <cell r="DU818">
            <v>0</v>
          </cell>
          <cell r="DV818">
            <v>0</v>
          </cell>
          <cell r="DW818">
            <v>0</v>
          </cell>
          <cell r="DX818">
            <v>0</v>
          </cell>
          <cell r="DY818" t="str">
            <v/>
          </cell>
          <cell r="DZ818" t="str">
            <v>pasiv</v>
          </cell>
          <cell r="EA818" t="e">
            <v>#DIV/0!</v>
          </cell>
        </row>
        <row r="819">
          <cell r="B819">
            <v>368360</v>
          </cell>
          <cell r="C819" t="str">
            <v>ზეთის ხილი აკორსა_0.400კგ*12_უკურკო_0.170კგ მშრ.წნ</v>
          </cell>
          <cell r="D819" t="str">
            <v>TON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2.3999999999999998E-3</v>
          </cell>
          <cell r="AD819">
            <v>24.9</v>
          </cell>
          <cell r="AE819">
            <v>0</v>
          </cell>
          <cell r="AF819">
            <v>0</v>
          </cell>
          <cell r="AG819">
            <v>2.3999999999999998E-3</v>
          </cell>
          <cell r="AH819">
            <v>26.16</v>
          </cell>
          <cell r="AI819">
            <v>0</v>
          </cell>
          <cell r="AJ819">
            <v>0</v>
          </cell>
          <cell r="AK819">
            <v>1.6000000000000001E-3</v>
          </cell>
          <cell r="AL819">
            <v>17.440000000000001</v>
          </cell>
          <cell r="AO819">
            <v>6.3999999999999994E-3</v>
          </cell>
          <cell r="AP819">
            <v>68.5</v>
          </cell>
          <cell r="AS819">
            <v>0</v>
          </cell>
          <cell r="AT819">
            <v>0</v>
          </cell>
          <cell r="AU819">
            <v>5.0799999999999998E-2</v>
          </cell>
          <cell r="AV819">
            <v>540.05999999999995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4.7999999999999996E-3</v>
          </cell>
          <cell r="BD819">
            <v>48.31</v>
          </cell>
          <cell r="BE819">
            <v>4.7999999999999996E-3</v>
          </cell>
          <cell r="BF819">
            <v>48.31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4.0000000000000001E-3</v>
          </cell>
          <cell r="BL819">
            <v>43.6</v>
          </cell>
          <cell r="BM819">
            <v>2E-3</v>
          </cell>
          <cell r="BN819">
            <v>21.8</v>
          </cell>
          <cell r="BO819">
            <v>8.0000000000000004E-4</v>
          </cell>
          <cell r="BP819">
            <v>8.7200000000000006</v>
          </cell>
          <cell r="BQ819">
            <v>0</v>
          </cell>
          <cell r="BR819">
            <v>0</v>
          </cell>
          <cell r="BS819">
            <v>6.7999999999999996E-3</v>
          </cell>
          <cell r="BT819">
            <v>74.12</v>
          </cell>
          <cell r="BU819">
            <v>0</v>
          </cell>
          <cell r="BV819">
            <v>0</v>
          </cell>
          <cell r="BW819">
            <v>1.6000000000000001E-3</v>
          </cell>
          <cell r="BX819">
            <v>16.100000000000001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9.5999999999999992E-3</v>
          </cell>
          <cell r="CF819">
            <v>99.6</v>
          </cell>
          <cell r="CG819">
            <v>0</v>
          </cell>
          <cell r="CH819">
            <v>0</v>
          </cell>
          <cell r="CI819">
            <v>1.12E-2</v>
          </cell>
          <cell r="CJ819">
            <v>115.7</v>
          </cell>
          <cell r="CK819">
            <v>1.7999999999999999E-2</v>
          </cell>
          <cell r="CL819">
            <v>189.82</v>
          </cell>
          <cell r="CO819">
            <v>0</v>
          </cell>
          <cell r="CP819">
            <v>0</v>
          </cell>
          <cell r="CQ819">
            <v>0</v>
          </cell>
          <cell r="CR819">
            <v>0</v>
          </cell>
          <cell r="CS819">
            <v>0</v>
          </cell>
          <cell r="CT819">
            <v>0</v>
          </cell>
          <cell r="CU819">
            <v>9.5999999999999992E-3</v>
          </cell>
          <cell r="CV819">
            <v>102.63</v>
          </cell>
          <cell r="CW819">
            <v>0</v>
          </cell>
          <cell r="CX819">
            <v>0</v>
          </cell>
          <cell r="CY819">
            <v>0</v>
          </cell>
          <cell r="CZ819">
            <v>0</v>
          </cell>
          <cell r="DA819">
            <v>4.7999999999999996E-3</v>
          </cell>
          <cell r="DB819">
            <v>52.32</v>
          </cell>
          <cell r="DC819">
            <v>2.3999999999999998E-3</v>
          </cell>
          <cell r="DD819">
            <v>26.16</v>
          </cell>
          <cell r="DE819">
            <v>7.1999999999999998E-3</v>
          </cell>
          <cell r="DF819">
            <v>78.48</v>
          </cell>
          <cell r="DG819">
            <v>2.3999999999999998E-3</v>
          </cell>
          <cell r="DH819">
            <v>26.16</v>
          </cell>
          <cell r="DI819">
            <v>0</v>
          </cell>
          <cell r="DJ819">
            <v>0</v>
          </cell>
          <cell r="DK819">
            <v>2.3999999999999998E-3</v>
          </cell>
          <cell r="DL819">
            <v>26.16</v>
          </cell>
          <cell r="DM819">
            <v>4.7999999999999996E-3</v>
          </cell>
          <cell r="DN819">
            <v>52.32</v>
          </cell>
          <cell r="DO819">
            <v>0</v>
          </cell>
          <cell r="DP819">
            <v>0</v>
          </cell>
          <cell r="DQ819">
            <v>2.3999999999999998E-3</v>
          </cell>
          <cell r="DR819">
            <v>24.15</v>
          </cell>
          <cell r="DS819">
            <v>7.1999999999999998E-3</v>
          </cell>
          <cell r="DT819">
            <v>78.48</v>
          </cell>
          <cell r="DU819">
            <v>9.5999999999999992E-3</v>
          </cell>
          <cell r="DV819">
            <v>102.63</v>
          </cell>
          <cell r="DW819">
            <v>5.0799999999999998E-2</v>
          </cell>
          <cell r="DX819">
            <v>540.05999999999995</v>
          </cell>
          <cell r="DY819" t="str">
            <v/>
          </cell>
          <cell r="DZ819">
            <v>0</v>
          </cell>
          <cell r="EA819">
            <v>10631.102362204723</v>
          </cell>
        </row>
        <row r="820">
          <cell r="B820">
            <v>362810</v>
          </cell>
          <cell r="C820" t="str">
            <v>ზეთის ხილი აკორსა 0.410კგ*12_(0.225კგ მშრ.წნ)</v>
          </cell>
          <cell r="D820" t="str">
            <v>TON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3.2799999999999999E-3</v>
          </cell>
          <cell r="AJ820">
            <v>32.799999999999997</v>
          </cell>
          <cell r="AK820">
            <v>1.64E-3</v>
          </cell>
          <cell r="AL820">
            <v>16.399999999999999</v>
          </cell>
          <cell r="AO820">
            <v>4.9199999999999999E-3</v>
          </cell>
          <cell r="AP820">
            <v>49.199999999999996</v>
          </cell>
          <cell r="AS820">
            <v>0</v>
          </cell>
          <cell r="AT820">
            <v>0</v>
          </cell>
          <cell r="AU820">
            <v>4.1820000000000003E-2</v>
          </cell>
          <cell r="AV820">
            <v>411.23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4.9199999999999999E-3</v>
          </cell>
          <cell r="BD820">
            <v>45.4</v>
          </cell>
          <cell r="BE820">
            <v>4.9199999999999999E-3</v>
          </cell>
          <cell r="BF820">
            <v>45.4</v>
          </cell>
          <cell r="BG820">
            <v>1.64E-3</v>
          </cell>
          <cell r="BH820">
            <v>16.399999999999999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8.1999999999999998E-4</v>
          </cell>
          <cell r="BP820">
            <v>8.1999999999999993</v>
          </cell>
          <cell r="BQ820">
            <v>0</v>
          </cell>
          <cell r="BR820">
            <v>0</v>
          </cell>
          <cell r="BS820">
            <v>2.4599999999999999E-3</v>
          </cell>
          <cell r="BT820">
            <v>24.6</v>
          </cell>
          <cell r="BU820">
            <v>0</v>
          </cell>
          <cell r="BV820">
            <v>0</v>
          </cell>
          <cell r="BW820">
            <v>1.64E-3</v>
          </cell>
          <cell r="BX820">
            <v>15.13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1.64E-3</v>
          </cell>
          <cell r="CJ820">
            <v>15.13</v>
          </cell>
          <cell r="CK820">
            <v>4.0999999999999995E-3</v>
          </cell>
          <cell r="CL820">
            <v>39.730000000000004</v>
          </cell>
          <cell r="CO820">
            <v>0</v>
          </cell>
          <cell r="CP820">
            <v>0</v>
          </cell>
          <cell r="CQ820">
            <v>0</v>
          </cell>
          <cell r="CR820">
            <v>0</v>
          </cell>
          <cell r="CS820">
            <v>0</v>
          </cell>
          <cell r="CT820">
            <v>0</v>
          </cell>
          <cell r="CU820">
            <v>7.3800000000000003E-3</v>
          </cell>
          <cell r="CV820">
            <v>71.900000000000006</v>
          </cell>
          <cell r="CW820">
            <v>0</v>
          </cell>
          <cell r="CX820">
            <v>0</v>
          </cell>
          <cell r="CY820">
            <v>0</v>
          </cell>
          <cell r="CZ820">
            <v>0</v>
          </cell>
          <cell r="DA820">
            <v>9.8399999999999998E-3</v>
          </cell>
          <cell r="DB820">
            <v>98.4</v>
          </cell>
          <cell r="DC820">
            <v>0</v>
          </cell>
          <cell r="DD820">
            <v>0</v>
          </cell>
          <cell r="DE820">
            <v>9.8399999999999998E-3</v>
          </cell>
          <cell r="DF820">
            <v>98.4</v>
          </cell>
          <cell r="DG820">
            <v>5.7400000000000003E-3</v>
          </cell>
          <cell r="DH820">
            <v>57.4</v>
          </cell>
          <cell r="DI820">
            <v>4.9199999999999999E-3</v>
          </cell>
          <cell r="DJ820">
            <v>49.2</v>
          </cell>
          <cell r="DK820">
            <v>0</v>
          </cell>
          <cell r="DL820">
            <v>0</v>
          </cell>
          <cell r="DM820">
            <v>1.0659999999999999E-2</v>
          </cell>
          <cell r="DN820">
            <v>106.6</v>
          </cell>
          <cell r="DO820">
            <v>2.4599999999999999E-3</v>
          </cell>
          <cell r="DP820">
            <v>24.6</v>
          </cell>
          <cell r="DQ820">
            <v>2.4599999999999999E-3</v>
          </cell>
          <cell r="DR820">
            <v>22.7</v>
          </cell>
          <cell r="DS820">
            <v>2.4599999999999999E-3</v>
          </cell>
          <cell r="DT820">
            <v>24.6</v>
          </cell>
          <cell r="DU820">
            <v>7.3800000000000003E-3</v>
          </cell>
          <cell r="DV820">
            <v>71.900000000000006</v>
          </cell>
          <cell r="DW820">
            <v>4.1819999999999996E-2</v>
          </cell>
          <cell r="DX820">
            <v>411.22999999999996</v>
          </cell>
          <cell r="DY820" t="str">
            <v/>
          </cell>
          <cell r="DZ820">
            <v>0</v>
          </cell>
          <cell r="EA820">
            <v>9833.3333333333339</v>
          </cell>
        </row>
        <row r="821">
          <cell r="B821">
            <v>281053</v>
          </cell>
          <cell r="C821" t="str">
            <v>ზეთის ხილი აკორსა_0.425კგ*12_უკურკო_0.170კგ მშრ.წნ</v>
          </cell>
          <cell r="D821" t="str">
            <v>TON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O821">
            <v>0</v>
          </cell>
          <cell r="AP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O821">
            <v>0</v>
          </cell>
          <cell r="CP821">
            <v>0</v>
          </cell>
          <cell r="CQ821">
            <v>0</v>
          </cell>
          <cell r="CR821">
            <v>0</v>
          </cell>
          <cell r="CS821">
            <v>0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Y821">
            <v>0</v>
          </cell>
          <cell r="CZ821">
            <v>0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0</v>
          </cell>
          <cell r="DK821">
            <v>0</v>
          </cell>
          <cell r="DL821">
            <v>0</v>
          </cell>
          <cell r="DM821">
            <v>0</v>
          </cell>
          <cell r="DN821">
            <v>0</v>
          </cell>
          <cell r="DO821">
            <v>0</v>
          </cell>
          <cell r="DP821">
            <v>0</v>
          </cell>
          <cell r="DQ821">
            <v>0</v>
          </cell>
          <cell r="DR821">
            <v>0</v>
          </cell>
          <cell r="DS821">
            <v>0</v>
          </cell>
          <cell r="DT821">
            <v>0</v>
          </cell>
          <cell r="DU821">
            <v>0</v>
          </cell>
          <cell r="DV821">
            <v>0</v>
          </cell>
          <cell r="DW821">
            <v>0</v>
          </cell>
          <cell r="DX821">
            <v>0</v>
          </cell>
          <cell r="DY821" t="str">
            <v/>
          </cell>
          <cell r="DZ821" t="str">
            <v>pasiv</v>
          </cell>
          <cell r="EA821" t="e">
            <v>#DIV/0!</v>
          </cell>
        </row>
        <row r="822">
          <cell r="B822">
            <v>295713</v>
          </cell>
          <cell r="C822" t="str">
            <v>მწვანე ზეთის ხილი_აკორსა_0.425კგ*12_(225გ მშრ.წნ)</v>
          </cell>
          <cell r="D822" t="str">
            <v>TON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O822">
            <v>0</v>
          </cell>
          <cell r="AP822">
            <v>0</v>
          </cell>
          <cell r="AS822">
            <v>0</v>
          </cell>
          <cell r="AT822">
            <v>0</v>
          </cell>
          <cell r="AU822">
            <v>4.6750000000000003E-3</v>
          </cell>
          <cell r="AV822">
            <v>45.52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3.8249999999999998E-3</v>
          </cell>
          <cell r="CF822">
            <v>36.9</v>
          </cell>
          <cell r="CG822">
            <v>0</v>
          </cell>
          <cell r="CH822">
            <v>0</v>
          </cell>
          <cell r="CI822">
            <v>3.8249999999999998E-3</v>
          </cell>
          <cell r="CJ822">
            <v>36.9</v>
          </cell>
          <cell r="CK822">
            <v>3.8249999999999998E-3</v>
          </cell>
          <cell r="CL822">
            <v>36.9</v>
          </cell>
          <cell r="CO822">
            <v>0</v>
          </cell>
          <cell r="CP822">
            <v>0</v>
          </cell>
          <cell r="CQ822">
            <v>0</v>
          </cell>
          <cell r="CR822">
            <v>0</v>
          </cell>
          <cell r="CS822">
            <v>0</v>
          </cell>
          <cell r="CT822">
            <v>0</v>
          </cell>
          <cell r="CU822">
            <v>0</v>
          </cell>
          <cell r="CV822">
            <v>0</v>
          </cell>
          <cell r="CW822">
            <v>0</v>
          </cell>
          <cell r="CX822">
            <v>0</v>
          </cell>
          <cell r="CY822">
            <v>0</v>
          </cell>
          <cell r="CZ822">
            <v>0</v>
          </cell>
          <cell r="DA822">
            <v>0</v>
          </cell>
          <cell r="DB822">
            <v>0</v>
          </cell>
          <cell r="DC822">
            <v>0</v>
          </cell>
          <cell r="DD822">
            <v>0</v>
          </cell>
          <cell r="DE822">
            <v>0</v>
          </cell>
          <cell r="DF822">
            <v>0</v>
          </cell>
          <cell r="DG822">
            <v>8.4999999999999995E-4</v>
          </cell>
          <cell r="DH822">
            <v>8.6199999999999992</v>
          </cell>
          <cell r="DI822">
            <v>0</v>
          </cell>
          <cell r="DJ822">
            <v>0</v>
          </cell>
          <cell r="DK822">
            <v>0</v>
          </cell>
          <cell r="DL822">
            <v>0</v>
          </cell>
          <cell r="DM822">
            <v>8.4999999999999995E-4</v>
          </cell>
          <cell r="DN822">
            <v>8.6199999999999992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0</v>
          </cell>
          <cell r="DW822">
            <v>4.6749999999999995E-3</v>
          </cell>
          <cell r="DX822">
            <v>45.519999999999996</v>
          </cell>
          <cell r="DY822" t="str">
            <v/>
          </cell>
          <cell r="DZ822">
            <v>0</v>
          </cell>
          <cell r="EA822">
            <v>9736.8983957219261</v>
          </cell>
        </row>
        <row r="823">
          <cell r="B823">
            <v>298537</v>
          </cell>
          <cell r="C823" t="str">
            <v>ზეთის ხილი მწვანე_ზეთუნ ბაგლარი-წიწაქით_700გ*12</v>
          </cell>
          <cell r="D823" t="str">
            <v>TON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O823">
            <v>0</v>
          </cell>
          <cell r="AP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  <cell r="DX823">
            <v>0</v>
          </cell>
          <cell r="DY823" t="str">
            <v/>
          </cell>
          <cell r="DZ823" t="str">
            <v>pasiv</v>
          </cell>
          <cell r="EA823" t="e">
            <v>#DIV/0!</v>
          </cell>
        </row>
        <row r="824">
          <cell r="B824">
            <v>298540</v>
          </cell>
          <cell r="C824" t="str">
            <v>ზეთის ხილი მწვანე_ზეთუნ ბაგლარი_0.72გ*12</v>
          </cell>
          <cell r="D824" t="str">
            <v>TON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O824">
            <v>0</v>
          </cell>
          <cell r="AP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  <cell r="CL824">
            <v>0</v>
          </cell>
          <cell r="CO824">
            <v>0</v>
          </cell>
          <cell r="CP824">
            <v>0</v>
          </cell>
          <cell r="CQ824">
            <v>0</v>
          </cell>
          <cell r="CR824">
            <v>0</v>
          </cell>
          <cell r="CS824">
            <v>0</v>
          </cell>
          <cell r="CT824">
            <v>0</v>
          </cell>
          <cell r="CU824">
            <v>0</v>
          </cell>
          <cell r="CV824">
            <v>0</v>
          </cell>
          <cell r="CW824">
            <v>0</v>
          </cell>
          <cell r="CX824">
            <v>0</v>
          </cell>
          <cell r="CY824">
            <v>0</v>
          </cell>
          <cell r="CZ824">
            <v>0</v>
          </cell>
          <cell r="DA824">
            <v>0</v>
          </cell>
          <cell r="DB824">
            <v>0</v>
          </cell>
          <cell r="DC824">
            <v>0</v>
          </cell>
          <cell r="DD824">
            <v>0</v>
          </cell>
          <cell r="DE824">
            <v>0</v>
          </cell>
          <cell r="DF824">
            <v>0</v>
          </cell>
          <cell r="DG824">
            <v>0</v>
          </cell>
          <cell r="DH824">
            <v>0</v>
          </cell>
          <cell r="DI824">
            <v>0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  <cell r="DX824">
            <v>0</v>
          </cell>
          <cell r="DY824" t="str">
            <v/>
          </cell>
          <cell r="DZ824" t="str">
            <v>pasiv</v>
          </cell>
          <cell r="EA824" t="e">
            <v>#DIV/0!</v>
          </cell>
        </row>
        <row r="825">
          <cell r="B825">
            <v>99547</v>
          </cell>
          <cell r="C825" t="str">
            <v>ზეთ.ხილ მწვანე აკორსა0.425კგ*24</v>
          </cell>
          <cell r="D825" t="str">
            <v>TON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O825">
            <v>0</v>
          </cell>
          <cell r="AP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O825">
            <v>0</v>
          </cell>
          <cell r="CP825">
            <v>0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  <cell r="DX825">
            <v>0</v>
          </cell>
          <cell r="DY825" t="str">
            <v/>
          </cell>
          <cell r="DZ825" t="str">
            <v>pasiv</v>
          </cell>
          <cell r="EA825" t="e">
            <v>#DIV/0!</v>
          </cell>
        </row>
        <row r="826">
          <cell r="B826">
            <v>89389</v>
          </cell>
          <cell r="C826" t="str">
            <v>ZEYTUN_425 GR*24_QARA_TUMSUZ_ACORSA</v>
          </cell>
          <cell r="D826" t="str">
            <v>TON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O826">
            <v>0</v>
          </cell>
          <cell r="AP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O826">
            <v>0</v>
          </cell>
          <cell r="CP826">
            <v>0</v>
          </cell>
          <cell r="CQ826">
            <v>0</v>
          </cell>
          <cell r="CR826">
            <v>0</v>
          </cell>
          <cell r="CS826">
            <v>0</v>
          </cell>
          <cell r="CT826">
            <v>0</v>
          </cell>
          <cell r="CU826">
            <v>0</v>
          </cell>
          <cell r="CV826">
            <v>0</v>
          </cell>
          <cell r="CW826">
            <v>0</v>
          </cell>
          <cell r="CX826">
            <v>0</v>
          </cell>
          <cell r="CY826">
            <v>0</v>
          </cell>
          <cell r="CZ826">
            <v>0</v>
          </cell>
          <cell r="DA826">
            <v>0</v>
          </cell>
          <cell r="DB826">
            <v>0</v>
          </cell>
          <cell r="DC826">
            <v>0</v>
          </cell>
          <cell r="DD826">
            <v>0</v>
          </cell>
          <cell r="DE826">
            <v>0</v>
          </cell>
          <cell r="DF826">
            <v>0</v>
          </cell>
          <cell r="DG826">
            <v>0</v>
          </cell>
          <cell r="DH826">
            <v>0</v>
          </cell>
          <cell r="DI826">
            <v>0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>
            <v>0</v>
          </cell>
          <cell r="DV826">
            <v>0</v>
          </cell>
          <cell r="DW826">
            <v>0</v>
          </cell>
          <cell r="DX826">
            <v>0</v>
          </cell>
          <cell r="DY826" t="str">
            <v/>
          </cell>
          <cell r="DZ826" t="str">
            <v>pasiv</v>
          </cell>
          <cell r="EA826" t="e">
            <v>#DIV/0!</v>
          </cell>
        </row>
        <row r="827">
          <cell r="B827">
            <v>271578</v>
          </cell>
          <cell r="C827" t="str">
            <v>ზეთის ხილი აკორსა 0.350კგ*12_(0.200კგ მშრ.წნ)</v>
          </cell>
          <cell r="D827" t="str">
            <v>TON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2.0999999999999999E-3</v>
          </cell>
          <cell r="AD827">
            <v>23.34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O827">
            <v>2.0999999999999999E-3</v>
          </cell>
          <cell r="AP827">
            <v>23.34</v>
          </cell>
          <cell r="AS827">
            <v>0</v>
          </cell>
          <cell r="AT827">
            <v>0</v>
          </cell>
          <cell r="AU827">
            <v>1.0500000000000001E-2</v>
          </cell>
          <cell r="AV827">
            <v>113.98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4.1999999999999997E-3</v>
          </cell>
          <cell r="BL827">
            <v>46.68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4.1999999999999997E-3</v>
          </cell>
          <cell r="BT827">
            <v>46.68</v>
          </cell>
          <cell r="BU827">
            <v>0</v>
          </cell>
          <cell r="BV827">
            <v>0</v>
          </cell>
          <cell r="BW827">
            <v>1.4E-3</v>
          </cell>
          <cell r="BX827">
            <v>14.36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1.4E-3</v>
          </cell>
          <cell r="CJ827">
            <v>14.36</v>
          </cell>
          <cell r="CK827">
            <v>5.5999999999999999E-3</v>
          </cell>
          <cell r="CL827">
            <v>61.04</v>
          </cell>
          <cell r="CO827">
            <v>0</v>
          </cell>
          <cell r="CP827">
            <v>0</v>
          </cell>
          <cell r="CQ827">
            <v>0</v>
          </cell>
          <cell r="CR827">
            <v>0</v>
          </cell>
          <cell r="CS827">
            <v>0</v>
          </cell>
          <cell r="CT827">
            <v>0</v>
          </cell>
          <cell r="CU827">
            <v>6.9999999999999999E-4</v>
          </cell>
          <cell r="CV827">
            <v>7.4</v>
          </cell>
          <cell r="CW827">
            <v>0</v>
          </cell>
          <cell r="CX827">
            <v>0</v>
          </cell>
          <cell r="CY827">
            <v>0</v>
          </cell>
          <cell r="CZ827">
            <v>0</v>
          </cell>
          <cell r="DA827">
            <v>0</v>
          </cell>
          <cell r="DB827">
            <v>0</v>
          </cell>
          <cell r="DC827">
            <v>0</v>
          </cell>
          <cell r="DD827">
            <v>0</v>
          </cell>
          <cell r="DE827">
            <v>0</v>
          </cell>
          <cell r="DF827">
            <v>0</v>
          </cell>
          <cell r="DG827">
            <v>0</v>
          </cell>
          <cell r="DH827">
            <v>0</v>
          </cell>
          <cell r="DI827">
            <v>0</v>
          </cell>
          <cell r="DJ827">
            <v>0</v>
          </cell>
          <cell r="DK827">
            <v>2.0999999999999999E-3</v>
          </cell>
          <cell r="DL827">
            <v>22.2</v>
          </cell>
          <cell r="DM827">
            <v>2.0999999999999999E-3</v>
          </cell>
          <cell r="DN827">
            <v>22.2</v>
          </cell>
          <cell r="DO827">
            <v>6.9999999999999999E-4</v>
          </cell>
          <cell r="DP827">
            <v>7.4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6.9999999999999999E-4</v>
          </cell>
          <cell r="DV827">
            <v>7.4</v>
          </cell>
          <cell r="DW827">
            <v>1.0499999999999999E-2</v>
          </cell>
          <cell r="DX827">
            <v>113.98</v>
          </cell>
          <cell r="DY827" t="str">
            <v/>
          </cell>
          <cell r="DZ827">
            <v>0</v>
          </cell>
          <cell r="EA827">
            <v>10855.238095238097</v>
          </cell>
        </row>
        <row r="828">
          <cell r="B828">
            <v>271489</v>
          </cell>
          <cell r="C828" t="str">
            <v>ზეთის ხილი აკორსა 0.425კგ*12_(0.225კგ მშრ.წნ)</v>
          </cell>
          <cell r="D828" t="str">
            <v>TON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O828">
            <v>0</v>
          </cell>
          <cell r="AP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0</v>
          </cell>
          <cell r="CS828">
            <v>0</v>
          </cell>
          <cell r="CT828">
            <v>0</v>
          </cell>
          <cell r="CU828">
            <v>0</v>
          </cell>
          <cell r="CV828">
            <v>0</v>
          </cell>
          <cell r="CW828">
            <v>0</v>
          </cell>
          <cell r="CX828">
            <v>0</v>
          </cell>
          <cell r="CY828">
            <v>0</v>
          </cell>
          <cell r="CZ828">
            <v>0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  <cell r="DX828">
            <v>0</v>
          </cell>
          <cell r="DY828" t="str">
            <v/>
          </cell>
          <cell r="DZ828" t="str">
            <v>pasiv</v>
          </cell>
          <cell r="EA828" t="e">
            <v>#DIV/0!</v>
          </cell>
        </row>
        <row r="829">
          <cell r="A829">
            <v>19</v>
          </cell>
          <cell r="C829" t="str">
            <v>ZEYTUN</v>
          </cell>
          <cell r="D829" t="str">
            <v>TON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4.4999999999999997E-3</v>
          </cell>
          <cell r="AD829">
            <v>48.239999999999995</v>
          </cell>
          <cell r="AE829">
            <v>0</v>
          </cell>
          <cell r="AF829">
            <v>0</v>
          </cell>
          <cell r="AG829">
            <v>2.3999999999999998E-3</v>
          </cell>
          <cell r="AH829">
            <v>26.16</v>
          </cell>
          <cell r="AI829">
            <v>3.2799999999999999E-3</v>
          </cell>
          <cell r="AJ829">
            <v>32.799999999999997</v>
          </cell>
          <cell r="AK829">
            <v>3.2399999999999998E-3</v>
          </cell>
          <cell r="AL829">
            <v>33.840000000000003</v>
          </cell>
          <cell r="AO829">
            <v>1.342E-2</v>
          </cell>
          <cell r="AP829">
            <v>141.04</v>
          </cell>
          <cell r="AS829">
            <v>0</v>
          </cell>
          <cell r="AT829">
            <v>0</v>
          </cell>
          <cell r="AU829">
            <v>0.107795</v>
          </cell>
          <cell r="AV829">
            <v>1110.79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9.7199999999999995E-3</v>
          </cell>
          <cell r="BD829">
            <v>93.710000000000008</v>
          </cell>
          <cell r="BE829">
            <v>9.7199999999999995E-3</v>
          </cell>
          <cell r="BF829">
            <v>93.710000000000008</v>
          </cell>
          <cell r="BG829">
            <v>1.64E-3</v>
          </cell>
          <cell r="BH829">
            <v>16.399999999999999</v>
          </cell>
          <cell r="BI829">
            <v>0</v>
          </cell>
          <cell r="BJ829">
            <v>0</v>
          </cell>
          <cell r="BK829">
            <v>8.199999999999999E-3</v>
          </cell>
          <cell r="BL829">
            <v>90.28</v>
          </cell>
          <cell r="BM829">
            <v>2E-3</v>
          </cell>
          <cell r="BN829">
            <v>21.8</v>
          </cell>
          <cell r="BO829">
            <v>1.6199999999999999E-3</v>
          </cell>
          <cell r="BP829">
            <v>16.920000000000002</v>
          </cell>
          <cell r="BQ829">
            <v>0</v>
          </cell>
          <cell r="BR829">
            <v>0</v>
          </cell>
          <cell r="BS829">
            <v>1.346E-2</v>
          </cell>
          <cell r="BT829">
            <v>145.4</v>
          </cell>
          <cell r="BU829">
            <v>0</v>
          </cell>
          <cell r="BV829">
            <v>0</v>
          </cell>
          <cell r="BW829">
            <v>4.64E-3</v>
          </cell>
          <cell r="BX829">
            <v>45.59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1.3424999999999999E-2</v>
          </cell>
          <cell r="CF829">
            <v>136.5</v>
          </cell>
          <cell r="CG829">
            <v>0</v>
          </cell>
          <cell r="CH829">
            <v>0</v>
          </cell>
          <cell r="CI829">
            <v>1.8064999999999998E-2</v>
          </cell>
          <cell r="CJ829">
            <v>182.09000000000003</v>
          </cell>
          <cell r="CK829">
            <v>3.1524999999999997E-2</v>
          </cell>
          <cell r="CL829">
            <v>327.49</v>
          </cell>
          <cell r="CO829">
            <v>0</v>
          </cell>
          <cell r="CP829">
            <v>0</v>
          </cell>
          <cell r="CQ829">
            <v>0</v>
          </cell>
          <cell r="CR829">
            <v>0</v>
          </cell>
          <cell r="CS829">
            <v>0</v>
          </cell>
          <cell r="CT829">
            <v>0</v>
          </cell>
          <cell r="CU829">
            <v>1.7679999999999998E-2</v>
          </cell>
          <cell r="CV829">
            <v>181.93</v>
          </cell>
          <cell r="CW829">
            <v>0</v>
          </cell>
          <cell r="CX829">
            <v>0</v>
          </cell>
          <cell r="CY829">
            <v>0</v>
          </cell>
          <cell r="CZ829">
            <v>0</v>
          </cell>
          <cell r="DA829">
            <v>1.464E-2</v>
          </cell>
          <cell r="DB829">
            <v>150.72</v>
          </cell>
          <cell r="DC829">
            <v>2.3999999999999998E-3</v>
          </cell>
          <cell r="DD829">
            <v>26.16</v>
          </cell>
          <cell r="DE829">
            <v>1.704E-2</v>
          </cell>
          <cell r="DF829">
            <v>176.88</v>
          </cell>
          <cell r="DG829">
            <v>8.9899999999999997E-3</v>
          </cell>
          <cell r="DH829">
            <v>92.18</v>
          </cell>
          <cell r="DI829">
            <v>4.9199999999999999E-3</v>
          </cell>
          <cell r="DJ829">
            <v>49.2</v>
          </cell>
          <cell r="DK829">
            <v>4.4999999999999997E-3</v>
          </cell>
          <cell r="DL829">
            <v>48.36</v>
          </cell>
          <cell r="DM829">
            <v>1.8409999999999999E-2</v>
          </cell>
          <cell r="DN829">
            <v>189.73999999999998</v>
          </cell>
          <cell r="DO829">
            <v>3.16E-3</v>
          </cell>
          <cell r="DP829">
            <v>32</v>
          </cell>
          <cell r="DQ829">
            <v>4.8599999999999997E-3</v>
          </cell>
          <cell r="DR829">
            <v>46.849999999999994</v>
          </cell>
          <cell r="DS829">
            <v>9.6600000000000002E-3</v>
          </cell>
          <cell r="DT829">
            <v>103.08000000000001</v>
          </cell>
          <cell r="DU829">
            <v>1.7679999999999998E-2</v>
          </cell>
          <cell r="DV829">
            <v>181.93</v>
          </cell>
          <cell r="DW829">
            <v>0.10779499999999999</v>
          </cell>
          <cell r="DX829">
            <v>1110.79</v>
          </cell>
          <cell r="DY829" t="str">
            <v>Hedef</v>
          </cell>
          <cell r="DZ829">
            <v>0</v>
          </cell>
          <cell r="EA829">
            <v>10304.652349366854</v>
          </cell>
        </row>
        <row r="830">
          <cell r="C830" t="str">
            <v>Tursu ve Zeytun koncerve</v>
          </cell>
          <cell r="D830" t="str">
            <v>TON</v>
          </cell>
          <cell r="E830">
            <v>9.5999999999999992E-3</v>
          </cell>
          <cell r="F830">
            <v>55.2</v>
          </cell>
          <cell r="G830">
            <v>3.1800000000000002E-2</v>
          </cell>
          <cell r="H830">
            <v>171.60000000000002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O830">
            <v>4.1399999999999999E-2</v>
          </cell>
          <cell r="P830">
            <v>226.8</v>
          </cell>
          <cell r="Q830">
            <v>0</v>
          </cell>
          <cell r="R830">
            <v>0</v>
          </cell>
          <cell r="S830">
            <v>1.932E-2</v>
          </cell>
          <cell r="T830">
            <v>128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1.932E-2</v>
          </cell>
          <cell r="Z830">
            <v>128</v>
          </cell>
          <cell r="AA830">
            <v>0</v>
          </cell>
          <cell r="AB830">
            <v>0</v>
          </cell>
          <cell r="AC830">
            <v>1.4339999999999999E-2</v>
          </cell>
          <cell r="AD830">
            <v>124.77999999999999</v>
          </cell>
          <cell r="AE830">
            <v>6.7000000000000002E-4</v>
          </cell>
          <cell r="AF830">
            <v>4.37</v>
          </cell>
          <cell r="AG830">
            <v>4.7999999999999996E-3</v>
          </cell>
          <cell r="AH830">
            <v>44.64</v>
          </cell>
          <cell r="AI830">
            <v>3.0359999999999998E-2</v>
          </cell>
          <cell r="AJ830">
            <v>212.88</v>
          </cell>
          <cell r="AK830">
            <v>5.6240000000000005E-2</v>
          </cell>
          <cell r="AL830">
            <v>377.08000000000004</v>
          </cell>
          <cell r="AO830">
            <v>0.10641</v>
          </cell>
          <cell r="AP830">
            <v>763.75</v>
          </cell>
          <cell r="AS830">
            <v>0</v>
          </cell>
          <cell r="AT830">
            <v>0</v>
          </cell>
          <cell r="AU830">
            <v>0.86011500000000007</v>
          </cell>
          <cell r="AV830">
            <v>5972.74</v>
          </cell>
          <cell r="AW830">
            <v>0</v>
          </cell>
          <cell r="AX830">
            <v>0</v>
          </cell>
          <cell r="AY830">
            <v>9.4000000000000004E-3</v>
          </cell>
          <cell r="AZ830">
            <v>65.899999999999991</v>
          </cell>
          <cell r="BA830">
            <v>0</v>
          </cell>
          <cell r="BB830">
            <v>0</v>
          </cell>
          <cell r="BC830">
            <v>2.196E-2</v>
          </cell>
          <cell r="BD830">
            <v>173.34</v>
          </cell>
          <cell r="BE830">
            <v>3.1359999999999999E-2</v>
          </cell>
          <cell r="BF830">
            <v>239.23999999999998</v>
          </cell>
          <cell r="BG830">
            <v>2.2450000000000001E-2</v>
          </cell>
          <cell r="BH830">
            <v>155.66</v>
          </cell>
          <cell r="BI830">
            <v>2.64E-2</v>
          </cell>
          <cell r="BJ830">
            <v>155.01000000000002</v>
          </cell>
          <cell r="BK830">
            <v>1.1439999999999999E-2</v>
          </cell>
          <cell r="BL830">
            <v>114.74000000000001</v>
          </cell>
          <cell r="BM830">
            <v>2.9420000000000002E-2</v>
          </cell>
          <cell r="BN830">
            <v>248.28000000000003</v>
          </cell>
          <cell r="BO830">
            <v>4.5869999999999994E-2</v>
          </cell>
          <cell r="BP830">
            <v>284.28000000000003</v>
          </cell>
          <cell r="BQ830">
            <v>0</v>
          </cell>
          <cell r="BR830">
            <v>0</v>
          </cell>
          <cell r="BS830">
            <v>0.13557999999999998</v>
          </cell>
          <cell r="BT830">
            <v>957.97</v>
          </cell>
          <cell r="BU830">
            <v>1.9599999999999999E-2</v>
          </cell>
          <cell r="BV830">
            <v>105.22999999999999</v>
          </cell>
          <cell r="BW830">
            <v>3.3000000000000002E-2</v>
          </cell>
          <cell r="BX830">
            <v>216.85</v>
          </cell>
          <cell r="BY830">
            <v>1.5E-3</v>
          </cell>
          <cell r="BZ830">
            <v>16.68</v>
          </cell>
          <cell r="CA830">
            <v>2.6980000000000001E-2</v>
          </cell>
          <cell r="CB830">
            <v>170.23000000000002</v>
          </cell>
          <cell r="CC830">
            <v>2.52E-2</v>
          </cell>
          <cell r="CD830">
            <v>157.68</v>
          </cell>
          <cell r="CE830">
            <v>3.8965E-2</v>
          </cell>
          <cell r="CF830">
            <v>305.22000000000003</v>
          </cell>
          <cell r="CG830">
            <v>0</v>
          </cell>
          <cell r="CH830">
            <v>0</v>
          </cell>
          <cell r="CI830">
            <v>0.14524500000000001</v>
          </cell>
          <cell r="CJ830">
            <v>971.8900000000001</v>
          </cell>
          <cell r="CK830">
            <v>0.28082499999999999</v>
          </cell>
          <cell r="CL830">
            <v>1929.86</v>
          </cell>
          <cell r="CO830">
            <v>0</v>
          </cell>
          <cell r="CP830">
            <v>0</v>
          </cell>
          <cell r="CQ830">
            <v>0</v>
          </cell>
          <cell r="CR830">
            <v>0</v>
          </cell>
          <cell r="CS830">
            <v>0</v>
          </cell>
          <cell r="CT830">
            <v>0</v>
          </cell>
          <cell r="CU830">
            <v>0.15636</v>
          </cell>
          <cell r="CV830">
            <v>1101.3700000000001</v>
          </cell>
          <cell r="CW830">
            <v>0</v>
          </cell>
          <cell r="CX830">
            <v>0</v>
          </cell>
          <cell r="CY830">
            <v>0.10200000000000001</v>
          </cell>
          <cell r="CZ830">
            <v>706.2</v>
          </cell>
          <cell r="DA830">
            <v>2.6249999999999999E-2</v>
          </cell>
          <cell r="DB830">
            <v>218.13</v>
          </cell>
          <cell r="DC830">
            <v>1.1299999999999999E-2</v>
          </cell>
          <cell r="DD830">
            <v>80.040000000000006</v>
          </cell>
          <cell r="DE830">
            <v>0.13955000000000001</v>
          </cell>
          <cell r="DF830">
            <v>1004.37</v>
          </cell>
          <cell r="DG830">
            <v>2.7889999999999998E-2</v>
          </cell>
          <cell r="DH830">
            <v>201.97</v>
          </cell>
          <cell r="DI830">
            <v>1.8020000000000001E-2</v>
          </cell>
          <cell r="DJ830">
            <v>129.66000000000003</v>
          </cell>
          <cell r="DK830">
            <v>3.8979999999999994E-2</v>
          </cell>
          <cell r="DL830">
            <v>247.72000000000003</v>
          </cell>
          <cell r="DM830">
            <v>8.4890000000000007E-2</v>
          </cell>
          <cell r="DN830">
            <v>579.35</v>
          </cell>
          <cell r="DO830">
            <v>3.542E-2</v>
          </cell>
          <cell r="DP830">
            <v>236.14</v>
          </cell>
          <cell r="DQ830">
            <v>4.9240000000000006E-2</v>
          </cell>
          <cell r="DR830">
            <v>314.34000000000003</v>
          </cell>
          <cell r="DS830">
            <v>7.17E-2</v>
          </cell>
          <cell r="DT830">
            <v>550.89</v>
          </cell>
          <cell r="DU830">
            <v>0.15636</v>
          </cell>
          <cell r="DV830">
            <v>1101.3700000000001</v>
          </cell>
          <cell r="DW830">
            <v>0.86011500000000007</v>
          </cell>
          <cell r="DX830">
            <v>5972.7400000000007</v>
          </cell>
          <cell r="DZ830">
            <v>0</v>
          </cell>
          <cell r="EA830">
            <v>6944.1179377176313</v>
          </cell>
        </row>
        <row r="831">
          <cell r="B831">
            <v>226433</v>
          </cell>
          <cell r="C831" t="str">
            <v>ვაშლის ჯემი-ფინალი_ატმის არომ_12კგ</v>
          </cell>
          <cell r="D831" t="str">
            <v>TON</v>
          </cell>
          <cell r="E831">
            <v>0.36</v>
          </cell>
          <cell r="F831">
            <v>1500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O831">
            <v>0.36</v>
          </cell>
          <cell r="P831">
            <v>1500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O831">
            <v>0</v>
          </cell>
          <cell r="AP831">
            <v>0</v>
          </cell>
          <cell r="AS831">
            <v>0</v>
          </cell>
          <cell r="AT831">
            <v>0</v>
          </cell>
          <cell r="AU831">
            <v>0.372</v>
          </cell>
          <cell r="AV831">
            <v>1550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1.2E-2</v>
          </cell>
          <cell r="BP831">
            <v>50</v>
          </cell>
          <cell r="BQ831">
            <v>0</v>
          </cell>
          <cell r="BR831">
            <v>0</v>
          </cell>
          <cell r="BS831">
            <v>1.2E-2</v>
          </cell>
          <cell r="BT831">
            <v>50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1.2E-2</v>
          </cell>
          <cell r="CL831">
            <v>50</v>
          </cell>
          <cell r="CO831">
            <v>0</v>
          </cell>
          <cell r="CP831">
            <v>0</v>
          </cell>
          <cell r="CQ831">
            <v>0</v>
          </cell>
          <cell r="CR831">
            <v>0</v>
          </cell>
          <cell r="CS831">
            <v>0</v>
          </cell>
          <cell r="CT831">
            <v>0</v>
          </cell>
          <cell r="CU831">
            <v>0</v>
          </cell>
          <cell r="CV831">
            <v>0</v>
          </cell>
          <cell r="CW831">
            <v>0</v>
          </cell>
          <cell r="CX831">
            <v>0</v>
          </cell>
          <cell r="CY831">
            <v>0</v>
          </cell>
          <cell r="CZ831">
            <v>0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0</v>
          </cell>
          <cell r="DK831">
            <v>0</v>
          </cell>
          <cell r="DL831">
            <v>0</v>
          </cell>
          <cell r="DM831">
            <v>0</v>
          </cell>
          <cell r="DN831">
            <v>0</v>
          </cell>
          <cell r="DO831">
            <v>0</v>
          </cell>
          <cell r="DP831">
            <v>0</v>
          </cell>
          <cell r="DQ831">
            <v>0</v>
          </cell>
          <cell r="DR831">
            <v>0</v>
          </cell>
          <cell r="DS831">
            <v>0</v>
          </cell>
          <cell r="DT831">
            <v>0</v>
          </cell>
          <cell r="DU831">
            <v>0</v>
          </cell>
          <cell r="DV831">
            <v>0</v>
          </cell>
          <cell r="DW831">
            <v>0.372</v>
          </cell>
          <cell r="DX831">
            <v>1550</v>
          </cell>
          <cell r="DY831" t="str">
            <v/>
          </cell>
          <cell r="DZ831">
            <v>0</v>
          </cell>
          <cell r="EA831">
            <v>4166.666666666667</v>
          </cell>
        </row>
        <row r="832">
          <cell r="B832">
            <v>226434</v>
          </cell>
          <cell r="C832" t="str">
            <v>ვაშლის ჯემი-ფინალი_მარწყვის არომ_12კგ</v>
          </cell>
          <cell r="D832" t="str">
            <v>TON</v>
          </cell>
          <cell r="E832">
            <v>0</v>
          </cell>
          <cell r="F832">
            <v>0</v>
          </cell>
          <cell r="G832">
            <v>0.13200000000000001</v>
          </cell>
          <cell r="H832">
            <v>550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O832">
            <v>0.13200000000000001</v>
          </cell>
          <cell r="P832">
            <v>550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O832">
            <v>0</v>
          </cell>
          <cell r="AP832">
            <v>0</v>
          </cell>
          <cell r="AS832">
            <v>0</v>
          </cell>
          <cell r="AT832">
            <v>0</v>
          </cell>
          <cell r="AU832">
            <v>0.372</v>
          </cell>
          <cell r="AV832">
            <v>1540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7.1999999999999995E-2</v>
          </cell>
          <cell r="BH832">
            <v>300</v>
          </cell>
          <cell r="BI832">
            <v>0.12</v>
          </cell>
          <cell r="BJ832">
            <v>490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0.192</v>
          </cell>
          <cell r="BT832">
            <v>790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1.2E-2</v>
          </cell>
          <cell r="CD832">
            <v>50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1.2E-2</v>
          </cell>
          <cell r="CJ832">
            <v>50</v>
          </cell>
          <cell r="CK832">
            <v>0.20400000000000001</v>
          </cell>
          <cell r="CL832">
            <v>840</v>
          </cell>
          <cell r="CO832">
            <v>0</v>
          </cell>
          <cell r="CP832">
            <v>0</v>
          </cell>
          <cell r="CQ832">
            <v>0</v>
          </cell>
          <cell r="CR832">
            <v>0</v>
          </cell>
          <cell r="CS832">
            <v>0</v>
          </cell>
          <cell r="CT832">
            <v>0</v>
          </cell>
          <cell r="CU832">
            <v>2.4E-2</v>
          </cell>
          <cell r="CV832">
            <v>100</v>
          </cell>
          <cell r="CW832">
            <v>0</v>
          </cell>
          <cell r="CX832">
            <v>0</v>
          </cell>
          <cell r="CY832">
            <v>0</v>
          </cell>
          <cell r="CZ832">
            <v>0</v>
          </cell>
          <cell r="DA832">
            <v>0</v>
          </cell>
          <cell r="DB832">
            <v>0</v>
          </cell>
          <cell r="DC832">
            <v>0</v>
          </cell>
          <cell r="DD832">
            <v>0</v>
          </cell>
          <cell r="DE832">
            <v>0</v>
          </cell>
          <cell r="DF832">
            <v>0</v>
          </cell>
          <cell r="DG832">
            <v>0</v>
          </cell>
          <cell r="DH832">
            <v>0</v>
          </cell>
          <cell r="DI832">
            <v>1.2E-2</v>
          </cell>
          <cell r="DJ832">
            <v>50</v>
          </cell>
          <cell r="DK832">
            <v>0</v>
          </cell>
          <cell r="DL832">
            <v>0</v>
          </cell>
          <cell r="DM832">
            <v>1.2E-2</v>
          </cell>
          <cell r="DN832">
            <v>50</v>
          </cell>
          <cell r="DO832">
            <v>1.2E-2</v>
          </cell>
          <cell r="DP832">
            <v>50</v>
          </cell>
          <cell r="DQ832">
            <v>1.2E-2</v>
          </cell>
          <cell r="DR832">
            <v>50</v>
          </cell>
          <cell r="DS832">
            <v>0</v>
          </cell>
          <cell r="DT832">
            <v>0</v>
          </cell>
          <cell r="DU832">
            <v>2.4E-2</v>
          </cell>
          <cell r="DV832">
            <v>100</v>
          </cell>
          <cell r="DW832">
            <v>0.372</v>
          </cell>
          <cell r="DX832">
            <v>1540</v>
          </cell>
          <cell r="DY832" t="str">
            <v/>
          </cell>
          <cell r="DZ832">
            <v>0</v>
          </cell>
          <cell r="EA832">
            <v>4139.7849462365593</v>
          </cell>
        </row>
        <row r="833">
          <cell r="B833">
            <v>226435</v>
          </cell>
          <cell r="C833" t="str">
            <v>ვაშლის ჯემი-ფინალი_გარგრის არომ_12კგ</v>
          </cell>
          <cell r="D833" t="str">
            <v>TON</v>
          </cell>
          <cell r="E833">
            <v>0.06</v>
          </cell>
          <cell r="F833">
            <v>270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O833">
            <v>0.06</v>
          </cell>
          <cell r="P833">
            <v>270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O833">
            <v>0</v>
          </cell>
          <cell r="AP833">
            <v>0</v>
          </cell>
          <cell r="AS833">
            <v>0</v>
          </cell>
          <cell r="AT833">
            <v>0</v>
          </cell>
          <cell r="AU833">
            <v>0.27600000000000002</v>
          </cell>
          <cell r="AV833">
            <v>1222.56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0.216</v>
          </cell>
          <cell r="BJ833">
            <v>952.56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0.216</v>
          </cell>
          <cell r="BT833">
            <v>952.56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0.216</v>
          </cell>
          <cell r="CL833">
            <v>952.56</v>
          </cell>
          <cell r="CO833">
            <v>0</v>
          </cell>
          <cell r="CP833">
            <v>0</v>
          </cell>
          <cell r="CQ833">
            <v>0</v>
          </cell>
          <cell r="CR833">
            <v>0</v>
          </cell>
          <cell r="CS833">
            <v>0</v>
          </cell>
          <cell r="CT833">
            <v>0</v>
          </cell>
          <cell r="CU833">
            <v>0</v>
          </cell>
          <cell r="CV833">
            <v>0</v>
          </cell>
          <cell r="CW833">
            <v>0</v>
          </cell>
          <cell r="CX833">
            <v>0</v>
          </cell>
          <cell r="CY833">
            <v>0</v>
          </cell>
          <cell r="CZ833">
            <v>0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  <cell r="DL833">
            <v>0</v>
          </cell>
          <cell r="DM833">
            <v>0</v>
          </cell>
          <cell r="DN833">
            <v>0</v>
          </cell>
          <cell r="DO833">
            <v>0</v>
          </cell>
          <cell r="DP833">
            <v>0</v>
          </cell>
          <cell r="DQ833">
            <v>0</v>
          </cell>
          <cell r="DR833">
            <v>0</v>
          </cell>
          <cell r="DS833">
            <v>0</v>
          </cell>
          <cell r="DT833">
            <v>0</v>
          </cell>
          <cell r="DU833">
            <v>0</v>
          </cell>
          <cell r="DV833">
            <v>0</v>
          </cell>
          <cell r="DW833">
            <v>0.27600000000000002</v>
          </cell>
          <cell r="DX833">
            <v>1222.56</v>
          </cell>
          <cell r="DY833" t="str">
            <v/>
          </cell>
          <cell r="DZ833">
            <v>0</v>
          </cell>
          <cell r="EA833">
            <v>4429.565217391304</v>
          </cell>
        </row>
        <row r="834">
          <cell r="B834">
            <v>226436</v>
          </cell>
          <cell r="C834" t="str">
            <v>ვაშლის ჯემი-ფინალი_ალუბლის არომ_12კგ</v>
          </cell>
          <cell r="D834" t="str">
            <v>TON</v>
          </cell>
          <cell r="E834">
            <v>0.252</v>
          </cell>
          <cell r="F834">
            <v>1134</v>
          </cell>
          <cell r="G834">
            <v>1.2E-2</v>
          </cell>
          <cell r="H834">
            <v>54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O834">
            <v>0.26400000000000001</v>
          </cell>
          <cell r="P834">
            <v>1188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O834">
            <v>0</v>
          </cell>
          <cell r="AP834">
            <v>0</v>
          </cell>
          <cell r="AS834">
            <v>0</v>
          </cell>
          <cell r="AT834">
            <v>0</v>
          </cell>
          <cell r="AU834">
            <v>0.96</v>
          </cell>
          <cell r="AV834">
            <v>4374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3.5999999999999997E-2</v>
          </cell>
          <cell r="BD834">
            <v>162</v>
          </cell>
          <cell r="BE834">
            <v>3.5999999999999997E-2</v>
          </cell>
          <cell r="BF834">
            <v>162</v>
          </cell>
          <cell r="BG834">
            <v>0.24</v>
          </cell>
          <cell r="BH834">
            <v>1080</v>
          </cell>
          <cell r="BI834">
            <v>0</v>
          </cell>
          <cell r="BJ834">
            <v>0</v>
          </cell>
          <cell r="BK834">
            <v>4.8000000000000001E-2</v>
          </cell>
          <cell r="BL834">
            <v>216</v>
          </cell>
          <cell r="BM834">
            <v>0</v>
          </cell>
          <cell r="BN834">
            <v>0</v>
          </cell>
          <cell r="BO834">
            <v>0.26400000000000001</v>
          </cell>
          <cell r="BP834">
            <v>1242</v>
          </cell>
          <cell r="BQ834">
            <v>0</v>
          </cell>
          <cell r="BR834">
            <v>0</v>
          </cell>
          <cell r="BS834">
            <v>0.55200000000000005</v>
          </cell>
          <cell r="BT834">
            <v>2538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7.1999999999999995E-2</v>
          </cell>
          <cell r="BZ834">
            <v>324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1.2E-2</v>
          </cell>
          <cell r="CH834">
            <v>54</v>
          </cell>
          <cell r="CI834">
            <v>8.4000000000000005E-2</v>
          </cell>
          <cell r="CJ834">
            <v>378</v>
          </cell>
          <cell r="CK834">
            <v>0.63600000000000001</v>
          </cell>
          <cell r="CL834">
            <v>2916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2.4E-2</v>
          </cell>
          <cell r="CV834">
            <v>108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2.4E-2</v>
          </cell>
          <cell r="DP834">
            <v>108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2.4E-2</v>
          </cell>
          <cell r="DV834">
            <v>108</v>
          </cell>
          <cell r="DW834">
            <v>0.96000000000000008</v>
          </cell>
          <cell r="DX834">
            <v>4374</v>
          </cell>
          <cell r="DY834" t="str">
            <v/>
          </cell>
          <cell r="DZ834">
            <v>0</v>
          </cell>
          <cell r="EA834">
            <v>4556.25</v>
          </cell>
        </row>
        <row r="835">
          <cell r="B835">
            <v>238626</v>
          </cell>
          <cell r="C835" t="str">
            <v>ვაშლის ჯემი-ბიზიმ ტარლა_820გ*12</v>
          </cell>
          <cell r="D835" t="str">
            <v>TON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O835">
            <v>0</v>
          </cell>
          <cell r="AP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O835">
            <v>0</v>
          </cell>
          <cell r="CP835">
            <v>0</v>
          </cell>
          <cell r="CQ835">
            <v>0</v>
          </cell>
          <cell r="CR835">
            <v>0</v>
          </cell>
          <cell r="CS835">
            <v>0</v>
          </cell>
          <cell r="CT835">
            <v>0</v>
          </cell>
          <cell r="CU835">
            <v>0</v>
          </cell>
          <cell r="CV835">
            <v>0</v>
          </cell>
          <cell r="CW835">
            <v>0</v>
          </cell>
          <cell r="CX835">
            <v>0</v>
          </cell>
          <cell r="CY835">
            <v>0</v>
          </cell>
          <cell r="CZ835">
            <v>0</v>
          </cell>
          <cell r="DA835">
            <v>0</v>
          </cell>
          <cell r="DB835">
            <v>0</v>
          </cell>
          <cell r="DC835">
            <v>0</v>
          </cell>
          <cell r="DD835">
            <v>0</v>
          </cell>
          <cell r="DE835">
            <v>0</v>
          </cell>
          <cell r="DF835">
            <v>0</v>
          </cell>
          <cell r="DG835">
            <v>0</v>
          </cell>
          <cell r="DH835">
            <v>0</v>
          </cell>
          <cell r="DI835">
            <v>0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0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  <cell r="DX835">
            <v>0</v>
          </cell>
          <cell r="DY835" t="str">
            <v/>
          </cell>
          <cell r="DZ835" t="str">
            <v>pasiv</v>
          </cell>
          <cell r="EA835" t="e">
            <v>#DIV/0!</v>
          </cell>
        </row>
        <row r="836">
          <cell r="B836">
            <v>315633</v>
          </cell>
          <cell r="C836" t="str">
            <v>ვაშლის ჯემი-ფინალი_12კგ</v>
          </cell>
          <cell r="D836" t="str">
            <v>TON</v>
          </cell>
          <cell r="E836">
            <v>1.2E-2</v>
          </cell>
          <cell r="F836">
            <v>50.5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O836">
            <v>1.2E-2</v>
          </cell>
          <cell r="P836">
            <v>50.5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O836">
            <v>0</v>
          </cell>
          <cell r="AP836">
            <v>0</v>
          </cell>
          <cell r="AS836">
            <v>0</v>
          </cell>
          <cell r="AT836">
            <v>0</v>
          </cell>
          <cell r="AU836">
            <v>7.1999999999999995E-2</v>
          </cell>
          <cell r="AV836">
            <v>300.98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2.4E-2</v>
          </cell>
          <cell r="BJ836">
            <v>98.98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3.5999999999999997E-2</v>
          </cell>
          <cell r="BP836">
            <v>151.5</v>
          </cell>
          <cell r="BQ836">
            <v>0</v>
          </cell>
          <cell r="BR836">
            <v>0</v>
          </cell>
          <cell r="BS836">
            <v>0.06</v>
          </cell>
          <cell r="BT836">
            <v>250.48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0.06</v>
          </cell>
          <cell r="CL836">
            <v>250.48</v>
          </cell>
          <cell r="CO836">
            <v>0</v>
          </cell>
          <cell r="CP836">
            <v>0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  <cell r="DL836">
            <v>0</v>
          </cell>
          <cell r="DM836">
            <v>0</v>
          </cell>
          <cell r="DN836">
            <v>0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7.1999999999999995E-2</v>
          </cell>
          <cell r="DX836">
            <v>300.98</v>
          </cell>
          <cell r="DY836" t="str">
            <v/>
          </cell>
          <cell r="DZ836">
            <v>0</v>
          </cell>
          <cell r="EA836">
            <v>4180.2777777777783</v>
          </cell>
        </row>
        <row r="837">
          <cell r="A837">
            <v>18</v>
          </cell>
          <cell r="B837">
            <v>0</v>
          </cell>
          <cell r="C837" t="str">
            <v>POVIDLO TOPLAMI + RECEL</v>
          </cell>
          <cell r="D837" t="str">
            <v>TON</v>
          </cell>
          <cell r="E837">
            <v>0.7</v>
          </cell>
          <cell r="F837">
            <v>3145.11</v>
          </cell>
          <cell r="G837">
            <v>0.14400000000000002</v>
          </cell>
          <cell r="H837">
            <v>604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O837">
            <v>0.84400000000000008</v>
          </cell>
          <cell r="P837">
            <v>3749.11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2.5199999999999997E-2</v>
          </cell>
          <cell r="AD837">
            <v>384.59000000000003</v>
          </cell>
          <cell r="AE837">
            <v>2.8E-3</v>
          </cell>
          <cell r="AF837">
            <v>40.799999999999997</v>
          </cell>
          <cell r="AG837">
            <v>3.2000000000000002E-3</v>
          </cell>
          <cell r="AH837">
            <v>36.159999999999997</v>
          </cell>
          <cell r="AI837">
            <v>1.8000000000000002E-2</v>
          </cell>
          <cell r="AJ837">
            <v>213.35000000000002</v>
          </cell>
          <cell r="AK837">
            <v>7.1999999999999998E-3</v>
          </cell>
          <cell r="AL837">
            <v>108.69</v>
          </cell>
          <cell r="AO837">
            <v>5.6399999999999999E-2</v>
          </cell>
          <cell r="AP837">
            <v>783.59000000000015</v>
          </cell>
          <cell r="AS837">
            <v>0</v>
          </cell>
          <cell r="AT837">
            <v>0</v>
          </cell>
          <cell r="AU837">
            <v>2.3712</v>
          </cell>
          <cell r="AV837">
            <v>13126.8</v>
          </cell>
          <cell r="AW837">
            <v>0</v>
          </cell>
          <cell r="AX837">
            <v>0</v>
          </cell>
          <cell r="AY837">
            <v>1.04E-2</v>
          </cell>
          <cell r="AZ837">
            <v>132.12</v>
          </cell>
          <cell r="BA837">
            <v>0</v>
          </cell>
          <cell r="BB837">
            <v>0</v>
          </cell>
          <cell r="BC837">
            <v>3.7199999999999997E-2</v>
          </cell>
          <cell r="BD837">
            <v>175.56</v>
          </cell>
          <cell r="BE837">
            <v>4.7599999999999996E-2</v>
          </cell>
          <cell r="BF837">
            <v>307.68</v>
          </cell>
          <cell r="BG837">
            <v>0.312</v>
          </cell>
          <cell r="BH837">
            <v>1380</v>
          </cell>
          <cell r="BI837">
            <v>0.37719999999999998</v>
          </cell>
          <cell r="BJ837">
            <v>1750.5</v>
          </cell>
          <cell r="BK837">
            <v>4.8000000000000001E-2</v>
          </cell>
          <cell r="BL837">
            <v>216</v>
          </cell>
          <cell r="BM837">
            <v>1.24E-2</v>
          </cell>
          <cell r="BN837">
            <v>154.1</v>
          </cell>
          <cell r="BO837">
            <v>0.312</v>
          </cell>
          <cell r="BP837">
            <v>1443.5</v>
          </cell>
          <cell r="BQ837">
            <v>0</v>
          </cell>
          <cell r="BR837">
            <v>0</v>
          </cell>
          <cell r="BS837">
            <v>1.0616000000000001</v>
          </cell>
          <cell r="BT837">
            <v>4944.0999999999995</v>
          </cell>
          <cell r="BU837">
            <v>0</v>
          </cell>
          <cell r="BV837">
            <v>0</v>
          </cell>
          <cell r="BW837">
            <v>3.0799999999999998E-2</v>
          </cell>
          <cell r="BX837">
            <v>363.31</v>
          </cell>
          <cell r="BY837">
            <v>7.4399999999999994E-2</v>
          </cell>
          <cell r="BZ837">
            <v>359.71</v>
          </cell>
          <cell r="CA837">
            <v>8.0000000000000004E-4</v>
          </cell>
          <cell r="CB837">
            <v>13.02</v>
          </cell>
          <cell r="CC837">
            <v>2.92E-2</v>
          </cell>
          <cell r="CD837">
            <v>264.93</v>
          </cell>
          <cell r="CE837">
            <v>3.6000000000000004E-2</v>
          </cell>
          <cell r="CF837">
            <v>441.6</v>
          </cell>
          <cell r="CG837">
            <v>1.2E-2</v>
          </cell>
          <cell r="CH837">
            <v>54</v>
          </cell>
          <cell r="CI837">
            <v>0.1832</v>
          </cell>
          <cell r="CJ837">
            <v>1496.57</v>
          </cell>
          <cell r="CK837">
            <v>1.2448000000000001</v>
          </cell>
          <cell r="CL837">
            <v>6440.6699999999992</v>
          </cell>
          <cell r="CO837">
            <v>0</v>
          </cell>
          <cell r="CP837">
            <v>0</v>
          </cell>
          <cell r="CQ837">
            <v>0</v>
          </cell>
          <cell r="CR837">
            <v>0</v>
          </cell>
          <cell r="CS837">
            <v>0</v>
          </cell>
          <cell r="CT837">
            <v>0</v>
          </cell>
          <cell r="CU837">
            <v>0.08</v>
          </cell>
          <cell r="CV837">
            <v>630.79</v>
          </cell>
          <cell r="CW837">
            <v>0</v>
          </cell>
          <cell r="CX837">
            <v>0</v>
          </cell>
          <cell r="CY837">
            <v>5.6000000000000001E-2</v>
          </cell>
          <cell r="CZ837">
            <v>721</v>
          </cell>
          <cell r="DA837">
            <v>1.1999999999999999E-3</v>
          </cell>
          <cell r="DB837">
            <v>15.75</v>
          </cell>
          <cell r="DC837">
            <v>2.0799999999999999E-2</v>
          </cell>
          <cell r="DD837">
            <v>307.43</v>
          </cell>
          <cell r="DE837">
            <v>7.8E-2</v>
          </cell>
          <cell r="DF837">
            <v>1044.1799999999998</v>
          </cell>
          <cell r="DG837">
            <v>1.5999999999999999E-3</v>
          </cell>
          <cell r="DH837">
            <v>20.07</v>
          </cell>
          <cell r="DI837">
            <v>1.8000000000000002E-2</v>
          </cell>
          <cell r="DJ837">
            <v>137.69</v>
          </cell>
          <cell r="DK837">
            <v>8.0000000000000004E-4</v>
          </cell>
          <cell r="DL837">
            <v>13.02</v>
          </cell>
          <cell r="DM837">
            <v>2.0400000000000001E-2</v>
          </cell>
          <cell r="DN837">
            <v>170.78</v>
          </cell>
          <cell r="DO837">
            <v>4.8400000000000006E-2</v>
          </cell>
          <cell r="DP837">
            <v>315.53000000000003</v>
          </cell>
          <cell r="DQ837">
            <v>2.1600000000000001E-2</v>
          </cell>
          <cell r="DR837">
            <v>182.36</v>
          </cell>
          <cell r="DS837">
            <v>0.01</v>
          </cell>
          <cell r="DT837">
            <v>132.89999999999998</v>
          </cell>
          <cell r="DU837">
            <v>0.08</v>
          </cell>
          <cell r="DV837">
            <v>630.79</v>
          </cell>
          <cell r="DW837">
            <v>2.3712</v>
          </cell>
          <cell r="DX837">
            <v>13126.8</v>
          </cell>
          <cell r="DY837" t="str">
            <v>Hedef</v>
          </cell>
          <cell r="DZ837">
            <v>0</v>
          </cell>
          <cell r="EA837">
            <v>5535.9311740890689</v>
          </cell>
        </row>
        <row r="838">
          <cell r="C838" t="str">
            <v>SAVILLE NAR SOSU_250 ML*16</v>
          </cell>
          <cell r="D838" t="str">
            <v>TON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O838">
            <v>0</v>
          </cell>
          <cell r="AP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O838">
            <v>0</v>
          </cell>
          <cell r="CP838">
            <v>0</v>
          </cell>
          <cell r="CQ838">
            <v>0</v>
          </cell>
          <cell r="CR838">
            <v>0</v>
          </cell>
          <cell r="CS838">
            <v>0</v>
          </cell>
          <cell r="CT838">
            <v>0</v>
          </cell>
          <cell r="CU838">
            <v>0</v>
          </cell>
          <cell r="CV838">
            <v>0</v>
          </cell>
          <cell r="CW838">
            <v>0</v>
          </cell>
          <cell r="CX838">
            <v>0</v>
          </cell>
          <cell r="CY838">
            <v>0</v>
          </cell>
          <cell r="CZ838">
            <v>0</v>
          </cell>
          <cell r="DA838">
            <v>0</v>
          </cell>
          <cell r="DB838">
            <v>0</v>
          </cell>
          <cell r="DC838">
            <v>0</v>
          </cell>
          <cell r="DD838">
            <v>0</v>
          </cell>
          <cell r="DE838">
            <v>0</v>
          </cell>
          <cell r="DF838">
            <v>0</v>
          </cell>
          <cell r="DG838">
            <v>0</v>
          </cell>
          <cell r="DH838">
            <v>0</v>
          </cell>
          <cell r="DI838">
            <v>0</v>
          </cell>
          <cell r="DJ838">
            <v>0</v>
          </cell>
          <cell r="DK838">
            <v>0</v>
          </cell>
          <cell r="DL838">
            <v>0</v>
          </cell>
          <cell r="DM838">
            <v>0</v>
          </cell>
          <cell r="DN838">
            <v>0</v>
          </cell>
          <cell r="DO838">
            <v>0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  <cell r="DX838">
            <v>0</v>
          </cell>
          <cell r="DY838" t="str">
            <v/>
          </cell>
          <cell r="DZ838" t="str">
            <v>pasiv</v>
          </cell>
          <cell r="EA838" t="e">
            <v>#DIV/0!</v>
          </cell>
        </row>
        <row r="839">
          <cell r="A839">
            <v>56</v>
          </cell>
          <cell r="C839" t="str">
            <v>SIRKESI</v>
          </cell>
          <cell r="D839" t="str">
            <v>TON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O839">
            <v>0</v>
          </cell>
          <cell r="AP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S839">
            <v>0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0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  <cell r="DL839">
            <v>0</v>
          </cell>
          <cell r="DM839">
            <v>0</v>
          </cell>
          <cell r="DN839">
            <v>0</v>
          </cell>
          <cell r="DO839">
            <v>0</v>
          </cell>
          <cell r="DP839">
            <v>0</v>
          </cell>
          <cell r="DQ839">
            <v>0</v>
          </cell>
          <cell r="DR839">
            <v>0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  <cell r="DX839">
            <v>0</v>
          </cell>
          <cell r="DY839" t="str">
            <v>Hedef</v>
          </cell>
          <cell r="DZ839" t="str">
            <v>pasiv</v>
          </cell>
          <cell r="EA839" t="e">
            <v>#DIV/0!</v>
          </cell>
        </row>
        <row r="840">
          <cell r="B840">
            <v>296217</v>
          </cell>
          <cell r="C840" t="str">
            <v>კომპოტი–ჩვ.სუფრა–ალუჩა/1*12</v>
          </cell>
          <cell r="D840" t="str">
            <v>TON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O840">
            <v>0</v>
          </cell>
          <cell r="AP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O840">
            <v>0</v>
          </cell>
          <cell r="CP840">
            <v>0</v>
          </cell>
          <cell r="CQ840">
            <v>0</v>
          </cell>
          <cell r="CR840">
            <v>0</v>
          </cell>
          <cell r="CS840">
            <v>0</v>
          </cell>
          <cell r="CT840">
            <v>0</v>
          </cell>
          <cell r="CU840">
            <v>0</v>
          </cell>
          <cell r="CV840">
            <v>0</v>
          </cell>
          <cell r="CW840">
            <v>0</v>
          </cell>
          <cell r="CX840">
            <v>0</v>
          </cell>
          <cell r="CY840">
            <v>0</v>
          </cell>
          <cell r="CZ840">
            <v>0</v>
          </cell>
          <cell r="DA840">
            <v>0</v>
          </cell>
          <cell r="DB840">
            <v>0</v>
          </cell>
          <cell r="DC840">
            <v>0</v>
          </cell>
          <cell r="DD840">
            <v>0</v>
          </cell>
          <cell r="DE840">
            <v>0</v>
          </cell>
          <cell r="DF840">
            <v>0</v>
          </cell>
          <cell r="DG840">
            <v>0</v>
          </cell>
          <cell r="DH840">
            <v>0</v>
          </cell>
          <cell r="DI840">
            <v>0</v>
          </cell>
          <cell r="DJ840">
            <v>0</v>
          </cell>
          <cell r="DK840">
            <v>0</v>
          </cell>
          <cell r="DL840">
            <v>0</v>
          </cell>
          <cell r="DM840">
            <v>0</v>
          </cell>
          <cell r="DN840">
            <v>0</v>
          </cell>
          <cell r="DO840">
            <v>0</v>
          </cell>
          <cell r="DP840">
            <v>0</v>
          </cell>
          <cell r="DQ840">
            <v>0</v>
          </cell>
          <cell r="DR840">
            <v>0</v>
          </cell>
          <cell r="DS840">
            <v>0</v>
          </cell>
          <cell r="DT840">
            <v>0</v>
          </cell>
          <cell r="DU840">
            <v>0</v>
          </cell>
          <cell r="DV840">
            <v>0</v>
          </cell>
          <cell r="DW840">
            <v>0</v>
          </cell>
          <cell r="DX840">
            <v>0</v>
          </cell>
          <cell r="DY840" t="str">
            <v/>
          </cell>
          <cell r="DZ840" t="str">
            <v>pasiv</v>
          </cell>
          <cell r="EA840" t="e">
            <v>#DIV/0!</v>
          </cell>
        </row>
        <row r="841">
          <cell r="B841">
            <v>201020</v>
          </cell>
          <cell r="C841" t="str">
            <v>C.SUPRA ERIK KOMPOTU_1L*12</v>
          </cell>
          <cell r="D841" t="str">
            <v>TON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O841">
            <v>0</v>
          </cell>
          <cell r="AP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0</v>
          </cell>
          <cell r="DN841">
            <v>0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  <cell r="DX841">
            <v>0</v>
          </cell>
          <cell r="DY841" t="str">
            <v/>
          </cell>
          <cell r="DZ841" t="str">
            <v>pasiv</v>
          </cell>
          <cell r="EA841" t="e">
            <v>#DIV/0!</v>
          </cell>
        </row>
        <row r="842">
          <cell r="B842">
            <v>22186</v>
          </cell>
          <cell r="C842" t="str">
            <v>კომპოტი–ბიზიმ ტარლა–შინდი/1*12</v>
          </cell>
          <cell r="D842" t="str">
            <v>TON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O842">
            <v>0</v>
          </cell>
          <cell r="AP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S842">
            <v>0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0</v>
          </cell>
          <cell r="DA842">
            <v>0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0</v>
          </cell>
          <cell r="DK842">
            <v>0</v>
          </cell>
          <cell r="DL842">
            <v>0</v>
          </cell>
          <cell r="DM842">
            <v>0</v>
          </cell>
          <cell r="DN842">
            <v>0</v>
          </cell>
          <cell r="DO842">
            <v>0</v>
          </cell>
          <cell r="DP842">
            <v>0</v>
          </cell>
          <cell r="DQ842">
            <v>0</v>
          </cell>
          <cell r="DR842">
            <v>0</v>
          </cell>
          <cell r="DS842">
            <v>0</v>
          </cell>
          <cell r="DT842">
            <v>0</v>
          </cell>
          <cell r="DU842">
            <v>0</v>
          </cell>
          <cell r="DV842">
            <v>0</v>
          </cell>
          <cell r="DW842">
            <v>0</v>
          </cell>
          <cell r="DX842">
            <v>0</v>
          </cell>
          <cell r="DY842" t="str">
            <v/>
          </cell>
          <cell r="DZ842" t="str">
            <v>pasiv</v>
          </cell>
          <cell r="EA842" t="e">
            <v>#DIV/0!</v>
          </cell>
        </row>
        <row r="843">
          <cell r="B843">
            <v>22185</v>
          </cell>
          <cell r="C843" t="str">
            <v>კომპოტი–ბიზიმ ტარლა–ღოღნაშო/1*12</v>
          </cell>
          <cell r="D843" t="str">
            <v>TON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1E-3</v>
          </cell>
          <cell r="AH843">
            <v>3.65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O843">
            <v>1E-3</v>
          </cell>
          <cell r="AP843">
            <v>3.65</v>
          </cell>
          <cell r="AS843">
            <v>0</v>
          </cell>
          <cell r="AT843">
            <v>0</v>
          </cell>
          <cell r="AU843">
            <v>1E-3</v>
          </cell>
          <cell r="AV843">
            <v>3.65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O843">
            <v>0</v>
          </cell>
          <cell r="CP843">
            <v>0</v>
          </cell>
          <cell r="CQ843">
            <v>0</v>
          </cell>
          <cell r="CR843">
            <v>0</v>
          </cell>
          <cell r="CS843">
            <v>0</v>
          </cell>
          <cell r="CT843">
            <v>0</v>
          </cell>
          <cell r="CU843">
            <v>0</v>
          </cell>
          <cell r="CV843">
            <v>0</v>
          </cell>
          <cell r="CW843">
            <v>0</v>
          </cell>
          <cell r="CX843">
            <v>0</v>
          </cell>
          <cell r="CY843">
            <v>0</v>
          </cell>
          <cell r="CZ843">
            <v>0</v>
          </cell>
          <cell r="DA843">
            <v>0</v>
          </cell>
          <cell r="DB843">
            <v>0</v>
          </cell>
          <cell r="DC843">
            <v>0</v>
          </cell>
          <cell r="DD843">
            <v>0</v>
          </cell>
          <cell r="DE843">
            <v>0</v>
          </cell>
          <cell r="DF843">
            <v>0</v>
          </cell>
          <cell r="DG843">
            <v>0</v>
          </cell>
          <cell r="DH843">
            <v>0</v>
          </cell>
          <cell r="DI843">
            <v>0</v>
          </cell>
          <cell r="DJ843">
            <v>0</v>
          </cell>
          <cell r="DK843">
            <v>0</v>
          </cell>
          <cell r="DL843">
            <v>0</v>
          </cell>
          <cell r="DM843">
            <v>0</v>
          </cell>
          <cell r="DN843">
            <v>0</v>
          </cell>
          <cell r="DO843">
            <v>0</v>
          </cell>
          <cell r="DP843">
            <v>0</v>
          </cell>
          <cell r="DQ843">
            <v>0</v>
          </cell>
          <cell r="DR843">
            <v>0</v>
          </cell>
          <cell r="DS843">
            <v>0</v>
          </cell>
          <cell r="DT843">
            <v>0</v>
          </cell>
          <cell r="DU843">
            <v>0</v>
          </cell>
          <cell r="DV843">
            <v>0</v>
          </cell>
          <cell r="DW843">
            <v>1E-3</v>
          </cell>
          <cell r="DX843">
            <v>3.65</v>
          </cell>
          <cell r="DY843" t="str">
            <v/>
          </cell>
          <cell r="DZ843">
            <v>0</v>
          </cell>
          <cell r="EA843">
            <v>3650</v>
          </cell>
        </row>
        <row r="844">
          <cell r="B844">
            <v>47116</v>
          </cell>
          <cell r="C844" t="str">
            <v>კომპოტი–ბიზიმ ტარლა–ქლიავი/1*12</v>
          </cell>
          <cell r="D844" t="str">
            <v>TON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1E-3</v>
          </cell>
          <cell r="AH844">
            <v>3.65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O844">
            <v>1E-3</v>
          </cell>
          <cell r="AP844">
            <v>3.65</v>
          </cell>
          <cell r="AS844">
            <v>0</v>
          </cell>
          <cell r="AT844">
            <v>0</v>
          </cell>
          <cell r="AU844">
            <v>1E-3</v>
          </cell>
          <cell r="AV844">
            <v>3.65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O844">
            <v>0</v>
          </cell>
          <cell r="CP844">
            <v>0</v>
          </cell>
          <cell r="CQ844">
            <v>0</v>
          </cell>
          <cell r="CR844">
            <v>0</v>
          </cell>
          <cell r="CS844">
            <v>0</v>
          </cell>
          <cell r="CT844">
            <v>0</v>
          </cell>
          <cell r="CU844">
            <v>0</v>
          </cell>
          <cell r="CV844">
            <v>0</v>
          </cell>
          <cell r="CW844">
            <v>0</v>
          </cell>
          <cell r="CX844">
            <v>0</v>
          </cell>
          <cell r="CY844">
            <v>0</v>
          </cell>
          <cell r="CZ844">
            <v>0</v>
          </cell>
          <cell r="DA844">
            <v>0</v>
          </cell>
          <cell r="DB844">
            <v>0</v>
          </cell>
          <cell r="DC844">
            <v>0</v>
          </cell>
          <cell r="DD844">
            <v>0</v>
          </cell>
          <cell r="DE844">
            <v>0</v>
          </cell>
          <cell r="DF844">
            <v>0</v>
          </cell>
          <cell r="DG844">
            <v>0</v>
          </cell>
          <cell r="DH844">
            <v>0</v>
          </cell>
          <cell r="DI844">
            <v>0</v>
          </cell>
          <cell r="DJ844">
            <v>0</v>
          </cell>
          <cell r="DK844">
            <v>0</v>
          </cell>
          <cell r="DL844">
            <v>0</v>
          </cell>
          <cell r="DM844">
            <v>0</v>
          </cell>
          <cell r="DN844">
            <v>0</v>
          </cell>
          <cell r="DO844">
            <v>0</v>
          </cell>
          <cell r="DP844">
            <v>0</v>
          </cell>
          <cell r="DQ844">
            <v>0</v>
          </cell>
          <cell r="DR844">
            <v>0</v>
          </cell>
          <cell r="DS844">
            <v>0</v>
          </cell>
          <cell r="DT844">
            <v>0</v>
          </cell>
          <cell r="DU844">
            <v>0</v>
          </cell>
          <cell r="DV844">
            <v>0</v>
          </cell>
          <cell r="DW844">
            <v>1E-3</v>
          </cell>
          <cell r="DX844">
            <v>3.65</v>
          </cell>
          <cell r="DY844" t="str">
            <v/>
          </cell>
          <cell r="DZ844">
            <v>0</v>
          </cell>
          <cell r="EA844">
            <v>3650</v>
          </cell>
        </row>
        <row r="845">
          <cell r="B845">
            <v>43074</v>
          </cell>
          <cell r="C845" t="str">
            <v>კომპოტი–ბიზიმ ტარლა–ატამი/1*12</v>
          </cell>
          <cell r="D845" t="str">
            <v>TON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1E-3</v>
          </cell>
          <cell r="AF845">
            <v>3.43</v>
          </cell>
          <cell r="AG845">
            <v>1E-3</v>
          </cell>
          <cell r="AH845">
            <v>3.65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O845">
            <v>2E-3</v>
          </cell>
          <cell r="AP845">
            <v>7.08</v>
          </cell>
          <cell r="AS845">
            <v>0</v>
          </cell>
          <cell r="AT845">
            <v>0</v>
          </cell>
          <cell r="AU845">
            <v>8.0000000000000002E-3</v>
          </cell>
          <cell r="AV845">
            <v>28.32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6.0000000000000001E-3</v>
          </cell>
          <cell r="BX845">
            <v>21.24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6.0000000000000001E-3</v>
          </cell>
          <cell r="CJ845">
            <v>21.24</v>
          </cell>
          <cell r="CK845">
            <v>6.0000000000000001E-3</v>
          </cell>
          <cell r="CL845">
            <v>21.24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S845">
            <v>0</v>
          </cell>
          <cell r="CT845">
            <v>0</v>
          </cell>
          <cell r="CU845">
            <v>0</v>
          </cell>
          <cell r="CV845">
            <v>0</v>
          </cell>
          <cell r="CW845">
            <v>0</v>
          </cell>
          <cell r="CX845">
            <v>0</v>
          </cell>
          <cell r="CY845">
            <v>0</v>
          </cell>
          <cell r="CZ845">
            <v>0</v>
          </cell>
          <cell r="DA845">
            <v>0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0</v>
          </cell>
          <cell r="DK845">
            <v>0</v>
          </cell>
          <cell r="DL845">
            <v>0</v>
          </cell>
          <cell r="DM845">
            <v>0</v>
          </cell>
          <cell r="DN845">
            <v>0</v>
          </cell>
          <cell r="DO845">
            <v>0</v>
          </cell>
          <cell r="DP845">
            <v>0</v>
          </cell>
          <cell r="DQ845">
            <v>0</v>
          </cell>
          <cell r="DR845">
            <v>0</v>
          </cell>
          <cell r="DS845">
            <v>0</v>
          </cell>
          <cell r="DT845">
            <v>0</v>
          </cell>
          <cell r="DU845">
            <v>0</v>
          </cell>
          <cell r="DV845">
            <v>0</v>
          </cell>
          <cell r="DW845">
            <v>8.0000000000000002E-3</v>
          </cell>
          <cell r="DX845">
            <v>28.32</v>
          </cell>
          <cell r="DY845" t="str">
            <v/>
          </cell>
          <cell r="DZ845">
            <v>0</v>
          </cell>
          <cell r="EA845">
            <v>3540</v>
          </cell>
        </row>
        <row r="846">
          <cell r="B846">
            <v>43079</v>
          </cell>
          <cell r="C846" t="str">
            <v>კომპოტი–ბიზიმ ტარლა–კომში-1*12</v>
          </cell>
          <cell r="D846" t="str">
            <v>TON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O846">
            <v>0</v>
          </cell>
          <cell r="AP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0</v>
          </cell>
          <cell r="DA846">
            <v>0</v>
          </cell>
          <cell r="DB846">
            <v>0</v>
          </cell>
          <cell r="DC846">
            <v>0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  <cell r="DL846">
            <v>0</v>
          </cell>
          <cell r="DM846">
            <v>0</v>
          </cell>
          <cell r="DN846">
            <v>0</v>
          </cell>
          <cell r="DO846">
            <v>0</v>
          </cell>
          <cell r="DP846">
            <v>0</v>
          </cell>
          <cell r="DQ846">
            <v>0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  <cell r="DX846">
            <v>0</v>
          </cell>
          <cell r="DY846" t="str">
            <v/>
          </cell>
          <cell r="DZ846" t="str">
            <v>pasiv</v>
          </cell>
          <cell r="EA846" t="e">
            <v>#DIV/0!</v>
          </cell>
        </row>
        <row r="847">
          <cell r="B847">
            <v>174559</v>
          </cell>
          <cell r="C847" t="str">
            <v>C.SUPRA KOMPOT ALBALI_1L*12</v>
          </cell>
          <cell r="D847" t="str">
            <v>TON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O847">
            <v>0</v>
          </cell>
          <cell r="AP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O847">
            <v>0</v>
          </cell>
          <cell r="CP847">
            <v>0</v>
          </cell>
          <cell r="CQ847">
            <v>0</v>
          </cell>
          <cell r="CR847">
            <v>0</v>
          </cell>
          <cell r="CS847">
            <v>0</v>
          </cell>
          <cell r="CT847">
            <v>0</v>
          </cell>
          <cell r="CU847">
            <v>0</v>
          </cell>
          <cell r="CV847">
            <v>0</v>
          </cell>
          <cell r="CW847">
            <v>0</v>
          </cell>
          <cell r="CX847">
            <v>0</v>
          </cell>
          <cell r="CY847">
            <v>0</v>
          </cell>
          <cell r="CZ847">
            <v>0</v>
          </cell>
          <cell r="DA847">
            <v>0</v>
          </cell>
          <cell r="DB847">
            <v>0</v>
          </cell>
          <cell r="DC847">
            <v>0</v>
          </cell>
          <cell r="DD847">
            <v>0</v>
          </cell>
          <cell r="DE847">
            <v>0</v>
          </cell>
          <cell r="DF847">
            <v>0</v>
          </cell>
          <cell r="DG847">
            <v>0</v>
          </cell>
          <cell r="DH847">
            <v>0</v>
          </cell>
          <cell r="DI847">
            <v>0</v>
          </cell>
          <cell r="DJ847">
            <v>0</v>
          </cell>
          <cell r="DK847">
            <v>0</v>
          </cell>
          <cell r="DL847">
            <v>0</v>
          </cell>
          <cell r="DM847">
            <v>0</v>
          </cell>
          <cell r="DN847">
            <v>0</v>
          </cell>
          <cell r="DO847">
            <v>0</v>
          </cell>
          <cell r="DP847">
            <v>0</v>
          </cell>
          <cell r="DQ847">
            <v>0</v>
          </cell>
          <cell r="DR847">
            <v>0</v>
          </cell>
          <cell r="DS847">
            <v>0</v>
          </cell>
          <cell r="DT847">
            <v>0</v>
          </cell>
          <cell r="DU847">
            <v>0</v>
          </cell>
          <cell r="DV847">
            <v>0</v>
          </cell>
          <cell r="DW847">
            <v>0</v>
          </cell>
          <cell r="DX847">
            <v>0</v>
          </cell>
          <cell r="DY847" t="str">
            <v/>
          </cell>
          <cell r="DZ847" t="str">
            <v>pasiv</v>
          </cell>
          <cell r="EA847" t="e">
            <v>#DIV/0!</v>
          </cell>
        </row>
        <row r="848">
          <cell r="B848">
            <v>174584</v>
          </cell>
          <cell r="C848" t="str">
            <v>C.SUPRA KOMPOT ZOGAL_1L*12</v>
          </cell>
          <cell r="D848" t="str">
            <v>TON</v>
          </cell>
          <cell r="E848">
            <v>0</v>
          </cell>
          <cell r="F848">
            <v>0</v>
          </cell>
          <cell r="G848">
            <v>2.4E-2</v>
          </cell>
          <cell r="H848">
            <v>86.4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O848">
            <v>2.4E-2</v>
          </cell>
          <cell r="P848">
            <v>86.4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4.0000000000000001E-3</v>
          </cell>
          <cell r="AD848">
            <v>15.3</v>
          </cell>
          <cell r="AE848">
            <v>1E-3</v>
          </cell>
          <cell r="AF848">
            <v>3.38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8.0000000000000002E-3</v>
          </cell>
          <cell r="AL848">
            <v>30.24</v>
          </cell>
          <cell r="AO848">
            <v>1.3000000000000001E-2</v>
          </cell>
          <cell r="AP848">
            <v>48.92</v>
          </cell>
          <cell r="AS848">
            <v>0</v>
          </cell>
          <cell r="AT848">
            <v>0</v>
          </cell>
          <cell r="AU848">
            <v>0.193</v>
          </cell>
          <cell r="AV848">
            <v>722.04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4.0000000000000001E-3</v>
          </cell>
          <cell r="BD848">
            <v>15.12</v>
          </cell>
          <cell r="BE848">
            <v>4.0000000000000001E-3</v>
          </cell>
          <cell r="BF848">
            <v>15.12</v>
          </cell>
          <cell r="BG848">
            <v>6.0000000000000001E-3</v>
          </cell>
          <cell r="BH848">
            <v>22.68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4.0000000000000001E-3</v>
          </cell>
          <cell r="BN848">
            <v>15.12</v>
          </cell>
          <cell r="BO848">
            <v>8.9999999999999993E-3</v>
          </cell>
          <cell r="BP848">
            <v>34.020000000000003</v>
          </cell>
          <cell r="BQ848">
            <v>0</v>
          </cell>
          <cell r="BR848">
            <v>0</v>
          </cell>
          <cell r="BS848">
            <v>1.9E-2</v>
          </cell>
          <cell r="BT848">
            <v>71.819999999999993</v>
          </cell>
          <cell r="BU848">
            <v>0</v>
          </cell>
          <cell r="BV848">
            <v>0</v>
          </cell>
          <cell r="BW848">
            <v>8.9999999999999993E-3</v>
          </cell>
          <cell r="BX848">
            <v>31.75</v>
          </cell>
          <cell r="BY848">
            <v>3.0000000000000001E-3</v>
          </cell>
          <cell r="BZ848">
            <v>11.34</v>
          </cell>
          <cell r="CA848">
            <v>1.7999999999999999E-2</v>
          </cell>
          <cell r="CB848">
            <v>68.040000000000006</v>
          </cell>
          <cell r="CC848">
            <v>0</v>
          </cell>
          <cell r="CD848">
            <v>0</v>
          </cell>
          <cell r="CE848">
            <v>1.2E-2</v>
          </cell>
          <cell r="CF848">
            <v>47.4</v>
          </cell>
          <cell r="CG848">
            <v>0</v>
          </cell>
          <cell r="CH848">
            <v>0</v>
          </cell>
          <cell r="CI848">
            <v>4.2000000000000003E-2</v>
          </cell>
          <cell r="CJ848">
            <v>158.53</v>
          </cell>
          <cell r="CK848">
            <v>6.0999999999999999E-2</v>
          </cell>
          <cell r="CL848">
            <v>230.35</v>
          </cell>
          <cell r="CO848">
            <v>0</v>
          </cell>
          <cell r="CP848">
            <v>0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1.4999999999999999E-2</v>
          </cell>
          <cell r="CV848">
            <v>56.12</v>
          </cell>
          <cell r="CW848">
            <v>0</v>
          </cell>
          <cell r="CX848">
            <v>0</v>
          </cell>
          <cell r="CY848">
            <v>4.8000000000000001E-2</v>
          </cell>
          <cell r="CZ848">
            <v>181.44</v>
          </cell>
          <cell r="DA848">
            <v>0</v>
          </cell>
          <cell r="DB848">
            <v>0</v>
          </cell>
          <cell r="DC848">
            <v>2.4E-2</v>
          </cell>
          <cell r="DD848">
            <v>89.11</v>
          </cell>
          <cell r="DE848">
            <v>7.2000000000000008E-2</v>
          </cell>
          <cell r="DF848">
            <v>270.55</v>
          </cell>
          <cell r="DG848">
            <v>0</v>
          </cell>
          <cell r="DH848">
            <v>0</v>
          </cell>
          <cell r="DI848">
            <v>4.0000000000000001E-3</v>
          </cell>
          <cell r="DJ848">
            <v>14.58</v>
          </cell>
          <cell r="DK848">
            <v>0</v>
          </cell>
          <cell r="DL848">
            <v>0</v>
          </cell>
          <cell r="DM848">
            <v>4.0000000000000001E-3</v>
          </cell>
          <cell r="DN848">
            <v>14.58</v>
          </cell>
          <cell r="DO848">
            <v>6.0000000000000001E-3</v>
          </cell>
          <cell r="DP848">
            <v>22.1</v>
          </cell>
          <cell r="DQ848">
            <v>0</v>
          </cell>
          <cell r="DR848">
            <v>0</v>
          </cell>
          <cell r="DS848">
            <v>8.9999999999999993E-3</v>
          </cell>
          <cell r="DT848">
            <v>34.020000000000003</v>
          </cell>
          <cell r="DU848">
            <v>1.4999999999999999E-2</v>
          </cell>
          <cell r="DV848">
            <v>56.12</v>
          </cell>
          <cell r="DW848">
            <v>0.19300000000000003</v>
          </cell>
          <cell r="DX848">
            <v>722.04</v>
          </cell>
          <cell r="DY848" t="str">
            <v/>
          </cell>
          <cell r="DZ848">
            <v>0</v>
          </cell>
          <cell r="EA848">
            <v>3741.1398963730562</v>
          </cell>
        </row>
        <row r="849">
          <cell r="B849">
            <v>174736</v>
          </cell>
          <cell r="C849" t="str">
            <v>C.SUPRA KOMPOT FEYXOA_1L*12</v>
          </cell>
          <cell r="D849" t="str">
            <v>TON</v>
          </cell>
          <cell r="E849">
            <v>1.2E-2</v>
          </cell>
          <cell r="F849">
            <v>41.9</v>
          </cell>
          <cell r="G849">
            <v>1.2E-2</v>
          </cell>
          <cell r="H849">
            <v>43.2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O849">
            <v>2.4E-2</v>
          </cell>
          <cell r="P849">
            <v>85.1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1.7999999999999999E-2</v>
          </cell>
          <cell r="AD849">
            <v>68.040000000000006</v>
          </cell>
          <cell r="AE849">
            <v>0</v>
          </cell>
          <cell r="AF849">
            <v>0</v>
          </cell>
          <cell r="AG849">
            <v>1E-3</v>
          </cell>
          <cell r="AH849">
            <v>3.6</v>
          </cell>
          <cell r="AI849">
            <v>0</v>
          </cell>
          <cell r="AJ849">
            <v>0</v>
          </cell>
          <cell r="AK849">
            <v>1.2E-2</v>
          </cell>
          <cell r="AL849">
            <v>44.21</v>
          </cell>
          <cell r="AO849">
            <v>3.1E-2</v>
          </cell>
          <cell r="AP849">
            <v>115.85</v>
          </cell>
          <cell r="AS849">
            <v>0</v>
          </cell>
          <cell r="AT849">
            <v>0</v>
          </cell>
          <cell r="AU849">
            <v>0.22500000000000001</v>
          </cell>
          <cell r="AV849">
            <v>833.44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4.0000000000000001E-3</v>
          </cell>
          <cell r="BD849">
            <v>15.12</v>
          </cell>
          <cell r="BE849">
            <v>4.0000000000000001E-3</v>
          </cell>
          <cell r="BF849">
            <v>15.12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3.0000000000000001E-3</v>
          </cell>
          <cell r="BL849">
            <v>11.34</v>
          </cell>
          <cell r="BM849">
            <v>4.0000000000000001E-3</v>
          </cell>
          <cell r="BN849">
            <v>15.12</v>
          </cell>
          <cell r="BO849">
            <v>8.0000000000000002E-3</v>
          </cell>
          <cell r="BP849">
            <v>30.24</v>
          </cell>
          <cell r="BQ849">
            <v>0</v>
          </cell>
          <cell r="BR849">
            <v>0</v>
          </cell>
          <cell r="BS849">
            <v>1.4999999999999999E-2</v>
          </cell>
          <cell r="BT849">
            <v>56.7</v>
          </cell>
          <cell r="BU849">
            <v>0</v>
          </cell>
          <cell r="BV849">
            <v>0</v>
          </cell>
          <cell r="BW849">
            <v>8.9999999999999993E-3</v>
          </cell>
          <cell r="BX849">
            <v>31.75</v>
          </cell>
          <cell r="BY849">
            <v>8.9999999999999993E-3</v>
          </cell>
          <cell r="BZ849">
            <v>34.020000000000003</v>
          </cell>
          <cell r="CA849">
            <v>1.7999999999999999E-2</v>
          </cell>
          <cell r="CB849">
            <v>68.040000000000006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3.5999999999999997E-2</v>
          </cell>
          <cell r="CJ849">
            <v>133.81</v>
          </cell>
          <cell r="CK849">
            <v>5.0999999999999997E-2</v>
          </cell>
          <cell r="CL849">
            <v>190.51</v>
          </cell>
          <cell r="CO849">
            <v>0</v>
          </cell>
          <cell r="CP849">
            <v>0</v>
          </cell>
          <cell r="CQ849">
            <v>0</v>
          </cell>
          <cell r="CR849">
            <v>0</v>
          </cell>
          <cell r="CS849">
            <v>0</v>
          </cell>
          <cell r="CT849">
            <v>0</v>
          </cell>
          <cell r="CU849">
            <v>5.0000000000000001E-3</v>
          </cell>
          <cell r="CV849">
            <v>18.899999999999999</v>
          </cell>
          <cell r="CW849">
            <v>0</v>
          </cell>
          <cell r="CX849">
            <v>0</v>
          </cell>
          <cell r="CY849">
            <v>4.8000000000000001E-2</v>
          </cell>
          <cell r="CZ849">
            <v>181.44</v>
          </cell>
          <cell r="DA849">
            <v>0</v>
          </cell>
          <cell r="DB849">
            <v>0</v>
          </cell>
          <cell r="DC849">
            <v>4.2000000000000003E-2</v>
          </cell>
          <cell r="DD849">
            <v>153.97999999999999</v>
          </cell>
          <cell r="DE849">
            <v>0.09</v>
          </cell>
          <cell r="DF849">
            <v>335.41999999999996</v>
          </cell>
          <cell r="DG849">
            <v>3.0000000000000001E-3</v>
          </cell>
          <cell r="DH849">
            <v>11.34</v>
          </cell>
          <cell r="DI849">
            <v>1.7000000000000001E-2</v>
          </cell>
          <cell r="DJ849">
            <v>61.2</v>
          </cell>
          <cell r="DK849">
            <v>0</v>
          </cell>
          <cell r="DL849">
            <v>0</v>
          </cell>
          <cell r="DM849">
            <v>0.02</v>
          </cell>
          <cell r="DN849">
            <v>72.540000000000006</v>
          </cell>
          <cell r="DO849">
            <v>5.0000000000000001E-3</v>
          </cell>
          <cell r="DP849">
            <v>18.899999999999999</v>
          </cell>
          <cell r="DQ849">
            <v>0</v>
          </cell>
          <cell r="DR849">
            <v>0</v>
          </cell>
          <cell r="DS849">
            <v>0</v>
          </cell>
          <cell r="DT849">
            <v>0</v>
          </cell>
          <cell r="DU849">
            <v>5.0000000000000001E-3</v>
          </cell>
          <cell r="DV849">
            <v>18.899999999999999</v>
          </cell>
          <cell r="DW849">
            <v>0.22500000000000001</v>
          </cell>
          <cell r="DX849">
            <v>833.43999999999994</v>
          </cell>
          <cell r="DY849" t="str">
            <v/>
          </cell>
          <cell r="DZ849">
            <v>0</v>
          </cell>
          <cell r="EA849">
            <v>3704.1777777777775</v>
          </cell>
        </row>
        <row r="850">
          <cell r="B850">
            <v>174737</v>
          </cell>
          <cell r="C850" t="str">
            <v>C.SUPRA KOMPOT HEYVA_1L*12</v>
          </cell>
          <cell r="D850" t="str">
            <v>TON</v>
          </cell>
          <cell r="E850">
            <v>1.2E-2</v>
          </cell>
          <cell r="F850">
            <v>41.9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O850">
            <v>1.2E-2</v>
          </cell>
          <cell r="P850">
            <v>41.9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8.0000000000000002E-3</v>
          </cell>
          <cell r="AL850">
            <v>30.24</v>
          </cell>
          <cell r="AO850">
            <v>8.0000000000000002E-3</v>
          </cell>
          <cell r="AP850">
            <v>30.24</v>
          </cell>
          <cell r="AS850">
            <v>0</v>
          </cell>
          <cell r="AT850">
            <v>0</v>
          </cell>
          <cell r="AU850">
            <v>0.06</v>
          </cell>
          <cell r="AV850">
            <v>217.42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2E-3</v>
          </cell>
          <cell r="BN850">
            <v>7.2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2E-3</v>
          </cell>
          <cell r="BT850">
            <v>7.2</v>
          </cell>
          <cell r="BU850">
            <v>0</v>
          </cell>
          <cell r="BV850">
            <v>0</v>
          </cell>
          <cell r="BW850">
            <v>8.9999999999999993E-3</v>
          </cell>
          <cell r="BX850">
            <v>31.75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8.9999999999999993E-3</v>
          </cell>
          <cell r="CJ850">
            <v>31.75</v>
          </cell>
          <cell r="CK850">
            <v>1.0999999999999999E-2</v>
          </cell>
          <cell r="CL850">
            <v>38.950000000000003</v>
          </cell>
          <cell r="CO850">
            <v>0</v>
          </cell>
          <cell r="CP850">
            <v>0</v>
          </cell>
          <cell r="CQ850">
            <v>0</v>
          </cell>
          <cell r="CR850">
            <v>0</v>
          </cell>
          <cell r="CS850">
            <v>0</v>
          </cell>
          <cell r="CT850">
            <v>0</v>
          </cell>
          <cell r="CU850">
            <v>3.0000000000000001E-3</v>
          </cell>
          <cell r="CV850">
            <v>11.34</v>
          </cell>
          <cell r="CW850">
            <v>0</v>
          </cell>
          <cell r="CX850">
            <v>0</v>
          </cell>
          <cell r="CY850">
            <v>0</v>
          </cell>
          <cell r="CZ850">
            <v>0</v>
          </cell>
          <cell r="DA850">
            <v>0</v>
          </cell>
          <cell r="DB850">
            <v>0</v>
          </cell>
          <cell r="DC850">
            <v>2.1000000000000001E-2</v>
          </cell>
          <cell r="DD850">
            <v>76.989999999999995</v>
          </cell>
          <cell r="DE850">
            <v>2.1000000000000001E-2</v>
          </cell>
          <cell r="DF850">
            <v>76.989999999999995</v>
          </cell>
          <cell r="DG850">
            <v>0</v>
          </cell>
          <cell r="DH850">
            <v>0</v>
          </cell>
          <cell r="DI850">
            <v>5.0000000000000001E-3</v>
          </cell>
          <cell r="DJ850">
            <v>18</v>
          </cell>
          <cell r="DK850">
            <v>0</v>
          </cell>
          <cell r="DL850">
            <v>0</v>
          </cell>
          <cell r="DM850">
            <v>5.0000000000000001E-3</v>
          </cell>
          <cell r="DN850">
            <v>18</v>
          </cell>
          <cell r="DO850">
            <v>3.0000000000000001E-3</v>
          </cell>
          <cell r="DP850">
            <v>11.34</v>
          </cell>
          <cell r="DQ850">
            <v>0</v>
          </cell>
          <cell r="DR850">
            <v>0</v>
          </cell>
          <cell r="DS850">
            <v>0</v>
          </cell>
          <cell r="DT850">
            <v>0</v>
          </cell>
          <cell r="DU850">
            <v>3.0000000000000001E-3</v>
          </cell>
          <cell r="DV850">
            <v>11.34</v>
          </cell>
          <cell r="DW850">
            <v>0.06</v>
          </cell>
          <cell r="DX850">
            <v>217.42000000000002</v>
          </cell>
          <cell r="DY850" t="str">
            <v/>
          </cell>
          <cell r="DZ850">
            <v>0</v>
          </cell>
          <cell r="EA850">
            <v>3623.666666666667</v>
          </cell>
        </row>
        <row r="851">
          <cell r="B851">
            <v>174738</v>
          </cell>
          <cell r="C851" t="str">
            <v>C.SUPRA KOMPOT YEMISANLI FEYXOA_1L*12</v>
          </cell>
          <cell r="D851" t="str">
            <v>TON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1E-3</v>
          </cell>
          <cell r="AH851">
            <v>3.6</v>
          </cell>
          <cell r="AI851">
            <v>0</v>
          </cell>
          <cell r="AJ851">
            <v>0</v>
          </cell>
          <cell r="AK851">
            <v>8.0000000000000002E-3</v>
          </cell>
          <cell r="AL851">
            <v>30.24</v>
          </cell>
          <cell r="AO851">
            <v>9.0000000000000011E-3</v>
          </cell>
          <cell r="AP851">
            <v>33.839999999999996</v>
          </cell>
          <cell r="AS851">
            <v>0</v>
          </cell>
          <cell r="AT851">
            <v>0</v>
          </cell>
          <cell r="AU851">
            <v>7.8E-2</v>
          </cell>
          <cell r="AV851">
            <v>291.01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5.0000000000000001E-3</v>
          </cell>
          <cell r="BP851">
            <v>18.899999999999999</v>
          </cell>
          <cell r="BQ851">
            <v>0</v>
          </cell>
          <cell r="BR851">
            <v>0</v>
          </cell>
          <cell r="BS851">
            <v>5.0000000000000001E-3</v>
          </cell>
          <cell r="BT851">
            <v>18.899999999999999</v>
          </cell>
          <cell r="BU851">
            <v>0</v>
          </cell>
          <cell r="BV851">
            <v>0</v>
          </cell>
          <cell r="BW851">
            <v>8.9999999999999993E-3</v>
          </cell>
          <cell r="BX851">
            <v>31.75</v>
          </cell>
          <cell r="BY851">
            <v>0</v>
          </cell>
          <cell r="BZ851">
            <v>0</v>
          </cell>
          <cell r="CA851">
            <v>1.7999999999999999E-2</v>
          </cell>
          <cell r="CB851">
            <v>68.040000000000006</v>
          </cell>
          <cell r="CC851">
            <v>0</v>
          </cell>
          <cell r="CD851">
            <v>0</v>
          </cell>
          <cell r="CE851">
            <v>1.2E-2</v>
          </cell>
          <cell r="CF851">
            <v>47.4</v>
          </cell>
          <cell r="CG851">
            <v>0</v>
          </cell>
          <cell r="CH851">
            <v>0</v>
          </cell>
          <cell r="CI851">
            <v>3.9E-2</v>
          </cell>
          <cell r="CJ851">
            <v>147.19</v>
          </cell>
          <cell r="CK851">
            <v>4.3999999999999997E-2</v>
          </cell>
          <cell r="CL851">
            <v>166.09</v>
          </cell>
          <cell r="CO851">
            <v>0</v>
          </cell>
          <cell r="CP851">
            <v>0</v>
          </cell>
          <cell r="CQ851">
            <v>0</v>
          </cell>
          <cell r="CR851">
            <v>0</v>
          </cell>
          <cell r="CS851">
            <v>0</v>
          </cell>
          <cell r="CT851">
            <v>0</v>
          </cell>
          <cell r="CU851">
            <v>4.0000000000000001E-3</v>
          </cell>
          <cell r="CV851">
            <v>14.54</v>
          </cell>
          <cell r="CW851">
            <v>0</v>
          </cell>
          <cell r="CX851">
            <v>0</v>
          </cell>
          <cell r="CY851">
            <v>0</v>
          </cell>
          <cell r="CZ851">
            <v>0</v>
          </cell>
          <cell r="DA851">
            <v>0</v>
          </cell>
          <cell r="DB851">
            <v>0</v>
          </cell>
          <cell r="DC851">
            <v>1.7000000000000001E-2</v>
          </cell>
          <cell r="DD851">
            <v>62.14</v>
          </cell>
          <cell r="DE851">
            <v>1.7000000000000001E-2</v>
          </cell>
          <cell r="DF851">
            <v>62.14</v>
          </cell>
          <cell r="DG851">
            <v>0</v>
          </cell>
          <cell r="DH851">
            <v>0</v>
          </cell>
          <cell r="DI851">
            <v>4.0000000000000001E-3</v>
          </cell>
          <cell r="DJ851">
            <v>14.4</v>
          </cell>
          <cell r="DK851">
            <v>0</v>
          </cell>
          <cell r="DL851">
            <v>0</v>
          </cell>
          <cell r="DM851">
            <v>4.0000000000000001E-3</v>
          </cell>
          <cell r="DN851">
            <v>14.4</v>
          </cell>
          <cell r="DO851">
            <v>4.0000000000000001E-3</v>
          </cell>
          <cell r="DP851">
            <v>14.54</v>
          </cell>
          <cell r="DQ851">
            <v>0</v>
          </cell>
          <cell r="DR851">
            <v>0</v>
          </cell>
          <cell r="DS851">
            <v>0</v>
          </cell>
          <cell r="DT851">
            <v>0</v>
          </cell>
          <cell r="DU851">
            <v>4.0000000000000001E-3</v>
          </cell>
          <cell r="DV851">
            <v>14.54</v>
          </cell>
          <cell r="DW851">
            <v>7.8000000000000014E-2</v>
          </cell>
          <cell r="DX851">
            <v>291.01</v>
          </cell>
          <cell r="DY851" t="str">
            <v/>
          </cell>
          <cell r="DZ851">
            <v>0</v>
          </cell>
          <cell r="EA851">
            <v>3730.8974358974351</v>
          </cell>
        </row>
        <row r="852">
          <cell r="B852">
            <v>180632</v>
          </cell>
          <cell r="C852" t="str">
            <v>C.SUPRA KOMPOT GAVALI_1L*12</v>
          </cell>
          <cell r="D852" t="str">
            <v>TON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1E-3</v>
          </cell>
          <cell r="AH852">
            <v>3.6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O852">
            <v>1E-3</v>
          </cell>
          <cell r="AP852">
            <v>3.6</v>
          </cell>
          <cell r="AS852">
            <v>0</v>
          </cell>
          <cell r="AT852">
            <v>0</v>
          </cell>
          <cell r="AU852">
            <v>5.8000000000000003E-2</v>
          </cell>
          <cell r="AV852">
            <v>217.94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8.9999999999999993E-3</v>
          </cell>
          <cell r="BX852">
            <v>31.75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1.2E-2</v>
          </cell>
          <cell r="CF852">
            <v>47.4</v>
          </cell>
          <cell r="CG852">
            <v>0</v>
          </cell>
          <cell r="CH852">
            <v>0</v>
          </cell>
          <cell r="CI852">
            <v>2.1000000000000001E-2</v>
          </cell>
          <cell r="CJ852">
            <v>79.150000000000006</v>
          </cell>
          <cell r="CK852">
            <v>2.1000000000000001E-2</v>
          </cell>
          <cell r="CL852">
            <v>79.150000000000006</v>
          </cell>
          <cell r="CO852">
            <v>0</v>
          </cell>
          <cell r="CP852">
            <v>0</v>
          </cell>
          <cell r="CQ852">
            <v>0</v>
          </cell>
          <cell r="CR852">
            <v>0</v>
          </cell>
          <cell r="CS852">
            <v>0</v>
          </cell>
          <cell r="CT852">
            <v>0</v>
          </cell>
          <cell r="CU852">
            <v>0</v>
          </cell>
          <cell r="CV852">
            <v>0</v>
          </cell>
          <cell r="CW852">
            <v>0</v>
          </cell>
          <cell r="CX852">
            <v>0</v>
          </cell>
          <cell r="CY852">
            <v>1.2E-2</v>
          </cell>
          <cell r="CZ852">
            <v>47.4</v>
          </cell>
          <cell r="DA852">
            <v>0</v>
          </cell>
          <cell r="DB852">
            <v>0</v>
          </cell>
          <cell r="DC852">
            <v>2.1000000000000001E-2</v>
          </cell>
          <cell r="DD852">
            <v>76.989999999999995</v>
          </cell>
          <cell r="DE852">
            <v>3.3000000000000002E-2</v>
          </cell>
          <cell r="DF852">
            <v>124.38999999999999</v>
          </cell>
          <cell r="DG852">
            <v>0</v>
          </cell>
          <cell r="DH852">
            <v>0</v>
          </cell>
          <cell r="DI852">
            <v>3.0000000000000001E-3</v>
          </cell>
          <cell r="DJ852">
            <v>10.8</v>
          </cell>
          <cell r="DK852">
            <v>0</v>
          </cell>
          <cell r="DL852">
            <v>0</v>
          </cell>
          <cell r="DM852">
            <v>3.0000000000000001E-3</v>
          </cell>
          <cell r="DN852">
            <v>10.8</v>
          </cell>
          <cell r="DO852">
            <v>0</v>
          </cell>
          <cell r="DP852">
            <v>0</v>
          </cell>
          <cell r="DQ852">
            <v>0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5.800000000000001E-2</v>
          </cell>
          <cell r="DX852">
            <v>217.94</v>
          </cell>
          <cell r="DY852" t="str">
            <v/>
          </cell>
          <cell r="DZ852">
            <v>0</v>
          </cell>
          <cell r="EA852">
            <v>3757.5862068965512</v>
          </cell>
        </row>
        <row r="853">
          <cell r="B853">
            <v>244099</v>
          </cell>
          <cell r="C853" t="str">
            <v>კომპოტი ჩვენი სუფრა ატამი_1ლ*12</v>
          </cell>
          <cell r="D853" t="str">
            <v>TON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O853">
            <v>0</v>
          </cell>
          <cell r="AP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O853">
            <v>0</v>
          </cell>
          <cell r="CP853">
            <v>0</v>
          </cell>
          <cell r="CQ853">
            <v>0</v>
          </cell>
          <cell r="CR853">
            <v>0</v>
          </cell>
          <cell r="CS853">
            <v>0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0</v>
          </cell>
          <cell r="DA853">
            <v>0</v>
          </cell>
          <cell r="DB853">
            <v>0</v>
          </cell>
          <cell r="DC853">
            <v>0</v>
          </cell>
          <cell r="DD853">
            <v>0</v>
          </cell>
          <cell r="DE853">
            <v>0</v>
          </cell>
          <cell r="DF853">
            <v>0</v>
          </cell>
          <cell r="DG853">
            <v>0</v>
          </cell>
          <cell r="DH853">
            <v>0</v>
          </cell>
          <cell r="DI853">
            <v>0</v>
          </cell>
          <cell r="DJ853">
            <v>0</v>
          </cell>
          <cell r="DK853">
            <v>0</v>
          </cell>
          <cell r="DL853">
            <v>0</v>
          </cell>
          <cell r="DM853">
            <v>0</v>
          </cell>
          <cell r="DN853">
            <v>0</v>
          </cell>
          <cell r="DO853">
            <v>0</v>
          </cell>
          <cell r="DP853">
            <v>0</v>
          </cell>
          <cell r="DQ853">
            <v>0</v>
          </cell>
          <cell r="DR853">
            <v>0</v>
          </cell>
          <cell r="DS853">
            <v>0</v>
          </cell>
          <cell r="DT853">
            <v>0</v>
          </cell>
          <cell r="DU853">
            <v>0</v>
          </cell>
          <cell r="DV853">
            <v>0</v>
          </cell>
          <cell r="DW853">
            <v>0</v>
          </cell>
          <cell r="DX853">
            <v>0</v>
          </cell>
          <cell r="DY853" t="str">
            <v/>
          </cell>
          <cell r="DZ853" t="str">
            <v>pasiv</v>
          </cell>
          <cell r="EA853" t="e">
            <v>#DIV/0!</v>
          </cell>
        </row>
        <row r="854">
          <cell r="B854">
            <v>244098</v>
          </cell>
          <cell r="C854" t="str">
            <v>კომპოტი ჩვენი სუფრა ბალი_1ლ*12</v>
          </cell>
          <cell r="D854" t="str">
            <v>TON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O854">
            <v>0</v>
          </cell>
          <cell r="AP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0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0</v>
          </cell>
          <cell r="DA854">
            <v>0</v>
          </cell>
          <cell r="DB854">
            <v>0</v>
          </cell>
          <cell r="DC854">
            <v>0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0</v>
          </cell>
          <cell r="DI854">
            <v>0</v>
          </cell>
          <cell r="DJ854">
            <v>0</v>
          </cell>
          <cell r="DK854">
            <v>0</v>
          </cell>
          <cell r="DL854">
            <v>0</v>
          </cell>
          <cell r="DM854">
            <v>0</v>
          </cell>
          <cell r="DN854">
            <v>0</v>
          </cell>
          <cell r="DO854">
            <v>0</v>
          </cell>
          <cell r="DP854">
            <v>0</v>
          </cell>
          <cell r="DQ854">
            <v>0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0</v>
          </cell>
          <cell r="DW854">
            <v>0</v>
          </cell>
          <cell r="DX854">
            <v>0</v>
          </cell>
          <cell r="DY854" t="str">
            <v/>
          </cell>
          <cell r="DZ854" t="str">
            <v>pasiv</v>
          </cell>
          <cell r="EA854" t="e">
            <v>#DIV/0!</v>
          </cell>
        </row>
        <row r="855">
          <cell r="B855">
            <v>174739</v>
          </cell>
          <cell r="C855" t="str">
            <v>კომპოტი–ჩვ.სუფრა–მაყვალი/1*12</v>
          </cell>
          <cell r="D855" t="str">
            <v>TON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O855">
            <v>0</v>
          </cell>
          <cell r="AP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O855">
            <v>0</v>
          </cell>
          <cell r="CP855">
            <v>0</v>
          </cell>
          <cell r="CQ855">
            <v>0</v>
          </cell>
          <cell r="CR855">
            <v>0</v>
          </cell>
          <cell r="CS855">
            <v>0</v>
          </cell>
          <cell r="CT855">
            <v>0</v>
          </cell>
          <cell r="CU855">
            <v>0</v>
          </cell>
          <cell r="CV855">
            <v>0</v>
          </cell>
          <cell r="CW855">
            <v>0</v>
          </cell>
          <cell r="CX855">
            <v>0</v>
          </cell>
          <cell r="CY855">
            <v>0</v>
          </cell>
          <cell r="CZ855">
            <v>0</v>
          </cell>
          <cell r="DA855">
            <v>0</v>
          </cell>
          <cell r="DB855">
            <v>0</v>
          </cell>
          <cell r="DC855">
            <v>0</v>
          </cell>
          <cell r="DD855">
            <v>0</v>
          </cell>
          <cell r="DE855">
            <v>0</v>
          </cell>
          <cell r="DF855">
            <v>0</v>
          </cell>
          <cell r="DG855">
            <v>0</v>
          </cell>
          <cell r="DH855">
            <v>0</v>
          </cell>
          <cell r="DI855">
            <v>0</v>
          </cell>
          <cell r="DJ855">
            <v>0</v>
          </cell>
          <cell r="DK855">
            <v>0</v>
          </cell>
          <cell r="DL855">
            <v>0</v>
          </cell>
          <cell r="DM855">
            <v>0</v>
          </cell>
          <cell r="DN855">
            <v>0</v>
          </cell>
          <cell r="DO855">
            <v>0</v>
          </cell>
          <cell r="DP855">
            <v>0</v>
          </cell>
          <cell r="DQ855">
            <v>0</v>
          </cell>
          <cell r="DR855">
            <v>0</v>
          </cell>
          <cell r="DS855">
            <v>0</v>
          </cell>
          <cell r="DT855">
            <v>0</v>
          </cell>
          <cell r="DU855">
            <v>0</v>
          </cell>
          <cell r="DV855">
            <v>0</v>
          </cell>
          <cell r="DW855">
            <v>0</v>
          </cell>
          <cell r="DX855">
            <v>0</v>
          </cell>
          <cell r="DY855" t="str">
            <v/>
          </cell>
          <cell r="DZ855" t="str">
            <v>pasiv</v>
          </cell>
          <cell r="EA855" t="e">
            <v>#DIV/0!</v>
          </cell>
        </row>
        <row r="856">
          <cell r="A856">
            <v>20</v>
          </cell>
          <cell r="C856" t="str">
            <v>KOMPOTI+ BADAMLI</v>
          </cell>
          <cell r="D856" t="str">
            <v>TON</v>
          </cell>
          <cell r="E856">
            <v>2.4E-2</v>
          </cell>
          <cell r="F856">
            <v>83.8</v>
          </cell>
          <cell r="G856">
            <v>3.6000000000000004E-2</v>
          </cell>
          <cell r="H856">
            <v>129.60000000000002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0.06</v>
          </cell>
          <cell r="P856">
            <v>213.4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2.1999999999999999E-2</v>
          </cell>
          <cell r="AD856">
            <v>83.34</v>
          </cell>
          <cell r="AE856">
            <v>2E-3</v>
          </cell>
          <cell r="AF856">
            <v>6.8100000000000005</v>
          </cell>
          <cell r="AG856">
            <v>6.0000000000000001E-3</v>
          </cell>
          <cell r="AH856">
            <v>21.75</v>
          </cell>
          <cell r="AI856">
            <v>0</v>
          </cell>
          <cell r="AJ856">
            <v>0</v>
          </cell>
          <cell r="AK856">
            <v>3.6000000000000004E-2</v>
          </cell>
          <cell r="AL856">
            <v>134.93</v>
          </cell>
          <cell r="AM856">
            <v>0</v>
          </cell>
          <cell r="AN856">
            <v>0</v>
          </cell>
          <cell r="AO856">
            <v>6.6000000000000003E-2</v>
          </cell>
          <cell r="AP856">
            <v>246.82999999999998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0.62400000000000011</v>
          </cell>
          <cell r="AV856">
            <v>2317.4699999999998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8.0000000000000002E-3</v>
          </cell>
          <cell r="BD856">
            <v>30.24</v>
          </cell>
          <cell r="BE856">
            <v>8.0000000000000002E-3</v>
          </cell>
          <cell r="BF856">
            <v>30.24</v>
          </cell>
          <cell r="BG856">
            <v>6.0000000000000001E-3</v>
          </cell>
          <cell r="BH856">
            <v>22.68</v>
          </cell>
          <cell r="BI856">
            <v>0</v>
          </cell>
          <cell r="BJ856">
            <v>0</v>
          </cell>
          <cell r="BK856">
            <v>3.0000000000000001E-3</v>
          </cell>
          <cell r="BL856">
            <v>11.34</v>
          </cell>
          <cell r="BM856">
            <v>0.01</v>
          </cell>
          <cell r="BN856">
            <v>37.44</v>
          </cell>
          <cell r="BO856">
            <v>2.2000000000000002E-2</v>
          </cell>
          <cell r="BP856">
            <v>83.16</v>
          </cell>
          <cell r="BQ856">
            <v>0</v>
          </cell>
          <cell r="BR856">
            <v>0</v>
          </cell>
          <cell r="BS856">
            <v>4.1000000000000002E-2</v>
          </cell>
          <cell r="BT856">
            <v>154.61999999999998</v>
          </cell>
          <cell r="BU856">
            <v>0</v>
          </cell>
          <cell r="BV856">
            <v>0</v>
          </cell>
          <cell r="BW856">
            <v>5.1000000000000004E-2</v>
          </cell>
          <cell r="BX856">
            <v>179.99</v>
          </cell>
          <cell r="BY856">
            <v>1.2E-2</v>
          </cell>
          <cell r="BZ856">
            <v>45.36</v>
          </cell>
          <cell r="CA856">
            <v>5.3999999999999992E-2</v>
          </cell>
          <cell r="CB856">
            <v>204.12</v>
          </cell>
          <cell r="CC856">
            <v>0</v>
          </cell>
          <cell r="CD856">
            <v>0</v>
          </cell>
          <cell r="CE856">
            <v>3.6000000000000004E-2</v>
          </cell>
          <cell r="CF856">
            <v>142.19999999999999</v>
          </cell>
          <cell r="CG856">
            <v>0</v>
          </cell>
          <cell r="CH856">
            <v>0</v>
          </cell>
          <cell r="CI856">
            <v>0.15299999999999997</v>
          </cell>
          <cell r="CJ856">
            <v>571.67000000000007</v>
          </cell>
          <cell r="CK856">
            <v>0.19399999999999998</v>
          </cell>
          <cell r="CL856">
            <v>726.29</v>
          </cell>
          <cell r="CM856">
            <v>0</v>
          </cell>
          <cell r="CN856">
            <v>0</v>
          </cell>
          <cell r="CO856">
            <v>0</v>
          </cell>
          <cell r="CP856">
            <v>0</v>
          </cell>
          <cell r="CQ856">
            <v>0</v>
          </cell>
          <cell r="CR856">
            <v>0</v>
          </cell>
          <cell r="CS856">
            <v>0</v>
          </cell>
          <cell r="CT856">
            <v>0</v>
          </cell>
          <cell r="CU856">
            <v>2.7E-2</v>
          </cell>
          <cell r="CV856">
            <v>100.9</v>
          </cell>
          <cell r="CW856">
            <v>0</v>
          </cell>
          <cell r="CX856">
            <v>0</v>
          </cell>
          <cell r="CY856">
            <v>0.108</v>
          </cell>
          <cell r="CZ856">
            <v>410.28</v>
          </cell>
          <cell r="DA856">
            <v>0</v>
          </cell>
          <cell r="DB856">
            <v>0</v>
          </cell>
          <cell r="DC856">
            <v>0.125</v>
          </cell>
          <cell r="DD856">
            <v>459.21</v>
          </cell>
          <cell r="DE856">
            <v>0.23300000000000001</v>
          </cell>
          <cell r="DF856">
            <v>869.49</v>
          </cell>
          <cell r="DG856">
            <v>3.0000000000000001E-3</v>
          </cell>
          <cell r="DH856">
            <v>11.34</v>
          </cell>
          <cell r="DI856">
            <v>3.3000000000000002E-2</v>
          </cell>
          <cell r="DJ856">
            <v>118.98</v>
          </cell>
          <cell r="DK856">
            <v>0</v>
          </cell>
          <cell r="DL856">
            <v>0</v>
          </cell>
          <cell r="DM856">
            <v>3.6000000000000004E-2</v>
          </cell>
          <cell r="DN856">
            <v>130.32000000000002</v>
          </cell>
          <cell r="DO856">
            <v>1.7999999999999999E-2</v>
          </cell>
          <cell r="DP856">
            <v>66.88</v>
          </cell>
          <cell r="DQ856">
            <v>0</v>
          </cell>
          <cell r="DR856">
            <v>0</v>
          </cell>
          <cell r="DS856">
            <v>8.9999999999999993E-3</v>
          </cell>
          <cell r="DT856">
            <v>34.020000000000003</v>
          </cell>
          <cell r="DU856">
            <v>2.7E-2</v>
          </cell>
          <cell r="DV856">
            <v>100.9</v>
          </cell>
          <cell r="DW856">
            <v>0.62400000000000011</v>
          </cell>
          <cell r="DX856">
            <v>2317.4699999999998</v>
          </cell>
          <cell r="DY856" t="str">
            <v>Hedef</v>
          </cell>
          <cell r="DZ856">
            <v>0</v>
          </cell>
          <cell r="EA856">
            <v>3713.8942307692296</v>
          </cell>
        </row>
        <row r="857">
          <cell r="C857" t="str">
            <v>KONSERV TOPLAMI</v>
          </cell>
          <cell r="D857" t="str">
            <v>TON</v>
          </cell>
          <cell r="E857">
            <v>0.81784000000000001</v>
          </cell>
          <cell r="F857">
            <v>3820.9900000000002</v>
          </cell>
          <cell r="G857">
            <v>0.33406000000000002</v>
          </cell>
          <cell r="H857">
            <v>1621.2200000000003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O857">
            <v>1.1519000000000001</v>
          </cell>
          <cell r="P857">
            <v>5442.2099999999991</v>
          </cell>
          <cell r="Q857">
            <v>0.13224</v>
          </cell>
          <cell r="R857">
            <v>1194.51</v>
          </cell>
          <cell r="S857">
            <v>0.24431999999999998</v>
          </cell>
          <cell r="T857">
            <v>1830.2100000000003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0.37656000000000001</v>
          </cell>
          <cell r="Z857">
            <v>3024.7200000000003</v>
          </cell>
          <cell r="AA857">
            <v>0</v>
          </cell>
          <cell r="AB857">
            <v>0</v>
          </cell>
          <cell r="AC857">
            <v>9.2339999999999992E-2</v>
          </cell>
          <cell r="AD857">
            <v>956.30000000000018</v>
          </cell>
          <cell r="AE857">
            <v>6.3600000000000002E-3</v>
          </cell>
          <cell r="AF857">
            <v>70.64</v>
          </cell>
          <cell r="AG857">
            <v>3.8394999999999999E-2</v>
          </cell>
          <cell r="AH857">
            <v>357.15000000000003</v>
          </cell>
          <cell r="AI857">
            <v>0.12144500000000001</v>
          </cell>
          <cell r="AJ857">
            <v>1324.53</v>
          </cell>
          <cell r="AK857">
            <v>0.18417500000000001</v>
          </cell>
          <cell r="AL857">
            <v>1437.6299999999999</v>
          </cell>
          <cell r="AO857">
            <v>0.44271499999999997</v>
          </cell>
          <cell r="AP857">
            <v>4146.25</v>
          </cell>
          <cell r="AS857">
            <v>0</v>
          </cell>
          <cell r="AT857">
            <v>0</v>
          </cell>
          <cell r="AU857">
            <v>7.7912402600000021</v>
          </cell>
          <cell r="AV857">
            <v>55218.990000000005</v>
          </cell>
          <cell r="AW857">
            <v>0</v>
          </cell>
          <cell r="AX857">
            <v>0</v>
          </cell>
          <cell r="AY857">
            <v>9.8945000000000005E-2</v>
          </cell>
          <cell r="AZ857">
            <v>993.1</v>
          </cell>
          <cell r="BA857">
            <v>0</v>
          </cell>
          <cell r="BB857">
            <v>0</v>
          </cell>
          <cell r="BC857">
            <v>0.20922500000000005</v>
          </cell>
          <cell r="BD857">
            <v>1466.27</v>
          </cell>
          <cell r="BE857">
            <v>0.30817</v>
          </cell>
          <cell r="BF857">
            <v>2459.37</v>
          </cell>
          <cell r="BG857">
            <v>0.51730999999999994</v>
          </cell>
          <cell r="BH857">
            <v>3157.3</v>
          </cell>
          <cell r="BI857">
            <v>0.46165999999999996</v>
          </cell>
          <cell r="BJ857">
            <v>1811.7900000000002</v>
          </cell>
          <cell r="BK857">
            <v>0.12128000000000003</v>
          </cell>
          <cell r="BL857">
            <v>1059.96</v>
          </cell>
          <cell r="BM857">
            <v>0.23140026000000002</v>
          </cell>
          <cell r="BN857">
            <v>2058.02</v>
          </cell>
          <cell r="BO857">
            <v>0.56859000000000004</v>
          </cell>
          <cell r="BP857">
            <v>3363.5099999999998</v>
          </cell>
          <cell r="BQ857">
            <v>0</v>
          </cell>
          <cell r="BR857">
            <v>0</v>
          </cell>
          <cell r="BS857">
            <v>1.9057902599999998</v>
          </cell>
          <cell r="BT857">
            <v>11500.98</v>
          </cell>
          <cell r="BU857">
            <v>6.0740000000000002E-2</v>
          </cell>
          <cell r="BV857">
            <v>464.02</v>
          </cell>
          <cell r="BW857">
            <v>0.15602000000000002</v>
          </cell>
          <cell r="BX857">
            <v>1258.48</v>
          </cell>
          <cell r="BY857">
            <v>0.14113500000000001</v>
          </cell>
          <cell r="BZ857">
            <v>936.56999999999994</v>
          </cell>
          <cell r="CA857">
            <v>0.20658499999999999</v>
          </cell>
          <cell r="CB857">
            <v>1438.8100000000002</v>
          </cell>
          <cell r="CC857">
            <v>0.106825</v>
          </cell>
          <cell r="CD857">
            <v>841.8599999999999</v>
          </cell>
          <cell r="CE857">
            <v>0.15112499999999998</v>
          </cell>
          <cell r="CF857">
            <v>1396.13</v>
          </cell>
          <cell r="CG857">
            <v>1.2E-2</v>
          </cell>
          <cell r="CH857">
            <v>54</v>
          </cell>
          <cell r="CI857">
            <v>0.83442999999999989</v>
          </cell>
          <cell r="CJ857">
            <v>6389.8700000000008</v>
          </cell>
          <cell r="CK857">
            <v>2.7402202600000001</v>
          </cell>
          <cell r="CL857">
            <v>17890.850000000002</v>
          </cell>
          <cell r="CO857">
            <v>0</v>
          </cell>
          <cell r="CP857">
            <v>0</v>
          </cell>
          <cell r="CQ857">
            <v>0</v>
          </cell>
          <cell r="CR857">
            <v>0</v>
          </cell>
          <cell r="CS857">
            <v>0</v>
          </cell>
          <cell r="CT857">
            <v>0</v>
          </cell>
          <cell r="CU857">
            <v>1.3920149999999998</v>
          </cell>
          <cell r="CV857">
            <v>11320.42</v>
          </cell>
          <cell r="CW857">
            <v>0</v>
          </cell>
          <cell r="CX857">
            <v>0</v>
          </cell>
          <cell r="CY857">
            <v>0.51829999999999998</v>
          </cell>
          <cell r="CZ857">
            <v>3924.45</v>
          </cell>
          <cell r="DA857">
            <v>6.4615000000000006E-2</v>
          </cell>
          <cell r="DB857">
            <v>729.16000000000008</v>
          </cell>
          <cell r="DC857">
            <v>0.31164000000000003</v>
          </cell>
          <cell r="DD857">
            <v>2745.69</v>
          </cell>
          <cell r="DE857">
            <v>0.89455499999999999</v>
          </cell>
          <cell r="DF857">
            <v>7399.2999999999993</v>
          </cell>
          <cell r="DG857">
            <v>0.121005</v>
          </cell>
          <cell r="DH857">
            <v>982.73000000000013</v>
          </cell>
          <cell r="DI857">
            <v>0.22017500000000004</v>
          </cell>
          <cell r="DJ857">
            <v>1456.7300000000002</v>
          </cell>
          <cell r="DK857">
            <v>0.14152499999999998</v>
          </cell>
          <cell r="DL857">
            <v>1055.0300000000002</v>
          </cell>
          <cell r="DM857">
            <v>0.48270499999999994</v>
          </cell>
          <cell r="DN857">
            <v>3494.49</v>
          </cell>
          <cell r="DO857">
            <v>0.35992999999999997</v>
          </cell>
          <cell r="DP857">
            <v>2779.4700000000003</v>
          </cell>
          <cell r="DQ857">
            <v>0.22688500000000003</v>
          </cell>
          <cell r="DR857">
            <v>1707.81</v>
          </cell>
          <cell r="DS857">
            <v>0.80519999999999992</v>
          </cell>
          <cell r="DT857">
            <v>6833.14</v>
          </cell>
          <cell r="DU857">
            <v>1.3920149999999998</v>
          </cell>
          <cell r="DV857">
            <v>11320.42</v>
          </cell>
          <cell r="DW857">
            <v>7.7888402600000006</v>
          </cell>
          <cell r="DX857">
            <v>55177.61</v>
          </cell>
          <cell r="DY857" t="str">
            <v/>
          </cell>
          <cell r="DZ857">
            <v>0</v>
          </cell>
          <cell r="EA857">
            <v>7084.1881664164466</v>
          </cell>
        </row>
        <row r="858">
          <cell r="B858">
            <v>62896</v>
          </cell>
          <cell r="C858" t="str">
            <v>SHOKKI MOKKI SOKOLAD_350QR*12_2RG</v>
          </cell>
          <cell r="D858" t="str">
            <v>TON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1.0499999999999999E-3</v>
          </cell>
          <cell r="AL858">
            <v>21.12</v>
          </cell>
          <cell r="AO858">
            <v>1.0499999999999999E-3</v>
          </cell>
          <cell r="AP858">
            <v>21.12</v>
          </cell>
          <cell r="AS858">
            <v>0</v>
          </cell>
          <cell r="AT858">
            <v>0</v>
          </cell>
          <cell r="AU858">
            <v>1.26E-2</v>
          </cell>
          <cell r="AV858">
            <v>243.89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1.75E-3</v>
          </cell>
          <cell r="BL858">
            <v>31.1</v>
          </cell>
          <cell r="BM858">
            <v>1.0499999999999999E-3</v>
          </cell>
          <cell r="BN858">
            <v>18.600000000000001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2.8E-3</v>
          </cell>
          <cell r="BT858">
            <v>49.7</v>
          </cell>
          <cell r="BU858">
            <v>0</v>
          </cell>
          <cell r="BV858">
            <v>0</v>
          </cell>
          <cell r="BW858">
            <v>1.0499999999999999E-3</v>
          </cell>
          <cell r="BX858">
            <v>19.5</v>
          </cell>
          <cell r="BY858">
            <v>0</v>
          </cell>
          <cell r="BZ858">
            <v>0</v>
          </cell>
          <cell r="CA858">
            <v>2.0999999999999999E-3</v>
          </cell>
          <cell r="CB858">
            <v>42.24</v>
          </cell>
          <cell r="CC858">
            <v>0</v>
          </cell>
          <cell r="CD858">
            <v>0</v>
          </cell>
          <cell r="CE858">
            <v>4.1999999999999997E-3</v>
          </cell>
          <cell r="CF858">
            <v>84.48</v>
          </cell>
          <cell r="CG858">
            <v>0</v>
          </cell>
          <cell r="CH858">
            <v>0</v>
          </cell>
          <cell r="CI858">
            <v>7.3499999999999998E-3</v>
          </cell>
          <cell r="CJ858">
            <v>146.22</v>
          </cell>
          <cell r="CK858">
            <v>1.0149999999999999E-2</v>
          </cell>
          <cell r="CL858">
            <v>195.92000000000002</v>
          </cell>
          <cell r="CO858">
            <v>0</v>
          </cell>
          <cell r="CP858">
            <v>0</v>
          </cell>
          <cell r="CQ858">
            <v>0</v>
          </cell>
          <cell r="CR858">
            <v>0</v>
          </cell>
          <cell r="CS858">
            <v>0</v>
          </cell>
          <cell r="CT858">
            <v>0</v>
          </cell>
          <cell r="CU858">
            <v>0</v>
          </cell>
          <cell r="CV858">
            <v>1.08</v>
          </cell>
          <cell r="CW858">
            <v>0</v>
          </cell>
          <cell r="CX858">
            <v>0</v>
          </cell>
          <cell r="CY858">
            <v>4.1999999999999997E-3</v>
          </cell>
          <cell r="CZ858">
            <v>84.48</v>
          </cell>
          <cell r="DA858">
            <v>-2.8E-3</v>
          </cell>
          <cell r="DB858">
            <v>-58.71</v>
          </cell>
          <cell r="DC858">
            <v>0</v>
          </cell>
          <cell r="DD858">
            <v>0</v>
          </cell>
          <cell r="DE858">
            <v>1.3999999999999998E-3</v>
          </cell>
          <cell r="DF858">
            <v>25.770000000000003</v>
          </cell>
          <cell r="DG858">
            <v>0</v>
          </cell>
          <cell r="DH858">
            <v>0</v>
          </cell>
          <cell r="DI858">
            <v>0</v>
          </cell>
          <cell r="DJ858">
            <v>0</v>
          </cell>
          <cell r="DK858">
            <v>0</v>
          </cell>
          <cell r="DL858">
            <v>0</v>
          </cell>
          <cell r="DM858">
            <v>0</v>
          </cell>
          <cell r="DN858">
            <v>0</v>
          </cell>
          <cell r="DO858">
            <v>6.9999999999999999E-4</v>
          </cell>
          <cell r="DP858">
            <v>14.08</v>
          </cell>
          <cell r="DQ858">
            <v>-6.9999999999999999E-4</v>
          </cell>
          <cell r="DR858">
            <v>-13</v>
          </cell>
          <cell r="DS858">
            <v>0</v>
          </cell>
          <cell r="DT858">
            <v>0</v>
          </cell>
          <cell r="DU858">
            <v>0</v>
          </cell>
          <cell r="DV858">
            <v>1.08</v>
          </cell>
          <cell r="DW858">
            <v>1.26E-2</v>
          </cell>
          <cell r="DX858">
            <v>243.89000000000001</v>
          </cell>
          <cell r="DY858" t="str">
            <v/>
          </cell>
          <cell r="DZ858">
            <v>0</v>
          </cell>
          <cell r="EA858">
            <v>19356.349206349209</v>
          </cell>
        </row>
        <row r="859">
          <cell r="B859">
            <v>256429</v>
          </cell>
          <cell r="C859" t="str">
            <v>შოკ.კარაქი-შოკი-მოკი-250გრ*16-ერთ ფერში</v>
          </cell>
          <cell r="D859" t="str">
            <v>TON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-1E-3</v>
          </cell>
          <cell r="AL859">
            <v>-24</v>
          </cell>
          <cell r="AO859">
            <v>-1E-3</v>
          </cell>
          <cell r="AP859">
            <v>-24</v>
          </cell>
          <cell r="AS859">
            <v>0</v>
          </cell>
          <cell r="AT859">
            <v>0</v>
          </cell>
          <cell r="AU859">
            <v>1.225E-2</v>
          </cell>
          <cell r="AV859">
            <v>225.47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8.0000000000000002E-3</v>
          </cell>
          <cell r="BD859">
            <v>151.97999999999999</v>
          </cell>
          <cell r="BE859">
            <v>8.0000000000000002E-3</v>
          </cell>
          <cell r="BF859">
            <v>151.97999999999999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1.25E-3</v>
          </cell>
          <cell r="BX859">
            <v>22.8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1.25E-3</v>
          </cell>
          <cell r="CJ859">
            <v>22.8</v>
          </cell>
          <cell r="CK859">
            <v>1.25E-3</v>
          </cell>
          <cell r="CL859">
            <v>22.8</v>
          </cell>
          <cell r="CO859">
            <v>0</v>
          </cell>
          <cell r="CP859">
            <v>0</v>
          </cell>
          <cell r="CQ859">
            <v>0</v>
          </cell>
          <cell r="CR859">
            <v>0</v>
          </cell>
          <cell r="CS859">
            <v>0</v>
          </cell>
          <cell r="CT859">
            <v>0</v>
          </cell>
          <cell r="CU859">
            <v>1.25E-3</v>
          </cell>
          <cell r="CV859">
            <v>22.8</v>
          </cell>
          <cell r="CW859">
            <v>0</v>
          </cell>
          <cell r="CX859">
            <v>0</v>
          </cell>
          <cell r="CY859">
            <v>0</v>
          </cell>
          <cell r="CZ859">
            <v>0</v>
          </cell>
          <cell r="DA859">
            <v>0</v>
          </cell>
          <cell r="DB859">
            <v>0</v>
          </cell>
          <cell r="DC859">
            <v>0</v>
          </cell>
          <cell r="DD859">
            <v>0</v>
          </cell>
          <cell r="DE859">
            <v>0</v>
          </cell>
          <cell r="DF859">
            <v>0</v>
          </cell>
          <cell r="DG859">
            <v>0</v>
          </cell>
          <cell r="DH859">
            <v>0</v>
          </cell>
          <cell r="DI859">
            <v>1.5E-3</v>
          </cell>
          <cell r="DJ859">
            <v>29.64</v>
          </cell>
          <cell r="DK859">
            <v>1.25E-3</v>
          </cell>
          <cell r="DL859">
            <v>22.25</v>
          </cell>
          <cell r="DM859">
            <v>2.7499999999999998E-3</v>
          </cell>
          <cell r="DN859">
            <v>51.89</v>
          </cell>
          <cell r="DO859">
            <v>1.25E-3</v>
          </cell>
          <cell r="DP859">
            <v>22.8</v>
          </cell>
          <cell r="DQ859">
            <v>0</v>
          </cell>
          <cell r="DR859">
            <v>0</v>
          </cell>
          <cell r="DS859">
            <v>0</v>
          </cell>
          <cell r="DT859">
            <v>0</v>
          </cell>
          <cell r="DU859">
            <v>1.25E-3</v>
          </cell>
          <cell r="DV859">
            <v>22.8</v>
          </cell>
          <cell r="DW859">
            <v>1.225E-2</v>
          </cell>
          <cell r="DX859">
            <v>225.46999999999997</v>
          </cell>
          <cell r="DY859" t="str">
            <v/>
          </cell>
          <cell r="DZ859">
            <v>0</v>
          </cell>
          <cell r="EA859">
            <v>18405.714285714283</v>
          </cell>
        </row>
        <row r="860">
          <cell r="B860">
            <v>329903</v>
          </cell>
          <cell r="C860" t="str">
            <v>შოკ.კარაქი-შოკი-მოკი-300გ*18</v>
          </cell>
          <cell r="D860" t="str">
            <v>TON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O860">
            <v>0</v>
          </cell>
          <cell r="AP860">
            <v>0</v>
          </cell>
          <cell r="AS860">
            <v>0</v>
          </cell>
          <cell r="AT860">
            <v>0</v>
          </cell>
          <cell r="AU860">
            <v>2.9999999999999997E-4</v>
          </cell>
          <cell r="AV860">
            <v>6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O860">
            <v>0</v>
          </cell>
          <cell r="CP860">
            <v>0</v>
          </cell>
          <cell r="CQ860">
            <v>0</v>
          </cell>
          <cell r="CR860">
            <v>0</v>
          </cell>
          <cell r="CS860">
            <v>0</v>
          </cell>
          <cell r="CT860">
            <v>0</v>
          </cell>
          <cell r="CU860">
            <v>0</v>
          </cell>
          <cell r="CV860">
            <v>0</v>
          </cell>
          <cell r="CW860">
            <v>0</v>
          </cell>
          <cell r="CX860">
            <v>0</v>
          </cell>
          <cell r="CY860">
            <v>0</v>
          </cell>
          <cell r="CZ860">
            <v>0</v>
          </cell>
          <cell r="DA860">
            <v>0</v>
          </cell>
          <cell r="DB860">
            <v>0</v>
          </cell>
          <cell r="DC860">
            <v>0</v>
          </cell>
          <cell r="DD860">
            <v>0</v>
          </cell>
          <cell r="DE860">
            <v>0</v>
          </cell>
          <cell r="DF860">
            <v>0</v>
          </cell>
          <cell r="DG860">
            <v>0</v>
          </cell>
          <cell r="DH860">
            <v>0</v>
          </cell>
          <cell r="DI860">
            <v>0</v>
          </cell>
          <cell r="DJ860">
            <v>0</v>
          </cell>
          <cell r="DK860">
            <v>2.9999999999999997E-4</v>
          </cell>
          <cell r="DL860">
            <v>6</v>
          </cell>
          <cell r="DM860">
            <v>2.9999999999999997E-4</v>
          </cell>
          <cell r="DN860">
            <v>6</v>
          </cell>
          <cell r="DO860">
            <v>0</v>
          </cell>
          <cell r="DP860">
            <v>0</v>
          </cell>
          <cell r="DQ860">
            <v>0</v>
          </cell>
          <cell r="DR860">
            <v>0</v>
          </cell>
          <cell r="DS860">
            <v>0</v>
          </cell>
          <cell r="DT860">
            <v>0</v>
          </cell>
          <cell r="DU860">
            <v>0</v>
          </cell>
          <cell r="DV860">
            <v>0</v>
          </cell>
          <cell r="DW860">
            <v>2.9999999999999997E-4</v>
          </cell>
          <cell r="DX860">
            <v>6</v>
          </cell>
          <cell r="DY860" t="str">
            <v/>
          </cell>
          <cell r="DZ860">
            <v>0</v>
          </cell>
          <cell r="EA860">
            <v>20000</v>
          </cell>
        </row>
        <row r="861">
          <cell r="B861">
            <v>335170</v>
          </cell>
          <cell r="C861" t="str">
            <v>შოკ.კარაქი-შოკი-მოკი-250გ-ერთ ფერში_11ც+1ც</v>
          </cell>
          <cell r="D861" t="str">
            <v>TON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O861">
            <v>0</v>
          </cell>
          <cell r="AP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O861">
            <v>0</v>
          </cell>
          <cell r="CP861">
            <v>0</v>
          </cell>
          <cell r="CQ861">
            <v>0</v>
          </cell>
          <cell r="CR861">
            <v>0</v>
          </cell>
          <cell r="CS861">
            <v>0</v>
          </cell>
          <cell r="CT861">
            <v>0</v>
          </cell>
          <cell r="CU861">
            <v>0</v>
          </cell>
          <cell r="CV861">
            <v>0</v>
          </cell>
          <cell r="CW861">
            <v>0</v>
          </cell>
          <cell r="CX861">
            <v>0</v>
          </cell>
          <cell r="CY861">
            <v>0</v>
          </cell>
          <cell r="CZ861">
            <v>0</v>
          </cell>
          <cell r="DA861">
            <v>0</v>
          </cell>
          <cell r="DB861">
            <v>0</v>
          </cell>
          <cell r="DC861">
            <v>0</v>
          </cell>
          <cell r="DD861">
            <v>0</v>
          </cell>
          <cell r="DE861">
            <v>0</v>
          </cell>
          <cell r="DF861">
            <v>0</v>
          </cell>
          <cell r="DG861">
            <v>0</v>
          </cell>
          <cell r="DH861">
            <v>0</v>
          </cell>
          <cell r="DI861">
            <v>0</v>
          </cell>
          <cell r="DJ861">
            <v>0</v>
          </cell>
          <cell r="DK861">
            <v>0</v>
          </cell>
          <cell r="DL861">
            <v>0</v>
          </cell>
          <cell r="DM861">
            <v>0</v>
          </cell>
          <cell r="DN861">
            <v>0</v>
          </cell>
          <cell r="DO861">
            <v>0</v>
          </cell>
          <cell r="DP861">
            <v>0</v>
          </cell>
          <cell r="DQ861">
            <v>0</v>
          </cell>
          <cell r="DR861">
            <v>0</v>
          </cell>
          <cell r="DS861">
            <v>0</v>
          </cell>
          <cell r="DT861">
            <v>0</v>
          </cell>
          <cell r="DU861">
            <v>0</v>
          </cell>
          <cell r="DV861">
            <v>0</v>
          </cell>
          <cell r="DW861">
            <v>0</v>
          </cell>
          <cell r="DX861">
            <v>0</v>
          </cell>
          <cell r="DY861" t="str">
            <v/>
          </cell>
          <cell r="DZ861" t="str">
            <v>pasiv</v>
          </cell>
          <cell r="EA861" t="e">
            <v>#DIV/0!</v>
          </cell>
        </row>
        <row r="862">
          <cell r="B862">
            <v>335171</v>
          </cell>
          <cell r="C862" t="str">
            <v>შოკ.კარაქი-შოკი-მოკი-350გ-ორ ფერში_11ც+1ც</v>
          </cell>
          <cell r="D862" t="str">
            <v>TON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O862">
            <v>0</v>
          </cell>
          <cell r="AP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O862">
            <v>0</v>
          </cell>
          <cell r="CP862">
            <v>0</v>
          </cell>
          <cell r="CQ862">
            <v>0</v>
          </cell>
          <cell r="CR862">
            <v>0</v>
          </cell>
          <cell r="CS862">
            <v>0</v>
          </cell>
          <cell r="CT862">
            <v>0</v>
          </cell>
          <cell r="CU862">
            <v>0</v>
          </cell>
          <cell r="CV862">
            <v>0</v>
          </cell>
          <cell r="CW862">
            <v>0</v>
          </cell>
          <cell r="CX862">
            <v>0</v>
          </cell>
          <cell r="CY862">
            <v>0</v>
          </cell>
          <cell r="CZ862">
            <v>0</v>
          </cell>
          <cell r="DA862">
            <v>0</v>
          </cell>
          <cell r="DB862">
            <v>0</v>
          </cell>
          <cell r="DC862">
            <v>0</v>
          </cell>
          <cell r="DD862">
            <v>0</v>
          </cell>
          <cell r="DE862">
            <v>0</v>
          </cell>
          <cell r="DF862">
            <v>0</v>
          </cell>
          <cell r="DG862">
            <v>0</v>
          </cell>
          <cell r="DH862">
            <v>0</v>
          </cell>
          <cell r="DI862">
            <v>0</v>
          </cell>
          <cell r="DJ862">
            <v>0</v>
          </cell>
          <cell r="DK862">
            <v>0</v>
          </cell>
          <cell r="DL862">
            <v>0</v>
          </cell>
          <cell r="DM862">
            <v>0</v>
          </cell>
          <cell r="DN862">
            <v>0</v>
          </cell>
          <cell r="DO862">
            <v>0</v>
          </cell>
          <cell r="DP862">
            <v>0</v>
          </cell>
          <cell r="DQ862">
            <v>0</v>
          </cell>
          <cell r="DR862">
            <v>0</v>
          </cell>
          <cell r="DS862">
            <v>0</v>
          </cell>
          <cell r="DT862">
            <v>0</v>
          </cell>
          <cell r="DU862">
            <v>0</v>
          </cell>
          <cell r="DV862">
            <v>0</v>
          </cell>
          <cell r="DW862">
            <v>0</v>
          </cell>
          <cell r="DX862">
            <v>0</v>
          </cell>
          <cell r="DY862" t="str">
            <v/>
          </cell>
          <cell r="DZ862" t="str">
            <v>pasiv</v>
          </cell>
          <cell r="EA862" t="e">
            <v>#DIV/0!</v>
          </cell>
        </row>
        <row r="863">
          <cell r="B863">
            <v>335172</v>
          </cell>
          <cell r="C863" t="str">
            <v>შოკ.კარაქი-შოკი-მოკი-350გ-ერთ ფერში_11ც+1ც</v>
          </cell>
          <cell r="D863" t="str">
            <v>TON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O863">
            <v>0</v>
          </cell>
          <cell r="AP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0</v>
          </cell>
          <cell r="DA863">
            <v>0</v>
          </cell>
          <cell r="DB863">
            <v>0</v>
          </cell>
          <cell r="DC863">
            <v>0</v>
          </cell>
          <cell r="DD863">
            <v>0</v>
          </cell>
          <cell r="DE863">
            <v>0</v>
          </cell>
          <cell r="DF863">
            <v>0</v>
          </cell>
          <cell r="DG863">
            <v>0</v>
          </cell>
          <cell r="DH863">
            <v>0</v>
          </cell>
          <cell r="DI863">
            <v>0</v>
          </cell>
          <cell r="DJ863">
            <v>0</v>
          </cell>
          <cell r="DK863">
            <v>0</v>
          </cell>
          <cell r="DL863">
            <v>0</v>
          </cell>
          <cell r="DM863">
            <v>0</v>
          </cell>
          <cell r="DN863">
            <v>0</v>
          </cell>
          <cell r="DO863">
            <v>0</v>
          </cell>
          <cell r="DP863">
            <v>0</v>
          </cell>
          <cell r="DQ863">
            <v>0</v>
          </cell>
          <cell r="DR863">
            <v>0</v>
          </cell>
          <cell r="DS863">
            <v>0</v>
          </cell>
          <cell r="DT863">
            <v>0</v>
          </cell>
          <cell r="DU863">
            <v>0</v>
          </cell>
          <cell r="DV863">
            <v>0</v>
          </cell>
          <cell r="DW863">
            <v>0</v>
          </cell>
          <cell r="DX863">
            <v>0</v>
          </cell>
          <cell r="DY863" t="str">
            <v/>
          </cell>
          <cell r="DZ863" t="str">
            <v>pasiv</v>
          </cell>
          <cell r="EA863" t="e">
            <v>#DIV/0!</v>
          </cell>
        </row>
        <row r="864">
          <cell r="B864">
            <v>335173</v>
          </cell>
          <cell r="C864" t="str">
            <v>შოკ.პასტა-შოკი-მოკი-220გ-ერთ ფერში-შუშა_11ც+1ც</v>
          </cell>
          <cell r="D864" t="str">
            <v>TON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O864">
            <v>0</v>
          </cell>
          <cell r="AP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O864">
            <v>0</v>
          </cell>
          <cell r="CP864">
            <v>0</v>
          </cell>
          <cell r="CQ864">
            <v>0</v>
          </cell>
          <cell r="CR864">
            <v>0</v>
          </cell>
          <cell r="CS864">
            <v>0</v>
          </cell>
          <cell r="CT864">
            <v>0</v>
          </cell>
          <cell r="CU864">
            <v>0</v>
          </cell>
          <cell r="CV864">
            <v>0</v>
          </cell>
          <cell r="CW864">
            <v>0</v>
          </cell>
          <cell r="CX864">
            <v>0</v>
          </cell>
          <cell r="CY864">
            <v>0</v>
          </cell>
          <cell r="CZ864">
            <v>0</v>
          </cell>
          <cell r="DA864">
            <v>0</v>
          </cell>
          <cell r="DB864">
            <v>0</v>
          </cell>
          <cell r="DC864">
            <v>0</v>
          </cell>
          <cell r="DD864">
            <v>0</v>
          </cell>
          <cell r="DE864">
            <v>0</v>
          </cell>
          <cell r="DF864">
            <v>0</v>
          </cell>
          <cell r="DG864">
            <v>0</v>
          </cell>
          <cell r="DH864">
            <v>0</v>
          </cell>
          <cell r="DI864">
            <v>0</v>
          </cell>
          <cell r="DJ864">
            <v>0</v>
          </cell>
          <cell r="DK864">
            <v>0</v>
          </cell>
          <cell r="DL864">
            <v>0</v>
          </cell>
          <cell r="DM864">
            <v>0</v>
          </cell>
          <cell r="DN864">
            <v>0</v>
          </cell>
          <cell r="DO864">
            <v>0</v>
          </cell>
          <cell r="DP864">
            <v>0</v>
          </cell>
          <cell r="DQ864">
            <v>0</v>
          </cell>
          <cell r="DR864">
            <v>0</v>
          </cell>
          <cell r="DS864">
            <v>0</v>
          </cell>
          <cell r="DT864">
            <v>0</v>
          </cell>
          <cell r="DU864">
            <v>0</v>
          </cell>
          <cell r="DV864">
            <v>0</v>
          </cell>
          <cell r="DW864">
            <v>0</v>
          </cell>
          <cell r="DX864">
            <v>0</v>
          </cell>
          <cell r="DY864" t="str">
            <v/>
          </cell>
          <cell r="DZ864" t="str">
            <v>pasiv</v>
          </cell>
          <cell r="EA864" t="e">
            <v>#DIV/0!</v>
          </cell>
        </row>
        <row r="865">
          <cell r="B865">
            <v>335174</v>
          </cell>
          <cell r="C865" t="str">
            <v>შოკ.პასტა-შოკი-მოკი-220გ-ორ ფერში-შუშა_11ც+1ც</v>
          </cell>
          <cell r="D865" t="str">
            <v>TON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O865">
            <v>0</v>
          </cell>
          <cell r="AP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O865">
            <v>0</v>
          </cell>
          <cell r="CP865">
            <v>0</v>
          </cell>
          <cell r="CQ865">
            <v>0</v>
          </cell>
          <cell r="CR865">
            <v>0</v>
          </cell>
          <cell r="CS865">
            <v>0</v>
          </cell>
          <cell r="CT865">
            <v>0</v>
          </cell>
          <cell r="CU865">
            <v>0</v>
          </cell>
          <cell r="CV865">
            <v>0</v>
          </cell>
          <cell r="CW865">
            <v>0</v>
          </cell>
          <cell r="CX865">
            <v>0</v>
          </cell>
          <cell r="CY865">
            <v>0</v>
          </cell>
          <cell r="CZ865">
            <v>0</v>
          </cell>
          <cell r="DA865">
            <v>0</v>
          </cell>
          <cell r="DB865">
            <v>0</v>
          </cell>
          <cell r="DC865">
            <v>0</v>
          </cell>
          <cell r="DD865">
            <v>0</v>
          </cell>
          <cell r="DE865">
            <v>0</v>
          </cell>
          <cell r="DF865">
            <v>0</v>
          </cell>
          <cell r="DG865">
            <v>0</v>
          </cell>
          <cell r="DH865">
            <v>0</v>
          </cell>
          <cell r="DI865">
            <v>0</v>
          </cell>
          <cell r="DJ865">
            <v>0</v>
          </cell>
          <cell r="DK865">
            <v>0</v>
          </cell>
          <cell r="DL865">
            <v>0</v>
          </cell>
          <cell r="DM865">
            <v>0</v>
          </cell>
          <cell r="DN865">
            <v>0</v>
          </cell>
          <cell r="DO865">
            <v>0</v>
          </cell>
          <cell r="DP865">
            <v>0</v>
          </cell>
          <cell r="DQ865">
            <v>0</v>
          </cell>
          <cell r="DR865">
            <v>0</v>
          </cell>
          <cell r="DS865">
            <v>0</v>
          </cell>
          <cell r="DT865">
            <v>0</v>
          </cell>
          <cell r="DU865">
            <v>0</v>
          </cell>
          <cell r="DV865">
            <v>0</v>
          </cell>
          <cell r="DW865">
            <v>0</v>
          </cell>
          <cell r="DX865">
            <v>0</v>
          </cell>
          <cell r="DY865" t="str">
            <v/>
          </cell>
          <cell r="DZ865" t="str">
            <v>pasiv</v>
          </cell>
          <cell r="EA865" t="e">
            <v>#DIV/0!</v>
          </cell>
        </row>
        <row r="866">
          <cell r="B866">
            <v>280235</v>
          </cell>
          <cell r="C866" t="str">
            <v>შოკ.პასტა-შოკი-მოკი-220გრ*24-ერთ ფერში-შუშა</v>
          </cell>
          <cell r="D866" t="str">
            <v>TON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O866">
            <v>0</v>
          </cell>
          <cell r="AP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0</v>
          </cell>
          <cell r="CB866">
            <v>0</v>
          </cell>
          <cell r="CC866">
            <v>0</v>
          </cell>
          <cell r="CD866">
            <v>0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O866">
            <v>0</v>
          </cell>
          <cell r="CP866">
            <v>0</v>
          </cell>
          <cell r="CQ866">
            <v>0</v>
          </cell>
          <cell r="CR866">
            <v>0</v>
          </cell>
          <cell r="CS866">
            <v>0</v>
          </cell>
          <cell r="CT866">
            <v>0</v>
          </cell>
          <cell r="CU866">
            <v>0</v>
          </cell>
          <cell r="CV866">
            <v>0</v>
          </cell>
          <cell r="CW866">
            <v>0</v>
          </cell>
          <cell r="CX866">
            <v>0</v>
          </cell>
          <cell r="CY866">
            <v>0</v>
          </cell>
          <cell r="CZ866">
            <v>0</v>
          </cell>
          <cell r="DA866">
            <v>0</v>
          </cell>
          <cell r="DB866">
            <v>0</v>
          </cell>
          <cell r="DC866">
            <v>0</v>
          </cell>
          <cell r="DD866">
            <v>0</v>
          </cell>
          <cell r="DE866">
            <v>0</v>
          </cell>
          <cell r="DF866">
            <v>0</v>
          </cell>
          <cell r="DG866">
            <v>0</v>
          </cell>
          <cell r="DH866">
            <v>0</v>
          </cell>
          <cell r="DI866">
            <v>0</v>
          </cell>
          <cell r="DJ866">
            <v>0</v>
          </cell>
          <cell r="DK866">
            <v>0</v>
          </cell>
          <cell r="DL866">
            <v>0</v>
          </cell>
          <cell r="DM866">
            <v>0</v>
          </cell>
          <cell r="DN866">
            <v>0</v>
          </cell>
          <cell r="DO866">
            <v>0</v>
          </cell>
          <cell r="DP866">
            <v>0</v>
          </cell>
          <cell r="DQ866">
            <v>0</v>
          </cell>
          <cell r="DR866">
            <v>0</v>
          </cell>
          <cell r="DS866">
            <v>0</v>
          </cell>
          <cell r="DT866">
            <v>0</v>
          </cell>
          <cell r="DU866">
            <v>0</v>
          </cell>
          <cell r="DV866">
            <v>0</v>
          </cell>
          <cell r="DW866">
            <v>0</v>
          </cell>
          <cell r="DX866">
            <v>0</v>
          </cell>
          <cell r="DY866" t="str">
            <v/>
          </cell>
          <cell r="DZ866" t="str">
            <v>pasiv</v>
          </cell>
          <cell r="EA866" t="e">
            <v>#DIV/0!</v>
          </cell>
        </row>
        <row r="867">
          <cell r="B867">
            <v>280236</v>
          </cell>
          <cell r="C867" t="str">
            <v>შოკ.პასტა-შოკი-მოკი-220გრ*24-ორ ფერში-შუშა</v>
          </cell>
          <cell r="D867" t="str">
            <v>TON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O867">
            <v>0</v>
          </cell>
          <cell r="AP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O867">
            <v>0</v>
          </cell>
          <cell r="CP867">
            <v>0</v>
          </cell>
          <cell r="CQ867">
            <v>0</v>
          </cell>
          <cell r="CR867">
            <v>0</v>
          </cell>
          <cell r="CS867">
            <v>0</v>
          </cell>
          <cell r="CT867">
            <v>0</v>
          </cell>
          <cell r="CU867">
            <v>0</v>
          </cell>
          <cell r="CV867">
            <v>0</v>
          </cell>
          <cell r="CW867">
            <v>0</v>
          </cell>
          <cell r="CX867">
            <v>0</v>
          </cell>
          <cell r="CY867">
            <v>0</v>
          </cell>
          <cell r="CZ867">
            <v>0</v>
          </cell>
          <cell r="DA867">
            <v>0</v>
          </cell>
          <cell r="DB867">
            <v>0</v>
          </cell>
          <cell r="DC867">
            <v>0</v>
          </cell>
          <cell r="DD867">
            <v>0</v>
          </cell>
          <cell r="DE867">
            <v>0</v>
          </cell>
          <cell r="DF867">
            <v>0</v>
          </cell>
          <cell r="DG867">
            <v>0</v>
          </cell>
          <cell r="DH867">
            <v>0</v>
          </cell>
          <cell r="DI867">
            <v>0</v>
          </cell>
          <cell r="DJ867">
            <v>0</v>
          </cell>
          <cell r="DK867">
            <v>0</v>
          </cell>
          <cell r="DL867">
            <v>0</v>
          </cell>
          <cell r="DM867">
            <v>0</v>
          </cell>
          <cell r="DN867">
            <v>0</v>
          </cell>
          <cell r="DO867">
            <v>0</v>
          </cell>
          <cell r="DP867">
            <v>0</v>
          </cell>
          <cell r="DQ867">
            <v>0</v>
          </cell>
          <cell r="DR867">
            <v>0</v>
          </cell>
          <cell r="DS867">
            <v>0</v>
          </cell>
          <cell r="DT867">
            <v>0</v>
          </cell>
          <cell r="DU867">
            <v>0</v>
          </cell>
          <cell r="DV867">
            <v>0</v>
          </cell>
          <cell r="DW867">
            <v>0</v>
          </cell>
          <cell r="DX867">
            <v>0</v>
          </cell>
          <cell r="DY867" t="str">
            <v/>
          </cell>
          <cell r="DZ867" t="str">
            <v>pasiv</v>
          </cell>
          <cell r="EA867" t="e">
            <v>#DIV/0!</v>
          </cell>
        </row>
        <row r="868">
          <cell r="B868">
            <v>383166</v>
          </cell>
          <cell r="C868" t="str">
            <v>შოკ.კარაქი-შოკი-მოკი-300გ_17ც+1ც</v>
          </cell>
          <cell r="D868" t="str">
            <v>TON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O868">
            <v>0</v>
          </cell>
          <cell r="AP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0</v>
          </cell>
          <cell r="CX868">
            <v>0</v>
          </cell>
          <cell r="CY868">
            <v>0</v>
          </cell>
          <cell r="CZ868">
            <v>0</v>
          </cell>
          <cell r="DA868">
            <v>0</v>
          </cell>
          <cell r="DB868">
            <v>0</v>
          </cell>
          <cell r="DC868">
            <v>0</v>
          </cell>
          <cell r="DD868">
            <v>0</v>
          </cell>
          <cell r="DE868">
            <v>0</v>
          </cell>
          <cell r="DF868">
            <v>0</v>
          </cell>
          <cell r="DG868">
            <v>0</v>
          </cell>
          <cell r="DH868">
            <v>0</v>
          </cell>
          <cell r="DI868">
            <v>0</v>
          </cell>
          <cell r="DJ868">
            <v>0</v>
          </cell>
          <cell r="DK868">
            <v>0</v>
          </cell>
          <cell r="DL868">
            <v>0</v>
          </cell>
          <cell r="DM868">
            <v>0</v>
          </cell>
          <cell r="DN868">
            <v>0</v>
          </cell>
          <cell r="DO868">
            <v>0</v>
          </cell>
          <cell r="DP868">
            <v>0</v>
          </cell>
          <cell r="DQ868">
            <v>0</v>
          </cell>
          <cell r="DR868">
            <v>0</v>
          </cell>
          <cell r="DS868">
            <v>0</v>
          </cell>
          <cell r="DT868">
            <v>0</v>
          </cell>
          <cell r="DU868">
            <v>0</v>
          </cell>
          <cell r="DV868">
            <v>0</v>
          </cell>
          <cell r="DW868">
            <v>0</v>
          </cell>
          <cell r="DX868">
            <v>0</v>
          </cell>
          <cell r="DY868" t="str">
            <v/>
          </cell>
          <cell r="DZ868" t="str">
            <v>pasiv</v>
          </cell>
          <cell r="EA868" t="e">
            <v>#DIV/0!</v>
          </cell>
        </row>
        <row r="869">
          <cell r="B869">
            <v>141003</v>
          </cell>
          <cell r="C869" t="str">
            <v>SHOKKI MOKKI SOKOLAD_720QR*8_2RG_SUSE</v>
          </cell>
          <cell r="D869" t="str">
            <v>TON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O869">
            <v>0</v>
          </cell>
          <cell r="AP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O869">
            <v>0</v>
          </cell>
          <cell r="CP869">
            <v>0</v>
          </cell>
          <cell r="CQ869">
            <v>0</v>
          </cell>
          <cell r="CR869">
            <v>0</v>
          </cell>
          <cell r="CS869">
            <v>0</v>
          </cell>
          <cell r="CT869">
            <v>0</v>
          </cell>
          <cell r="CU869">
            <v>0</v>
          </cell>
          <cell r="CV869">
            <v>0</v>
          </cell>
          <cell r="CW869">
            <v>0</v>
          </cell>
          <cell r="CX869">
            <v>0</v>
          </cell>
          <cell r="CY869">
            <v>0</v>
          </cell>
          <cell r="CZ869">
            <v>0</v>
          </cell>
          <cell r="DA869">
            <v>0</v>
          </cell>
          <cell r="DB869">
            <v>0</v>
          </cell>
          <cell r="DC869">
            <v>0</v>
          </cell>
          <cell r="DD869">
            <v>0</v>
          </cell>
          <cell r="DE869">
            <v>0</v>
          </cell>
          <cell r="DF869">
            <v>0</v>
          </cell>
          <cell r="DG869">
            <v>0</v>
          </cell>
          <cell r="DH869">
            <v>0</v>
          </cell>
          <cell r="DI869">
            <v>0</v>
          </cell>
          <cell r="DJ869">
            <v>0</v>
          </cell>
          <cell r="DK869">
            <v>0</v>
          </cell>
          <cell r="DL869">
            <v>0</v>
          </cell>
          <cell r="DM869">
            <v>0</v>
          </cell>
          <cell r="DN869">
            <v>0</v>
          </cell>
          <cell r="DO869">
            <v>0</v>
          </cell>
          <cell r="DP869">
            <v>0</v>
          </cell>
          <cell r="DQ869">
            <v>0</v>
          </cell>
          <cell r="DR869">
            <v>0</v>
          </cell>
          <cell r="DS869">
            <v>0</v>
          </cell>
          <cell r="DT869">
            <v>0</v>
          </cell>
          <cell r="DU869">
            <v>0</v>
          </cell>
          <cell r="DV869">
            <v>0</v>
          </cell>
          <cell r="DW869">
            <v>0</v>
          </cell>
          <cell r="DX869">
            <v>0</v>
          </cell>
          <cell r="DY869" t="str">
            <v/>
          </cell>
          <cell r="DZ869" t="str">
            <v>pasiv</v>
          </cell>
          <cell r="EA869" t="e">
            <v>#DIV/0!</v>
          </cell>
        </row>
        <row r="870">
          <cell r="B870">
            <v>201459</v>
          </cell>
          <cell r="C870" t="str">
            <v>შოკ.კარაქი-ჩოკო ბიენო-350გ*12-ერთ ფერში</v>
          </cell>
          <cell r="D870" t="str">
            <v>TON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O870">
            <v>0</v>
          </cell>
          <cell r="AP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O870">
            <v>0</v>
          </cell>
          <cell r="CP870">
            <v>0</v>
          </cell>
          <cell r="CQ870">
            <v>0</v>
          </cell>
          <cell r="CR870">
            <v>0</v>
          </cell>
          <cell r="CS870">
            <v>0</v>
          </cell>
          <cell r="CT870">
            <v>0</v>
          </cell>
          <cell r="CU870">
            <v>0</v>
          </cell>
          <cell r="CV870">
            <v>0</v>
          </cell>
          <cell r="CW870">
            <v>0</v>
          </cell>
          <cell r="CX870">
            <v>0</v>
          </cell>
          <cell r="CY870">
            <v>0</v>
          </cell>
          <cell r="CZ870">
            <v>0</v>
          </cell>
          <cell r="DA870">
            <v>0</v>
          </cell>
          <cell r="DB870">
            <v>0</v>
          </cell>
          <cell r="DC870">
            <v>0</v>
          </cell>
          <cell r="DD870">
            <v>0</v>
          </cell>
          <cell r="DE870">
            <v>0</v>
          </cell>
          <cell r="DF870">
            <v>0</v>
          </cell>
          <cell r="DG870">
            <v>0</v>
          </cell>
          <cell r="DH870">
            <v>0</v>
          </cell>
          <cell r="DI870">
            <v>0</v>
          </cell>
          <cell r="DJ870">
            <v>0</v>
          </cell>
          <cell r="DK870">
            <v>0</v>
          </cell>
          <cell r="DL870">
            <v>0</v>
          </cell>
          <cell r="DM870">
            <v>0</v>
          </cell>
          <cell r="DN870">
            <v>0</v>
          </cell>
          <cell r="DO870">
            <v>0</v>
          </cell>
          <cell r="DP870">
            <v>0</v>
          </cell>
          <cell r="DQ870">
            <v>0</v>
          </cell>
          <cell r="DR870">
            <v>0</v>
          </cell>
          <cell r="DS870">
            <v>0</v>
          </cell>
          <cell r="DT870">
            <v>0</v>
          </cell>
          <cell r="DU870">
            <v>0</v>
          </cell>
          <cell r="DV870">
            <v>0</v>
          </cell>
          <cell r="DW870">
            <v>0</v>
          </cell>
          <cell r="DX870">
            <v>0</v>
          </cell>
          <cell r="DY870" t="str">
            <v/>
          </cell>
          <cell r="DZ870" t="str">
            <v>pasiv</v>
          </cell>
          <cell r="EA870" t="e">
            <v>#DIV/0!</v>
          </cell>
        </row>
        <row r="871">
          <cell r="B871">
            <v>248680</v>
          </cell>
          <cell r="C871" t="str">
            <v>შოკ.კარაქი-ჩოკო ბიენო-350გ*12-ორ ფერში</v>
          </cell>
          <cell r="D871" t="str">
            <v>TON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O871">
            <v>0</v>
          </cell>
          <cell r="AP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O871">
            <v>0</v>
          </cell>
          <cell r="CP871">
            <v>0</v>
          </cell>
          <cell r="CQ871">
            <v>0</v>
          </cell>
          <cell r="CR871">
            <v>0</v>
          </cell>
          <cell r="CS871">
            <v>0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0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0</v>
          </cell>
          <cell r="DH871">
            <v>0</v>
          </cell>
          <cell r="DI871">
            <v>0</v>
          </cell>
          <cell r="DJ871">
            <v>0</v>
          </cell>
          <cell r="DK871">
            <v>0</v>
          </cell>
          <cell r="DL871">
            <v>0</v>
          </cell>
          <cell r="DM871">
            <v>0</v>
          </cell>
          <cell r="DN871">
            <v>0</v>
          </cell>
          <cell r="DO871">
            <v>0</v>
          </cell>
          <cell r="DP871">
            <v>0</v>
          </cell>
          <cell r="DQ871">
            <v>0</v>
          </cell>
          <cell r="DR871">
            <v>0</v>
          </cell>
          <cell r="DS871">
            <v>0</v>
          </cell>
          <cell r="DT871">
            <v>0</v>
          </cell>
          <cell r="DU871">
            <v>0</v>
          </cell>
          <cell r="DV871">
            <v>0</v>
          </cell>
          <cell r="DW871">
            <v>0</v>
          </cell>
          <cell r="DX871">
            <v>0</v>
          </cell>
          <cell r="DY871" t="str">
            <v/>
          </cell>
          <cell r="DZ871" t="str">
            <v>pasiv</v>
          </cell>
          <cell r="EA871" t="e">
            <v>#DIV/0!</v>
          </cell>
        </row>
        <row r="872">
          <cell r="B872">
            <v>183358</v>
          </cell>
          <cell r="C872" t="str">
            <v>CEY-CEY SOKOLAD_500QR*12_1RG_P.KOVA</v>
          </cell>
          <cell r="D872" t="str">
            <v>TON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O872">
            <v>0</v>
          </cell>
          <cell r="AP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  <cell r="DL872">
            <v>0</v>
          </cell>
          <cell r="DM872">
            <v>0</v>
          </cell>
          <cell r="DN872">
            <v>0</v>
          </cell>
          <cell r="DO872">
            <v>0</v>
          </cell>
          <cell r="DP872">
            <v>0</v>
          </cell>
          <cell r="DQ872">
            <v>0</v>
          </cell>
          <cell r="DR872">
            <v>0</v>
          </cell>
          <cell r="DS872">
            <v>0</v>
          </cell>
          <cell r="DT872">
            <v>0</v>
          </cell>
          <cell r="DU872">
            <v>0</v>
          </cell>
          <cell r="DV872">
            <v>0</v>
          </cell>
          <cell r="DW872">
            <v>0</v>
          </cell>
          <cell r="DX872">
            <v>0</v>
          </cell>
          <cell r="DY872" t="str">
            <v/>
          </cell>
          <cell r="DZ872" t="str">
            <v>pasiv</v>
          </cell>
          <cell r="EA872" t="e">
            <v>#DIV/0!</v>
          </cell>
        </row>
        <row r="873">
          <cell r="B873">
            <v>183359</v>
          </cell>
          <cell r="C873" t="str">
            <v>CEY-CEY SOKOLAD_500QR*12_2RG_P.KOVA</v>
          </cell>
          <cell r="D873" t="str">
            <v>TON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O873">
            <v>0</v>
          </cell>
          <cell r="AP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O873">
            <v>0</v>
          </cell>
          <cell r="CP873">
            <v>0</v>
          </cell>
          <cell r="CQ873">
            <v>0</v>
          </cell>
          <cell r="CR873">
            <v>0</v>
          </cell>
          <cell r="CS873">
            <v>0</v>
          </cell>
          <cell r="CT873">
            <v>0</v>
          </cell>
          <cell r="CU873">
            <v>0</v>
          </cell>
          <cell r="CV873">
            <v>0</v>
          </cell>
          <cell r="CW873">
            <v>0</v>
          </cell>
          <cell r="CX873">
            <v>0</v>
          </cell>
          <cell r="CY873">
            <v>0</v>
          </cell>
          <cell r="CZ873">
            <v>0</v>
          </cell>
          <cell r="DA873">
            <v>0</v>
          </cell>
          <cell r="DB873">
            <v>0</v>
          </cell>
          <cell r="DC873">
            <v>0</v>
          </cell>
          <cell r="DD873">
            <v>0</v>
          </cell>
          <cell r="DE873">
            <v>0</v>
          </cell>
          <cell r="DF873">
            <v>0</v>
          </cell>
          <cell r="DG873">
            <v>0</v>
          </cell>
          <cell r="DH873">
            <v>0</v>
          </cell>
          <cell r="DI873">
            <v>0</v>
          </cell>
          <cell r="DJ873">
            <v>0</v>
          </cell>
          <cell r="DK873">
            <v>0</v>
          </cell>
          <cell r="DL873">
            <v>0</v>
          </cell>
          <cell r="DM873">
            <v>0</v>
          </cell>
          <cell r="DN873">
            <v>0</v>
          </cell>
          <cell r="DO873">
            <v>0</v>
          </cell>
          <cell r="DP873">
            <v>0</v>
          </cell>
          <cell r="DQ873">
            <v>0</v>
          </cell>
          <cell r="DR873">
            <v>0</v>
          </cell>
          <cell r="DS873">
            <v>0</v>
          </cell>
          <cell r="DT873">
            <v>0</v>
          </cell>
          <cell r="DU873">
            <v>0</v>
          </cell>
          <cell r="DV873">
            <v>0</v>
          </cell>
          <cell r="DW873">
            <v>0</v>
          </cell>
          <cell r="DX873">
            <v>0</v>
          </cell>
          <cell r="DY873" t="str">
            <v/>
          </cell>
          <cell r="DZ873" t="str">
            <v>pasiv</v>
          </cell>
          <cell r="EA873" t="e">
            <v>#DIV/0!</v>
          </cell>
        </row>
        <row r="874">
          <cell r="B874">
            <v>192701</v>
          </cell>
          <cell r="C874" t="str">
            <v>CEY-CEY SOKOLAD_350QR*12_1RG</v>
          </cell>
          <cell r="D874" t="str">
            <v>TON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O874">
            <v>0</v>
          </cell>
          <cell r="AP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0</v>
          </cell>
          <cell r="CS874">
            <v>0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0</v>
          </cell>
          <cell r="DA874">
            <v>0</v>
          </cell>
          <cell r="DB874">
            <v>0</v>
          </cell>
          <cell r="DC874">
            <v>0</v>
          </cell>
          <cell r="DD874">
            <v>0</v>
          </cell>
          <cell r="DE874">
            <v>0</v>
          </cell>
          <cell r="DF874">
            <v>0</v>
          </cell>
          <cell r="DG874">
            <v>0</v>
          </cell>
          <cell r="DH874">
            <v>0</v>
          </cell>
          <cell r="DI874">
            <v>0</v>
          </cell>
          <cell r="DJ874">
            <v>0</v>
          </cell>
          <cell r="DK874">
            <v>0</v>
          </cell>
          <cell r="DL874">
            <v>0</v>
          </cell>
          <cell r="DM874">
            <v>0</v>
          </cell>
          <cell r="DN874">
            <v>0</v>
          </cell>
          <cell r="DO874">
            <v>0</v>
          </cell>
          <cell r="DP874">
            <v>0</v>
          </cell>
          <cell r="DQ874">
            <v>0</v>
          </cell>
          <cell r="DR874">
            <v>0</v>
          </cell>
          <cell r="DS874">
            <v>0</v>
          </cell>
          <cell r="DT874">
            <v>0</v>
          </cell>
          <cell r="DU874">
            <v>0</v>
          </cell>
          <cell r="DV874">
            <v>0</v>
          </cell>
          <cell r="DW874">
            <v>0</v>
          </cell>
          <cell r="DX874">
            <v>0</v>
          </cell>
          <cell r="DY874" t="str">
            <v/>
          </cell>
          <cell r="DZ874" t="str">
            <v>pasiv</v>
          </cell>
          <cell r="EA874" t="e">
            <v>#DIV/0!</v>
          </cell>
        </row>
        <row r="875">
          <cell r="B875">
            <v>335185</v>
          </cell>
          <cell r="C875" t="str">
            <v>შოკ.კარაქი-ჩოკო ბიენო-350გ-ერთ ფერში_11ც+1ც</v>
          </cell>
          <cell r="D875" t="str">
            <v>TON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O875">
            <v>0</v>
          </cell>
          <cell r="AP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O875">
            <v>0</v>
          </cell>
          <cell r="CP875">
            <v>0</v>
          </cell>
          <cell r="CQ875">
            <v>0</v>
          </cell>
          <cell r="CR875">
            <v>0</v>
          </cell>
          <cell r="CS875">
            <v>0</v>
          </cell>
          <cell r="CT875">
            <v>0</v>
          </cell>
          <cell r="CU875">
            <v>0</v>
          </cell>
          <cell r="CV875">
            <v>0</v>
          </cell>
          <cell r="CW875">
            <v>0</v>
          </cell>
          <cell r="CX875">
            <v>0</v>
          </cell>
          <cell r="CY875">
            <v>0</v>
          </cell>
          <cell r="CZ875">
            <v>0</v>
          </cell>
          <cell r="DA875">
            <v>0</v>
          </cell>
          <cell r="DB875">
            <v>0</v>
          </cell>
          <cell r="DC875">
            <v>0</v>
          </cell>
          <cell r="DD875">
            <v>0</v>
          </cell>
          <cell r="DE875">
            <v>0</v>
          </cell>
          <cell r="DF875">
            <v>0</v>
          </cell>
          <cell r="DG875">
            <v>0</v>
          </cell>
          <cell r="DH875">
            <v>0</v>
          </cell>
          <cell r="DI875">
            <v>0</v>
          </cell>
          <cell r="DJ875">
            <v>0</v>
          </cell>
          <cell r="DK875">
            <v>0</v>
          </cell>
          <cell r="DL875">
            <v>0</v>
          </cell>
          <cell r="DM875">
            <v>0</v>
          </cell>
          <cell r="DN875">
            <v>0</v>
          </cell>
          <cell r="DO875">
            <v>0</v>
          </cell>
          <cell r="DP875">
            <v>0</v>
          </cell>
          <cell r="DQ875">
            <v>0</v>
          </cell>
          <cell r="DR875">
            <v>0</v>
          </cell>
          <cell r="DS875">
            <v>0</v>
          </cell>
          <cell r="DT875">
            <v>0</v>
          </cell>
          <cell r="DU875">
            <v>0</v>
          </cell>
          <cell r="DV875">
            <v>0</v>
          </cell>
          <cell r="DW875">
            <v>0</v>
          </cell>
          <cell r="DX875">
            <v>0</v>
          </cell>
          <cell r="DY875" t="str">
            <v/>
          </cell>
          <cell r="DZ875" t="str">
            <v>pasiv</v>
          </cell>
          <cell r="EA875" t="e">
            <v>#DIV/0!</v>
          </cell>
        </row>
        <row r="876">
          <cell r="B876">
            <v>214926</v>
          </cell>
          <cell r="C876" t="str">
            <v>შოკოლადის პასტა სან ჩოკო_2.5კგ*4</v>
          </cell>
          <cell r="D876" t="str">
            <v>TON</v>
          </cell>
          <cell r="E876">
            <v>0.02</v>
          </cell>
          <cell r="F876">
            <v>218.4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O876">
            <v>0.02</v>
          </cell>
          <cell r="P876">
            <v>218.4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O876">
            <v>0</v>
          </cell>
          <cell r="AP876">
            <v>0</v>
          </cell>
          <cell r="AS876">
            <v>0</v>
          </cell>
          <cell r="AT876">
            <v>0</v>
          </cell>
          <cell r="AU876">
            <v>0.02</v>
          </cell>
          <cell r="AV876">
            <v>218.4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O876">
            <v>0</v>
          </cell>
          <cell r="CP876">
            <v>0</v>
          </cell>
          <cell r="CQ876">
            <v>0</v>
          </cell>
          <cell r="CR876">
            <v>0</v>
          </cell>
          <cell r="CS876">
            <v>0</v>
          </cell>
          <cell r="CT876">
            <v>0</v>
          </cell>
          <cell r="CU876">
            <v>0</v>
          </cell>
          <cell r="CV876">
            <v>0</v>
          </cell>
          <cell r="CW876">
            <v>0</v>
          </cell>
          <cell r="CX876">
            <v>0</v>
          </cell>
          <cell r="CY876">
            <v>0</v>
          </cell>
          <cell r="CZ876">
            <v>0</v>
          </cell>
          <cell r="DA876">
            <v>0</v>
          </cell>
          <cell r="DB876">
            <v>0</v>
          </cell>
          <cell r="DC876">
            <v>0</v>
          </cell>
          <cell r="DD876">
            <v>0</v>
          </cell>
          <cell r="DE876">
            <v>0</v>
          </cell>
          <cell r="DF876">
            <v>0</v>
          </cell>
          <cell r="DG876">
            <v>0</v>
          </cell>
          <cell r="DH876">
            <v>0</v>
          </cell>
          <cell r="DI876">
            <v>0</v>
          </cell>
          <cell r="DJ876">
            <v>0</v>
          </cell>
          <cell r="DK876">
            <v>0</v>
          </cell>
          <cell r="DL876">
            <v>0</v>
          </cell>
          <cell r="DM876">
            <v>0</v>
          </cell>
          <cell r="DN876">
            <v>0</v>
          </cell>
          <cell r="DO876">
            <v>0</v>
          </cell>
          <cell r="DP876">
            <v>0</v>
          </cell>
          <cell r="DQ876">
            <v>0</v>
          </cell>
          <cell r="DR876">
            <v>0</v>
          </cell>
          <cell r="DS876">
            <v>0</v>
          </cell>
          <cell r="DT876">
            <v>0</v>
          </cell>
          <cell r="DU876">
            <v>0</v>
          </cell>
          <cell r="DV876">
            <v>0</v>
          </cell>
          <cell r="DW876">
            <v>0.02</v>
          </cell>
          <cell r="DX876">
            <v>218.4</v>
          </cell>
          <cell r="DY876" t="str">
            <v/>
          </cell>
          <cell r="DZ876">
            <v>0</v>
          </cell>
          <cell r="EA876">
            <v>10920</v>
          </cell>
        </row>
        <row r="877">
          <cell r="A877">
            <v>1</v>
          </cell>
          <cell r="B877">
            <v>109032</v>
          </cell>
          <cell r="C877" t="str">
            <v>შოკოლადის კანფეტი_მელიტა_200გ_ბარამბო</v>
          </cell>
          <cell r="D877" t="str">
            <v>TON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O877">
            <v>0</v>
          </cell>
          <cell r="AP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O877">
            <v>0</v>
          </cell>
          <cell r="CP877">
            <v>0</v>
          </cell>
          <cell r="CQ877">
            <v>0</v>
          </cell>
          <cell r="CR877">
            <v>0</v>
          </cell>
          <cell r="CS877">
            <v>0</v>
          </cell>
          <cell r="CT877">
            <v>0</v>
          </cell>
          <cell r="CU877">
            <v>0</v>
          </cell>
          <cell r="CV877">
            <v>0</v>
          </cell>
          <cell r="CW877">
            <v>0</v>
          </cell>
          <cell r="CX877">
            <v>0</v>
          </cell>
          <cell r="CY877">
            <v>0</v>
          </cell>
          <cell r="CZ877">
            <v>0</v>
          </cell>
          <cell r="DA877">
            <v>0</v>
          </cell>
          <cell r="DB877">
            <v>0</v>
          </cell>
          <cell r="DC877">
            <v>0</v>
          </cell>
          <cell r="DD877">
            <v>0</v>
          </cell>
          <cell r="DE877">
            <v>0</v>
          </cell>
          <cell r="DF877">
            <v>0</v>
          </cell>
          <cell r="DG877">
            <v>0</v>
          </cell>
          <cell r="DH877">
            <v>0</v>
          </cell>
          <cell r="DI877">
            <v>0</v>
          </cell>
          <cell r="DJ877">
            <v>0</v>
          </cell>
          <cell r="DK877">
            <v>0</v>
          </cell>
          <cell r="DL877">
            <v>0</v>
          </cell>
          <cell r="DM877">
            <v>0</v>
          </cell>
          <cell r="DN877">
            <v>0</v>
          </cell>
          <cell r="DO877">
            <v>0</v>
          </cell>
          <cell r="DP877">
            <v>0</v>
          </cell>
          <cell r="DQ877">
            <v>0</v>
          </cell>
          <cell r="DR877">
            <v>0</v>
          </cell>
          <cell r="DS877">
            <v>0</v>
          </cell>
          <cell r="DT877">
            <v>0</v>
          </cell>
          <cell r="DU877">
            <v>0</v>
          </cell>
          <cell r="DV877">
            <v>0</v>
          </cell>
          <cell r="DW877">
            <v>0</v>
          </cell>
          <cell r="DX877">
            <v>0</v>
          </cell>
          <cell r="DY877" t="str">
            <v>Hedef</v>
          </cell>
          <cell r="DZ877" t="str">
            <v>pasiv</v>
          </cell>
          <cell r="EA877" t="e">
            <v>#DIV/0!</v>
          </cell>
        </row>
        <row r="878">
          <cell r="B878">
            <v>214918</v>
          </cell>
          <cell r="C878" t="str">
            <v>შოკოლ. პასტა სან ჩოკო გლაზურ _2.5კგ*4</v>
          </cell>
          <cell r="D878" t="str">
            <v>TON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O878">
            <v>0</v>
          </cell>
          <cell r="AP878">
            <v>0</v>
          </cell>
          <cell r="AS878">
            <v>0</v>
          </cell>
          <cell r="AT878">
            <v>0</v>
          </cell>
          <cell r="AU878">
            <v>0.01</v>
          </cell>
          <cell r="AV878">
            <v>102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O878">
            <v>0</v>
          </cell>
          <cell r="CP878">
            <v>0</v>
          </cell>
          <cell r="CQ878">
            <v>0</v>
          </cell>
          <cell r="CR878">
            <v>0</v>
          </cell>
          <cell r="CS878">
            <v>0</v>
          </cell>
          <cell r="CT878">
            <v>0</v>
          </cell>
          <cell r="CU878">
            <v>0.01</v>
          </cell>
          <cell r="CV878">
            <v>102</v>
          </cell>
          <cell r="CW878">
            <v>0</v>
          </cell>
          <cell r="CX878">
            <v>0</v>
          </cell>
          <cell r="CY878">
            <v>0</v>
          </cell>
          <cell r="CZ878">
            <v>0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0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0</v>
          </cell>
          <cell r="DL878">
            <v>0</v>
          </cell>
          <cell r="DM878">
            <v>0</v>
          </cell>
          <cell r="DN878">
            <v>0</v>
          </cell>
          <cell r="DO878">
            <v>0.01</v>
          </cell>
          <cell r="DP878">
            <v>102</v>
          </cell>
          <cell r="DQ878">
            <v>0</v>
          </cell>
          <cell r="DR878">
            <v>0</v>
          </cell>
          <cell r="DS878">
            <v>0</v>
          </cell>
          <cell r="DT878">
            <v>0</v>
          </cell>
          <cell r="DU878">
            <v>0.01</v>
          </cell>
          <cell r="DV878">
            <v>102</v>
          </cell>
          <cell r="DW878">
            <v>0.01</v>
          </cell>
          <cell r="DX878">
            <v>102</v>
          </cell>
          <cell r="DY878" t="str">
            <v/>
          </cell>
          <cell r="DZ878">
            <v>0</v>
          </cell>
          <cell r="EA878">
            <v>10200</v>
          </cell>
        </row>
        <row r="879">
          <cell r="B879">
            <v>62897</v>
          </cell>
          <cell r="C879" t="str">
            <v>SHOKKI MOKKI SOKOLAD YAGI_350GR*12_BIR RENGLI</v>
          </cell>
          <cell r="D879" t="str">
            <v>TON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1.0499999999999999E-3</v>
          </cell>
          <cell r="AL879">
            <v>21.12</v>
          </cell>
          <cell r="AO879">
            <v>1.0499999999999999E-3</v>
          </cell>
          <cell r="AP879">
            <v>21.12</v>
          </cell>
          <cell r="AS879">
            <v>0</v>
          </cell>
          <cell r="AT879">
            <v>0</v>
          </cell>
          <cell r="AU879">
            <v>2.1700000000000001E-2</v>
          </cell>
          <cell r="AV879">
            <v>423.29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-3.5E-4</v>
          </cell>
          <cell r="BD879">
            <v>-7.21</v>
          </cell>
          <cell r="BE879">
            <v>-3.5E-4</v>
          </cell>
          <cell r="BF879">
            <v>-7.21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1.0499999999999999E-3</v>
          </cell>
          <cell r="BN879">
            <v>18.600000000000001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1.0499999999999999E-3</v>
          </cell>
          <cell r="BT879">
            <v>18.600000000000001</v>
          </cell>
          <cell r="BU879">
            <v>0</v>
          </cell>
          <cell r="BV879">
            <v>0</v>
          </cell>
          <cell r="BW879">
            <v>1.0499999999999999E-3</v>
          </cell>
          <cell r="BX879">
            <v>19.5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4.1999999999999997E-3</v>
          </cell>
          <cell r="CD879">
            <v>84.48</v>
          </cell>
          <cell r="CE879">
            <v>4.1999999999999997E-3</v>
          </cell>
          <cell r="CF879">
            <v>84.48</v>
          </cell>
          <cell r="CG879">
            <v>0</v>
          </cell>
          <cell r="CH879">
            <v>0</v>
          </cell>
          <cell r="CI879">
            <v>9.4500000000000001E-3</v>
          </cell>
          <cell r="CJ879">
            <v>188.46</v>
          </cell>
          <cell r="CK879">
            <v>1.0500000000000001E-2</v>
          </cell>
          <cell r="CL879">
            <v>207.06</v>
          </cell>
          <cell r="CO879">
            <v>0</v>
          </cell>
          <cell r="CP879">
            <v>0</v>
          </cell>
          <cell r="CQ879">
            <v>0</v>
          </cell>
          <cell r="CR879">
            <v>0</v>
          </cell>
          <cell r="CS879">
            <v>0</v>
          </cell>
          <cell r="CT879">
            <v>0</v>
          </cell>
          <cell r="CU879">
            <v>4.1999999999999997E-3</v>
          </cell>
          <cell r="CV879">
            <v>80.400000000000006</v>
          </cell>
          <cell r="CW879">
            <v>0</v>
          </cell>
          <cell r="CX879">
            <v>0</v>
          </cell>
          <cell r="CY879">
            <v>4.1999999999999997E-3</v>
          </cell>
          <cell r="CZ879">
            <v>84.48</v>
          </cell>
          <cell r="DA879">
            <v>-1.0499999999999999E-3</v>
          </cell>
          <cell r="DB879">
            <v>-24</v>
          </cell>
          <cell r="DC879">
            <v>2.8E-3</v>
          </cell>
          <cell r="DD879">
            <v>54.4</v>
          </cell>
          <cell r="DE879">
            <v>5.9500000000000004E-3</v>
          </cell>
          <cell r="DF879">
            <v>114.88</v>
          </cell>
          <cell r="DG879">
            <v>0</v>
          </cell>
          <cell r="DH879">
            <v>0</v>
          </cell>
          <cell r="DI879">
            <v>3.5E-4</v>
          </cell>
          <cell r="DJ879">
            <v>7.04</v>
          </cell>
          <cell r="DK879">
            <v>0</v>
          </cell>
          <cell r="DL879">
            <v>0</v>
          </cell>
          <cell r="DM879">
            <v>3.5E-4</v>
          </cell>
          <cell r="DN879">
            <v>7.04</v>
          </cell>
          <cell r="DO879">
            <v>0</v>
          </cell>
          <cell r="DP879">
            <v>0</v>
          </cell>
          <cell r="DQ879">
            <v>0</v>
          </cell>
          <cell r="DR879">
            <v>0</v>
          </cell>
          <cell r="DS879">
            <v>4.1999999999999997E-3</v>
          </cell>
          <cell r="DT879">
            <v>80.400000000000006</v>
          </cell>
          <cell r="DU879">
            <v>4.1999999999999997E-3</v>
          </cell>
          <cell r="DV879">
            <v>80.400000000000006</v>
          </cell>
          <cell r="DW879">
            <v>2.1699999999999997E-2</v>
          </cell>
          <cell r="DX879">
            <v>423.29</v>
          </cell>
          <cell r="DY879" t="str">
            <v/>
          </cell>
          <cell r="DZ879">
            <v>0</v>
          </cell>
          <cell r="EA879">
            <v>19506.451612903231</v>
          </cell>
        </row>
        <row r="880">
          <cell r="A880">
            <v>54</v>
          </cell>
          <cell r="C880" t="str">
            <v>SHOKKI MOKKI</v>
          </cell>
          <cell r="E880">
            <v>0.02</v>
          </cell>
          <cell r="F880">
            <v>218.4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0.02</v>
          </cell>
          <cell r="P880">
            <v>218.4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1.0999999999999998E-3</v>
          </cell>
          <cell r="AL880">
            <v>18.240000000000002</v>
          </cell>
          <cell r="AM880">
            <v>0</v>
          </cell>
          <cell r="AN880">
            <v>0</v>
          </cell>
          <cell r="AO880">
            <v>1.0999999999999998E-3</v>
          </cell>
          <cell r="AP880">
            <v>18.240000000000002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7.6850000000000002E-2</v>
          </cell>
          <cell r="AV880">
            <v>1219.05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7.6500000000000005E-3</v>
          </cell>
          <cell r="BD880">
            <v>144.76999999999998</v>
          </cell>
          <cell r="BE880">
            <v>7.6500000000000005E-3</v>
          </cell>
          <cell r="BF880">
            <v>144.76999999999998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1.75E-3</v>
          </cell>
          <cell r="BL880">
            <v>31.1</v>
          </cell>
          <cell r="BM880">
            <v>2.0999999999999999E-3</v>
          </cell>
          <cell r="BN880">
            <v>37.200000000000003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3.8500000000000001E-3</v>
          </cell>
          <cell r="BT880">
            <v>68.300000000000011</v>
          </cell>
          <cell r="BU880">
            <v>0</v>
          </cell>
          <cell r="BV880">
            <v>0</v>
          </cell>
          <cell r="BW880">
            <v>3.3499999999999997E-3</v>
          </cell>
          <cell r="BX880">
            <v>61.8</v>
          </cell>
          <cell r="BY880">
            <v>0</v>
          </cell>
          <cell r="BZ880">
            <v>0</v>
          </cell>
          <cell r="CA880">
            <v>2.0999999999999999E-3</v>
          </cell>
          <cell r="CB880">
            <v>42.24</v>
          </cell>
          <cell r="CC880">
            <v>4.1999999999999997E-3</v>
          </cell>
          <cell r="CD880">
            <v>84.48</v>
          </cell>
          <cell r="CE880">
            <v>8.3999999999999995E-3</v>
          </cell>
          <cell r="CF880">
            <v>168.96</v>
          </cell>
          <cell r="CG880">
            <v>0</v>
          </cell>
          <cell r="CH880">
            <v>0</v>
          </cell>
          <cell r="CI880">
            <v>1.805E-2</v>
          </cell>
          <cell r="CJ880">
            <v>357.48</v>
          </cell>
          <cell r="CK880">
            <v>2.1899999999999999E-2</v>
          </cell>
          <cell r="CL880">
            <v>425.78000000000003</v>
          </cell>
          <cell r="CM880">
            <v>0</v>
          </cell>
          <cell r="CN880">
            <v>0</v>
          </cell>
          <cell r="CO880">
            <v>0</v>
          </cell>
          <cell r="CP880">
            <v>0</v>
          </cell>
          <cell r="CQ880">
            <v>0</v>
          </cell>
          <cell r="CR880">
            <v>0</v>
          </cell>
          <cell r="CS880">
            <v>0</v>
          </cell>
          <cell r="CT880">
            <v>0</v>
          </cell>
          <cell r="CU880">
            <v>1.5449999999999998E-2</v>
          </cell>
          <cell r="CV880">
            <v>206.28</v>
          </cell>
          <cell r="CW880">
            <v>0</v>
          </cell>
          <cell r="CX880">
            <v>0</v>
          </cell>
          <cell r="CY880">
            <v>8.3999999999999995E-3</v>
          </cell>
          <cell r="CZ880">
            <v>168.96</v>
          </cell>
          <cell r="DA880">
            <v>-3.8500000000000001E-3</v>
          </cell>
          <cell r="DB880">
            <v>-82.710000000000008</v>
          </cell>
          <cell r="DC880">
            <v>2.8E-3</v>
          </cell>
          <cell r="DD880">
            <v>54.4</v>
          </cell>
          <cell r="DE880">
            <v>7.3500000000000006E-3</v>
          </cell>
          <cell r="DF880">
            <v>140.65</v>
          </cell>
          <cell r="DG880">
            <v>0</v>
          </cell>
          <cell r="DH880">
            <v>0</v>
          </cell>
          <cell r="DI880">
            <v>1.8500000000000001E-3</v>
          </cell>
          <cell r="DJ880">
            <v>36.68</v>
          </cell>
          <cell r="DK880">
            <v>1.5499999999999999E-3</v>
          </cell>
          <cell r="DL880">
            <v>28.25</v>
          </cell>
          <cell r="DM880">
            <v>3.3999999999999998E-3</v>
          </cell>
          <cell r="DN880">
            <v>64.930000000000007</v>
          </cell>
          <cell r="DO880">
            <v>1.1950000000000001E-2</v>
          </cell>
          <cell r="DP880">
            <v>138.88</v>
          </cell>
          <cell r="DQ880">
            <v>-6.9999999999999999E-4</v>
          </cell>
          <cell r="DR880">
            <v>-13</v>
          </cell>
          <cell r="DS880">
            <v>4.1999999999999997E-3</v>
          </cell>
          <cell r="DT880">
            <v>80.400000000000006</v>
          </cell>
          <cell r="DU880">
            <v>1.5449999999999998E-2</v>
          </cell>
          <cell r="DV880">
            <v>206.28</v>
          </cell>
          <cell r="DW880">
            <v>7.6850000000000002E-2</v>
          </cell>
          <cell r="DX880">
            <v>1219.05</v>
          </cell>
          <cell r="DZ880">
            <v>0</v>
          </cell>
          <cell r="EA880">
            <v>15862.719583604423</v>
          </cell>
        </row>
        <row r="881">
          <cell r="B881">
            <v>102010</v>
          </cell>
          <cell r="C881" t="str">
            <v>SUN BEYAZ SALFET_25*23 CM_70*24</v>
          </cell>
          <cell r="D881" t="str">
            <v>KOLI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O881">
            <v>0</v>
          </cell>
          <cell r="AP881">
            <v>0</v>
          </cell>
          <cell r="AS881">
            <v>0</v>
          </cell>
          <cell r="AT881">
            <v>0</v>
          </cell>
          <cell r="AU881">
            <v>22</v>
          </cell>
          <cell r="AV881">
            <v>417.56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2</v>
          </cell>
          <cell r="BD881">
            <v>33.56</v>
          </cell>
          <cell r="BE881">
            <v>2</v>
          </cell>
          <cell r="BF881">
            <v>33.56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1</v>
          </cell>
          <cell r="BL881">
            <v>19.2</v>
          </cell>
          <cell r="BM881">
            <v>1</v>
          </cell>
          <cell r="BN881">
            <v>19.2</v>
          </cell>
          <cell r="BO881">
            <v>2</v>
          </cell>
          <cell r="BP881">
            <v>38.4</v>
          </cell>
          <cell r="BQ881">
            <v>0</v>
          </cell>
          <cell r="BR881">
            <v>0</v>
          </cell>
          <cell r="BS881">
            <v>4</v>
          </cell>
          <cell r="BT881">
            <v>76.8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2</v>
          </cell>
          <cell r="CF881">
            <v>38.4</v>
          </cell>
          <cell r="CG881">
            <v>0</v>
          </cell>
          <cell r="CH881">
            <v>0</v>
          </cell>
          <cell r="CI881">
            <v>2</v>
          </cell>
          <cell r="CJ881">
            <v>38.4</v>
          </cell>
          <cell r="CK881">
            <v>6</v>
          </cell>
          <cell r="CL881">
            <v>115.19999999999999</v>
          </cell>
          <cell r="CO881">
            <v>0</v>
          </cell>
          <cell r="CP881">
            <v>0</v>
          </cell>
          <cell r="CQ881">
            <v>0</v>
          </cell>
          <cell r="CR881">
            <v>0</v>
          </cell>
          <cell r="CS881">
            <v>0</v>
          </cell>
          <cell r="CT881">
            <v>0</v>
          </cell>
          <cell r="CU881">
            <v>6</v>
          </cell>
          <cell r="CV881">
            <v>115.2</v>
          </cell>
          <cell r="CW881">
            <v>0</v>
          </cell>
          <cell r="CX881">
            <v>0</v>
          </cell>
          <cell r="CY881">
            <v>6</v>
          </cell>
          <cell r="CZ881">
            <v>115.2</v>
          </cell>
          <cell r="DA881">
            <v>0</v>
          </cell>
          <cell r="DB881">
            <v>0</v>
          </cell>
          <cell r="DC881">
            <v>1</v>
          </cell>
          <cell r="DD881">
            <v>19.2</v>
          </cell>
          <cell r="DE881">
            <v>7</v>
          </cell>
          <cell r="DF881">
            <v>134.4</v>
          </cell>
          <cell r="DG881">
            <v>1</v>
          </cell>
          <cell r="DH881">
            <v>19.2</v>
          </cell>
          <cell r="DI881">
            <v>0</v>
          </cell>
          <cell r="DJ881">
            <v>0</v>
          </cell>
          <cell r="DK881">
            <v>0</v>
          </cell>
          <cell r="DL881">
            <v>0</v>
          </cell>
          <cell r="DM881">
            <v>1</v>
          </cell>
          <cell r="DN881">
            <v>19.2</v>
          </cell>
          <cell r="DO881">
            <v>1</v>
          </cell>
          <cell r="DP881">
            <v>19.2</v>
          </cell>
          <cell r="DQ881">
            <v>0</v>
          </cell>
          <cell r="DR881">
            <v>0</v>
          </cell>
          <cell r="DS881">
            <v>5</v>
          </cell>
          <cell r="DT881">
            <v>96</v>
          </cell>
          <cell r="DU881">
            <v>6</v>
          </cell>
          <cell r="DV881">
            <v>115.2</v>
          </cell>
          <cell r="DW881">
            <v>22</v>
          </cell>
          <cell r="DX881">
            <v>417.56</v>
          </cell>
          <cell r="DY881" t="str">
            <v/>
          </cell>
          <cell r="DZ881">
            <v>0</v>
          </cell>
          <cell r="EA881">
            <v>18.98</v>
          </cell>
        </row>
        <row r="882">
          <cell r="B882">
            <v>205030</v>
          </cell>
          <cell r="C882" t="str">
            <v xml:space="preserve">SUN SALFET_23*25CM_300*8 </v>
          </cell>
          <cell r="D882" t="str">
            <v>KOLI</v>
          </cell>
          <cell r="E882">
            <v>5</v>
          </cell>
          <cell r="F882">
            <v>98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O882">
            <v>5</v>
          </cell>
          <cell r="P882">
            <v>98</v>
          </cell>
          <cell r="Q882">
            <v>0</v>
          </cell>
          <cell r="R882">
            <v>0</v>
          </cell>
          <cell r="S882">
            <v>10</v>
          </cell>
          <cell r="T882">
            <v>180.3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10</v>
          </cell>
          <cell r="Z882">
            <v>180.3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2</v>
          </cell>
          <cell r="AH882">
            <v>41.12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O882">
            <v>2</v>
          </cell>
          <cell r="AP882">
            <v>41.12</v>
          </cell>
          <cell r="AS882">
            <v>0</v>
          </cell>
          <cell r="AT882">
            <v>0</v>
          </cell>
          <cell r="AU882">
            <v>244.875</v>
          </cell>
          <cell r="AV882">
            <v>4716.58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8</v>
          </cell>
          <cell r="BD882">
            <v>148.72</v>
          </cell>
          <cell r="BE882">
            <v>8</v>
          </cell>
          <cell r="BF882">
            <v>148.72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1</v>
          </cell>
          <cell r="BL882">
            <v>19.010000000000002</v>
          </cell>
          <cell r="BM882">
            <v>2</v>
          </cell>
          <cell r="BN882">
            <v>38.61</v>
          </cell>
          <cell r="BO882">
            <v>111.375</v>
          </cell>
          <cell r="BP882">
            <v>2167.61</v>
          </cell>
          <cell r="BQ882">
            <v>0</v>
          </cell>
          <cell r="BR882">
            <v>0</v>
          </cell>
          <cell r="BS882">
            <v>114.375</v>
          </cell>
          <cell r="BT882">
            <v>2225.23</v>
          </cell>
          <cell r="BU882">
            <v>5</v>
          </cell>
          <cell r="BV882">
            <v>97.41</v>
          </cell>
          <cell r="BW882">
            <v>1</v>
          </cell>
          <cell r="BX882">
            <v>19.600000000000001</v>
          </cell>
          <cell r="BY882">
            <v>2.25</v>
          </cell>
          <cell r="BZ882">
            <v>41.99</v>
          </cell>
          <cell r="CA882">
            <v>0.25</v>
          </cell>
          <cell r="CB882">
            <v>5.14</v>
          </cell>
          <cell r="CC882">
            <v>3</v>
          </cell>
          <cell r="CD882">
            <v>58.8</v>
          </cell>
          <cell r="CE882">
            <v>8</v>
          </cell>
          <cell r="CF882">
            <v>151.44999999999999</v>
          </cell>
          <cell r="CG882">
            <v>40</v>
          </cell>
          <cell r="CH882">
            <v>724.42</v>
          </cell>
          <cell r="CI882">
            <v>59.5</v>
          </cell>
          <cell r="CJ882">
            <v>1098.81</v>
          </cell>
          <cell r="CK882">
            <v>173.875</v>
          </cell>
          <cell r="CL882">
            <v>3324.04</v>
          </cell>
          <cell r="CO882">
            <v>0</v>
          </cell>
          <cell r="CP882">
            <v>0</v>
          </cell>
          <cell r="CQ882">
            <v>0</v>
          </cell>
          <cell r="CR882">
            <v>0</v>
          </cell>
          <cell r="CS882">
            <v>0</v>
          </cell>
          <cell r="CT882">
            <v>0</v>
          </cell>
          <cell r="CU882">
            <v>11</v>
          </cell>
          <cell r="CV882">
            <v>204.8</v>
          </cell>
          <cell r="CW882">
            <v>0</v>
          </cell>
          <cell r="CX882">
            <v>0</v>
          </cell>
          <cell r="CY882">
            <v>35</v>
          </cell>
          <cell r="CZ882">
            <v>719.6</v>
          </cell>
          <cell r="DA882">
            <v>0</v>
          </cell>
          <cell r="DB882">
            <v>0</v>
          </cell>
          <cell r="DC882">
            <v>0</v>
          </cell>
          <cell r="DD882">
            <v>0</v>
          </cell>
          <cell r="DE882">
            <v>35</v>
          </cell>
          <cell r="DF882">
            <v>719.6</v>
          </cell>
          <cell r="DG882">
            <v>0</v>
          </cell>
          <cell r="DH882">
            <v>0</v>
          </cell>
          <cell r="DI882">
            <v>0</v>
          </cell>
          <cell r="DJ882">
            <v>0</v>
          </cell>
          <cell r="DK882">
            <v>0</v>
          </cell>
          <cell r="DL882">
            <v>0</v>
          </cell>
          <cell r="DM882">
            <v>0</v>
          </cell>
          <cell r="DN882">
            <v>0</v>
          </cell>
          <cell r="DO882">
            <v>11</v>
          </cell>
          <cell r="DP882">
            <v>204.8</v>
          </cell>
          <cell r="DQ882">
            <v>0</v>
          </cell>
          <cell r="DR882">
            <v>0</v>
          </cell>
          <cell r="DS882">
            <v>0</v>
          </cell>
          <cell r="DT882">
            <v>0</v>
          </cell>
          <cell r="DU882">
            <v>11</v>
          </cell>
          <cell r="DV882">
            <v>204.8</v>
          </cell>
          <cell r="DW882">
            <v>244.875</v>
          </cell>
          <cell r="DX882">
            <v>4716.5800000000008</v>
          </cell>
          <cell r="DY882" t="str">
            <v/>
          </cell>
          <cell r="DZ882">
            <v>0</v>
          </cell>
          <cell r="EA882">
            <v>19.261174068402248</v>
          </cell>
        </row>
        <row r="883">
          <cell r="B883">
            <v>216361</v>
          </cell>
          <cell r="C883" t="str">
            <v>SUN ANTRE BATONO_23*25CM_300*8</v>
          </cell>
          <cell r="D883" t="str">
            <v>KOLI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O883">
            <v>0</v>
          </cell>
          <cell r="AP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0</v>
          </cell>
          <cell r="CW883">
            <v>0</v>
          </cell>
          <cell r="CX883">
            <v>0</v>
          </cell>
          <cell r="CY883">
            <v>0</v>
          </cell>
          <cell r="CZ883">
            <v>0</v>
          </cell>
          <cell r="DA883">
            <v>0</v>
          </cell>
          <cell r="DB883">
            <v>0</v>
          </cell>
          <cell r="DC883">
            <v>0</v>
          </cell>
          <cell r="DD883">
            <v>0</v>
          </cell>
          <cell r="DE883">
            <v>0</v>
          </cell>
          <cell r="DF883">
            <v>0</v>
          </cell>
          <cell r="DG883">
            <v>0</v>
          </cell>
          <cell r="DH883">
            <v>0</v>
          </cell>
          <cell r="DI883">
            <v>0</v>
          </cell>
          <cell r="DJ883">
            <v>0</v>
          </cell>
          <cell r="DK883">
            <v>0</v>
          </cell>
          <cell r="DL883">
            <v>0</v>
          </cell>
          <cell r="DM883">
            <v>0</v>
          </cell>
          <cell r="DN883">
            <v>0</v>
          </cell>
          <cell r="DO883">
            <v>0</v>
          </cell>
          <cell r="DP883">
            <v>0</v>
          </cell>
          <cell r="DQ883">
            <v>0</v>
          </cell>
          <cell r="DR883">
            <v>0</v>
          </cell>
          <cell r="DS883">
            <v>0</v>
          </cell>
          <cell r="DT883">
            <v>0</v>
          </cell>
          <cell r="DU883">
            <v>0</v>
          </cell>
          <cell r="DV883">
            <v>0</v>
          </cell>
          <cell r="DW883">
            <v>0</v>
          </cell>
          <cell r="DX883">
            <v>0</v>
          </cell>
          <cell r="DY883" t="str">
            <v/>
          </cell>
          <cell r="DZ883" t="str">
            <v>pasiv</v>
          </cell>
          <cell r="EA883" t="e">
            <v>#DIV/0!</v>
          </cell>
        </row>
        <row r="884">
          <cell r="B884">
            <v>21657</v>
          </cell>
          <cell r="C884" t="str">
            <v>ARIZALI PECETE 25 CM 100*24</v>
          </cell>
          <cell r="D884" t="str">
            <v>KOLI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O884">
            <v>0</v>
          </cell>
          <cell r="AP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O884">
            <v>0</v>
          </cell>
          <cell r="CP884">
            <v>0</v>
          </cell>
          <cell r="CQ884">
            <v>0</v>
          </cell>
          <cell r="CR884">
            <v>0</v>
          </cell>
          <cell r="CS884">
            <v>0</v>
          </cell>
          <cell r="CT884">
            <v>0</v>
          </cell>
          <cell r="CU884">
            <v>0</v>
          </cell>
          <cell r="CV884">
            <v>0</v>
          </cell>
          <cell r="CW884">
            <v>0</v>
          </cell>
          <cell r="CX884">
            <v>0</v>
          </cell>
          <cell r="CY884">
            <v>0</v>
          </cell>
          <cell r="CZ884">
            <v>0</v>
          </cell>
          <cell r="DA884">
            <v>0</v>
          </cell>
          <cell r="DB884">
            <v>0</v>
          </cell>
          <cell r="DC884">
            <v>0</v>
          </cell>
          <cell r="DD884">
            <v>0</v>
          </cell>
          <cell r="DE884">
            <v>0</v>
          </cell>
          <cell r="DF884">
            <v>0</v>
          </cell>
          <cell r="DG884">
            <v>0</v>
          </cell>
          <cell r="DH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0</v>
          </cell>
          <cell r="DO884">
            <v>0</v>
          </cell>
          <cell r="DP884">
            <v>0</v>
          </cell>
          <cell r="DQ884">
            <v>0</v>
          </cell>
          <cell r="DR884">
            <v>0</v>
          </cell>
          <cell r="DS884">
            <v>0</v>
          </cell>
          <cell r="DT884">
            <v>0</v>
          </cell>
          <cell r="DU884">
            <v>0</v>
          </cell>
          <cell r="DV884">
            <v>0</v>
          </cell>
          <cell r="DW884">
            <v>0</v>
          </cell>
          <cell r="DX884">
            <v>0</v>
          </cell>
          <cell r="DY884" t="str">
            <v/>
          </cell>
          <cell r="DZ884" t="str">
            <v>pasiv</v>
          </cell>
          <cell r="EA884" t="e">
            <v>#DIV/0!</v>
          </cell>
        </row>
        <row r="885">
          <cell r="B885">
            <v>333819</v>
          </cell>
          <cell r="C885" t="str">
            <v>ხელ-ცი-გემრიელი სახლი_23*25სმ(300*8)</v>
          </cell>
          <cell r="D885" t="str">
            <v>KOLI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O885">
            <v>0</v>
          </cell>
          <cell r="AP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  <cell r="CL885">
            <v>0</v>
          </cell>
          <cell r="CO885">
            <v>0</v>
          </cell>
          <cell r="CP885">
            <v>0</v>
          </cell>
          <cell r="CQ885">
            <v>0</v>
          </cell>
          <cell r="CR885">
            <v>0</v>
          </cell>
          <cell r="CS885">
            <v>0</v>
          </cell>
          <cell r="CT885">
            <v>0</v>
          </cell>
          <cell r="CU885">
            <v>0</v>
          </cell>
          <cell r="CV885">
            <v>0</v>
          </cell>
          <cell r="CW885">
            <v>0</v>
          </cell>
          <cell r="CX885">
            <v>0</v>
          </cell>
          <cell r="CY885">
            <v>0</v>
          </cell>
          <cell r="CZ885">
            <v>0</v>
          </cell>
          <cell r="DA885">
            <v>0</v>
          </cell>
          <cell r="DB885">
            <v>0</v>
          </cell>
          <cell r="DC885">
            <v>0</v>
          </cell>
          <cell r="DD885">
            <v>0</v>
          </cell>
          <cell r="DE885">
            <v>0</v>
          </cell>
          <cell r="DF885">
            <v>0</v>
          </cell>
          <cell r="DG885">
            <v>0</v>
          </cell>
          <cell r="DH885">
            <v>0</v>
          </cell>
          <cell r="DI885">
            <v>0</v>
          </cell>
          <cell r="DJ885">
            <v>0</v>
          </cell>
          <cell r="DK885">
            <v>0</v>
          </cell>
          <cell r="DL885">
            <v>0</v>
          </cell>
          <cell r="DM885">
            <v>0</v>
          </cell>
          <cell r="DN885">
            <v>0</v>
          </cell>
          <cell r="DO885">
            <v>0</v>
          </cell>
          <cell r="DP885">
            <v>0</v>
          </cell>
          <cell r="DQ885">
            <v>0</v>
          </cell>
          <cell r="DR885">
            <v>0</v>
          </cell>
          <cell r="DS885">
            <v>0</v>
          </cell>
          <cell r="DT885">
            <v>0</v>
          </cell>
          <cell r="DU885">
            <v>0</v>
          </cell>
          <cell r="DV885">
            <v>0</v>
          </cell>
          <cell r="DW885">
            <v>0</v>
          </cell>
          <cell r="DX885">
            <v>0</v>
          </cell>
          <cell r="DY885" t="str">
            <v/>
          </cell>
          <cell r="DZ885" t="str">
            <v>pasiv</v>
          </cell>
          <cell r="EA885" t="e">
            <v>#DIV/0!</v>
          </cell>
        </row>
        <row r="886">
          <cell r="B886">
            <v>346960</v>
          </cell>
          <cell r="C886" t="str">
            <v>ხელ-ცი-ევიმი-თეთრი-25სმ–240_7ც+1ც</v>
          </cell>
          <cell r="D886" t="str">
            <v>KOLI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O886">
            <v>0</v>
          </cell>
          <cell r="AP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O886">
            <v>0</v>
          </cell>
          <cell r="CP886">
            <v>0</v>
          </cell>
          <cell r="CQ886">
            <v>0</v>
          </cell>
          <cell r="CR886">
            <v>0</v>
          </cell>
          <cell r="CS886">
            <v>0</v>
          </cell>
          <cell r="CT886">
            <v>0</v>
          </cell>
          <cell r="CU886">
            <v>0</v>
          </cell>
          <cell r="CV886">
            <v>0</v>
          </cell>
          <cell r="CW886">
            <v>0</v>
          </cell>
          <cell r="CX886">
            <v>0</v>
          </cell>
          <cell r="CY886">
            <v>0</v>
          </cell>
          <cell r="CZ886">
            <v>0</v>
          </cell>
          <cell r="DA886">
            <v>0</v>
          </cell>
          <cell r="DB886">
            <v>0</v>
          </cell>
          <cell r="DC886">
            <v>0</v>
          </cell>
          <cell r="DD886">
            <v>0</v>
          </cell>
          <cell r="DE886">
            <v>0</v>
          </cell>
          <cell r="DF886">
            <v>0</v>
          </cell>
          <cell r="DG886">
            <v>0</v>
          </cell>
          <cell r="DH886">
            <v>0</v>
          </cell>
          <cell r="DI886">
            <v>0</v>
          </cell>
          <cell r="DJ886">
            <v>0</v>
          </cell>
          <cell r="DK886">
            <v>0</v>
          </cell>
          <cell r="DL886">
            <v>0</v>
          </cell>
          <cell r="DM886">
            <v>0</v>
          </cell>
          <cell r="DN886">
            <v>0</v>
          </cell>
          <cell r="DO886">
            <v>0</v>
          </cell>
          <cell r="DP886">
            <v>0</v>
          </cell>
          <cell r="DQ886">
            <v>0</v>
          </cell>
          <cell r="DR886">
            <v>0</v>
          </cell>
          <cell r="DS886">
            <v>0</v>
          </cell>
          <cell r="DT886">
            <v>0</v>
          </cell>
          <cell r="DU886">
            <v>0</v>
          </cell>
          <cell r="DV886">
            <v>0</v>
          </cell>
          <cell r="DW886">
            <v>0</v>
          </cell>
          <cell r="DX886">
            <v>0</v>
          </cell>
          <cell r="DY886" t="str">
            <v/>
          </cell>
          <cell r="DZ886" t="str">
            <v>pasiv</v>
          </cell>
          <cell r="EA886" t="e">
            <v>#DIV/0!</v>
          </cell>
        </row>
        <row r="887">
          <cell r="B887">
            <v>362583</v>
          </cell>
          <cell r="C887" t="str">
            <v>ხელ-ცი-მარი-MCCAFE-25*23სმ_100*24</v>
          </cell>
          <cell r="D887" t="str">
            <v>KOLI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O887">
            <v>0</v>
          </cell>
          <cell r="AP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0</v>
          </cell>
          <cell r="DI887">
            <v>0</v>
          </cell>
          <cell r="DJ887">
            <v>0</v>
          </cell>
          <cell r="DK887">
            <v>0</v>
          </cell>
          <cell r="DL887">
            <v>0</v>
          </cell>
          <cell r="DM887">
            <v>0</v>
          </cell>
          <cell r="DN887">
            <v>0</v>
          </cell>
          <cell r="DO887">
            <v>0</v>
          </cell>
          <cell r="DP887">
            <v>0</v>
          </cell>
          <cell r="DQ887">
            <v>0</v>
          </cell>
          <cell r="DR887">
            <v>0</v>
          </cell>
          <cell r="DS887">
            <v>0</v>
          </cell>
          <cell r="DT887">
            <v>0</v>
          </cell>
          <cell r="DU887">
            <v>0</v>
          </cell>
          <cell r="DV887">
            <v>0</v>
          </cell>
          <cell r="DW887">
            <v>0</v>
          </cell>
          <cell r="DX887">
            <v>0</v>
          </cell>
          <cell r="DY887" t="str">
            <v/>
          </cell>
          <cell r="DZ887" t="str">
            <v>pasiv</v>
          </cell>
          <cell r="EA887" t="e">
            <v>#DIV/0!</v>
          </cell>
        </row>
        <row r="888">
          <cell r="B888">
            <v>336772</v>
          </cell>
          <cell r="C888" t="str">
            <v>ხელ-ცი-შაურმის სახლი-თეთრი-23*25_300*8</v>
          </cell>
          <cell r="D888" t="str">
            <v>KOLI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O888">
            <v>0</v>
          </cell>
          <cell r="AP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O888">
            <v>0</v>
          </cell>
          <cell r="CP888">
            <v>0</v>
          </cell>
          <cell r="CQ888">
            <v>0</v>
          </cell>
          <cell r="CR888">
            <v>0</v>
          </cell>
          <cell r="CS888">
            <v>0</v>
          </cell>
          <cell r="CT888">
            <v>0</v>
          </cell>
          <cell r="CU888">
            <v>0</v>
          </cell>
          <cell r="CV888">
            <v>0</v>
          </cell>
          <cell r="CW888">
            <v>0</v>
          </cell>
          <cell r="CX888">
            <v>0</v>
          </cell>
          <cell r="CY888">
            <v>0</v>
          </cell>
          <cell r="CZ888">
            <v>0</v>
          </cell>
          <cell r="DA888">
            <v>0</v>
          </cell>
          <cell r="DB888">
            <v>0</v>
          </cell>
          <cell r="DC888">
            <v>0</v>
          </cell>
          <cell r="DD888">
            <v>0</v>
          </cell>
          <cell r="DE888">
            <v>0</v>
          </cell>
          <cell r="DF888">
            <v>0</v>
          </cell>
          <cell r="DG888">
            <v>0</v>
          </cell>
          <cell r="DH888">
            <v>0</v>
          </cell>
          <cell r="DI888">
            <v>0</v>
          </cell>
          <cell r="DJ888">
            <v>0</v>
          </cell>
          <cell r="DK888">
            <v>0</v>
          </cell>
          <cell r="DL888">
            <v>0</v>
          </cell>
          <cell r="DM888">
            <v>0</v>
          </cell>
          <cell r="DN888">
            <v>0</v>
          </cell>
          <cell r="DO888">
            <v>0</v>
          </cell>
          <cell r="DP888">
            <v>0</v>
          </cell>
          <cell r="DQ888">
            <v>0</v>
          </cell>
          <cell r="DR888">
            <v>0</v>
          </cell>
          <cell r="DS888">
            <v>0</v>
          </cell>
          <cell r="DT888">
            <v>0</v>
          </cell>
          <cell r="DU888">
            <v>0</v>
          </cell>
          <cell r="DV888">
            <v>0</v>
          </cell>
          <cell r="DW888">
            <v>0</v>
          </cell>
          <cell r="DX888">
            <v>0</v>
          </cell>
          <cell r="DY888" t="str">
            <v/>
          </cell>
          <cell r="DZ888" t="str">
            <v>pasiv</v>
          </cell>
          <cell r="EA888" t="e">
            <v>#DIV/0!</v>
          </cell>
        </row>
        <row r="889">
          <cell r="B889">
            <v>373176</v>
          </cell>
          <cell r="C889" t="str">
            <v>ხელ-ცი-დელფინი-თეთრი-23*25_300_15ც+1ც</v>
          </cell>
          <cell r="D889" t="str">
            <v>KOLI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O889">
            <v>0</v>
          </cell>
          <cell r="AP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0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0</v>
          </cell>
          <cell r="DS889">
            <v>0</v>
          </cell>
          <cell r="DT889">
            <v>0</v>
          </cell>
          <cell r="DU889">
            <v>0</v>
          </cell>
          <cell r="DV889">
            <v>0</v>
          </cell>
          <cell r="DW889">
            <v>0</v>
          </cell>
          <cell r="DX889">
            <v>0</v>
          </cell>
          <cell r="DY889" t="str">
            <v/>
          </cell>
          <cell r="DZ889" t="str">
            <v>pasiv</v>
          </cell>
          <cell r="EA889" t="e">
            <v>#DIV/0!</v>
          </cell>
        </row>
        <row r="890">
          <cell r="B890">
            <v>73281</v>
          </cell>
          <cell r="C890" t="str">
            <v>SUN PECETE_25*25 CM_240*8_TEK KAT</v>
          </cell>
          <cell r="D890" t="str">
            <v>KOLI</v>
          </cell>
          <cell r="E890">
            <v>21</v>
          </cell>
          <cell r="F890">
            <v>329.66</v>
          </cell>
          <cell r="G890">
            <v>36</v>
          </cell>
          <cell r="H890">
            <v>577.23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O890">
            <v>57</v>
          </cell>
          <cell r="P890">
            <v>906.8900000000001</v>
          </cell>
          <cell r="Q890">
            <v>15</v>
          </cell>
          <cell r="R890">
            <v>237.45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15</v>
          </cell>
          <cell r="Z890">
            <v>237.45</v>
          </cell>
          <cell r="AA890">
            <v>0</v>
          </cell>
          <cell r="AB890">
            <v>0</v>
          </cell>
          <cell r="AC890">
            <v>4</v>
          </cell>
          <cell r="AD890">
            <v>66.88</v>
          </cell>
          <cell r="AE890">
            <v>0</v>
          </cell>
          <cell r="AF890">
            <v>0</v>
          </cell>
          <cell r="AG890">
            <v>1</v>
          </cell>
          <cell r="AH890">
            <v>17.12</v>
          </cell>
          <cell r="AI890">
            <v>4</v>
          </cell>
          <cell r="AJ890">
            <v>64.92</v>
          </cell>
          <cell r="AK890">
            <v>5</v>
          </cell>
          <cell r="AL890">
            <v>84.8</v>
          </cell>
          <cell r="AO890">
            <v>14</v>
          </cell>
          <cell r="AP890">
            <v>233.72000000000003</v>
          </cell>
          <cell r="AS890">
            <v>0</v>
          </cell>
          <cell r="AT890">
            <v>0</v>
          </cell>
          <cell r="AU890">
            <v>174.625</v>
          </cell>
          <cell r="AV890">
            <v>2846.86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3</v>
          </cell>
          <cell r="BD890">
            <v>47.14</v>
          </cell>
          <cell r="BE890">
            <v>3</v>
          </cell>
          <cell r="BF890">
            <v>47.14</v>
          </cell>
          <cell r="BG890">
            <v>0</v>
          </cell>
          <cell r="BH890">
            <v>0</v>
          </cell>
          <cell r="BI890">
            <v>1</v>
          </cell>
          <cell r="BJ890">
            <v>17.12</v>
          </cell>
          <cell r="BK890">
            <v>3.25</v>
          </cell>
          <cell r="BL890">
            <v>53.24</v>
          </cell>
          <cell r="BM890">
            <v>1</v>
          </cell>
          <cell r="BN890">
            <v>17.12</v>
          </cell>
          <cell r="BO890">
            <v>0.75</v>
          </cell>
          <cell r="BP890">
            <v>12.84</v>
          </cell>
          <cell r="BQ890">
            <v>0</v>
          </cell>
          <cell r="BR890">
            <v>0</v>
          </cell>
          <cell r="BS890">
            <v>6</v>
          </cell>
          <cell r="BT890">
            <v>100.32</v>
          </cell>
          <cell r="BU890">
            <v>7</v>
          </cell>
          <cell r="BV890">
            <v>112.28</v>
          </cell>
          <cell r="BW890">
            <v>0</v>
          </cell>
          <cell r="BX890">
            <v>0</v>
          </cell>
          <cell r="BY890">
            <v>0.625</v>
          </cell>
          <cell r="BZ890">
            <v>10.7</v>
          </cell>
          <cell r="CA890">
            <v>0</v>
          </cell>
          <cell r="CB890">
            <v>0</v>
          </cell>
          <cell r="CC890">
            <v>2</v>
          </cell>
          <cell r="CD890">
            <v>32.64</v>
          </cell>
          <cell r="CE890">
            <v>7</v>
          </cell>
          <cell r="CF890">
            <v>104.12</v>
          </cell>
          <cell r="CG890">
            <v>0</v>
          </cell>
          <cell r="CH890">
            <v>0</v>
          </cell>
          <cell r="CI890">
            <v>16.625</v>
          </cell>
          <cell r="CJ890">
            <v>259.74</v>
          </cell>
          <cell r="CK890">
            <v>22.625</v>
          </cell>
          <cell r="CL890">
            <v>360.06</v>
          </cell>
          <cell r="CO890">
            <v>0</v>
          </cell>
          <cell r="CP890">
            <v>0</v>
          </cell>
          <cell r="CQ890">
            <v>0</v>
          </cell>
          <cell r="CR890">
            <v>0</v>
          </cell>
          <cell r="CS890">
            <v>0</v>
          </cell>
          <cell r="CT890">
            <v>0</v>
          </cell>
          <cell r="CU890">
            <v>19</v>
          </cell>
          <cell r="CV890">
            <v>308.32</v>
          </cell>
          <cell r="CW890">
            <v>0</v>
          </cell>
          <cell r="CX890">
            <v>0</v>
          </cell>
          <cell r="CY890">
            <v>41</v>
          </cell>
          <cell r="CZ890">
            <v>701.92</v>
          </cell>
          <cell r="DA890">
            <v>2</v>
          </cell>
          <cell r="DB890">
            <v>34.24</v>
          </cell>
          <cell r="DC890">
            <v>1</v>
          </cell>
          <cell r="DD890">
            <v>17.12</v>
          </cell>
          <cell r="DE890">
            <v>44</v>
          </cell>
          <cell r="DF890">
            <v>753.28</v>
          </cell>
          <cell r="DG890">
            <v>0</v>
          </cell>
          <cell r="DH890">
            <v>0</v>
          </cell>
          <cell r="DI890">
            <v>0</v>
          </cell>
          <cell r="DJ890">
            <v>0</v>
          </cell>
          <cell r="DK890">
            <v>0</v>
          </cell>
          <cell r="DL890">
            <v>0</v>
          </cell>
          <cell r="DM890">
            <v>0</v>
          </cell>
          <cell r="DN890">
            <v>0</v>
          </cell>
          <cell r="DO890">
            <v>5</v>
          </cell>
          <cell r="DP890">
            <v>76.7</v>
          </cell>
          <cell r="DQ890">
            <v>10</v>
          </cell>
          <cell r="DR890">
            <v>163.13999999999999</v>
          </cell>
          <cell r="DS890">
            <v>4</v>
          </cell>
          <cell r="DT890">
            <v>68.48</v>
          </cell>
          <cell r="DU890">
            <v>19</v>
          </cell>
          <cell r="DV890">
            <v>308.32</v>
          </cell>
          <cell r="DW890">
            <v>174.625</v>
          </cell>
          <cell r="DX890">
            <v>2846.86</v>
          </cell>
          <cell r="DY890" t="str">
            <v/>
          </cell>
          <cell r="DZ890">
            <v>0</v>
          </cell>
          <cell r="EA890">
            <v>16.30270579813887</v>
          </cell>
        </row>
        <row r="891">
          <cell r="B891">
            <v>336329</v>
          </cell>
          <cell r="C891" t="str">
            <v>ხელ-ცი-დელფინი-თეთრი-23*25_300*8</v>
          </cell>
          <cell r="D891" t="str">
            <v>KOLI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O891">
            <v>0</v>
          </cell>
          <cell r="AP891">
            <v>0</v>
          </cell>
          <cell r="AS891">
            <v>0</v>
          </cell>
          <cell r="AT891">
            <v>0</v>
          </cell>
          <cell r="AU891">
            <v>11</v>
          </cell>
          <cell r="AV891">
            <v>211.68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2</v>
          </cell>
          <cell r="BD891">
            <v>36.06</v>
          </cell>
          <cell r="BE891">
            <v>2</v>
          </cell>
          <cell r="BF891">
            <v>36.06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O891">
            <v>0</v>
          </cell>
          <cell r="CP891">
            <v>0</v>
          </cell>
          <cell r="CQ891">
            <v>0</v>
          </cell>
          <cell r="CR891">
            <v>0</v>
          </cell>
          <cell r="CS891">
            <v>0</v>
          </cell>
          <cell r="CT891">
            <v>0</v>
          </cell>
          <cell r="CU891">
            <v>9</v>
          </cell>
          <cell r="CV891">
            <v>175.62</v>
          </cell>
          <cell r="CW891">
            <v>0</v>
          </cell>
          <cell r="CX891">
            <v>0</v>
          </cell>
          <cell r="CY891">
            <v>0</v>
          </cell>
          <cell r="CZ891">
            <v>0</v>
          </cell>
          <cell r="DA891">
            <v>0</v>
          </cell>
          <cell r="DB891">
            <v>0</v>
          </cell>
          <cell r="DC891">
            <v>0</v>
          </cell>
          <cell r="DD891">
            <v>0</v>
          </cell>
          <cell r="DE891">
            <v>0</v>
          </cell>
          <cell r="DF891">
            <v>0</v>
          </cell>
          <cell r="DG891">
            <v>0</v>
          </cell>
          <cell r="DH891">
            <v>0</v>
          </cell>
          <cell r="DI891">
            <v>0</v>
          </cell>
          <cell r="DJ891">
            <v>0</v>
          </cell>
          <cell r="DK891">
            <v>0</v>
          </cell>
          <cell r="DL891">
            <v>0</v>
          </cell>
          <cell r="DM891">
            <v>0</v>
          </cell>
          <cell r="DN891">
            <v>0</v>
          </cell>
          <cell r="DO891">
            <v>8</v>
          </cell>
          <cell r="DP891">
            <v>156.80000000000001</v>
          </cell>
          <cell r="DQ891">
            <v>1</v>
          </cell>
          <cell r="DR891">
            <v>18.82</v>
          </cell>
          <cell r="DS891">
            <v>0</v>
          </cell>
          <cell r="DT891">
            <v>0</v>
          </cell>
          <cell r="DU891">
            <v>9</v>
          </cell>
          <cell r="DV891">
            <v>175.62</v>
          </cell>
          <cell r="DW891">
            <v>11</v>
          </cell>
          <cell r="DX891">
            <v>211.68</v>
          </cell>
          <cell r="DY891" t="str">
            <v/>
          </cell>
          <cell r="DZ891">
            <v>0</v>
          </cell>
          <cell r="EA891">
            <v>19.243636363636366</v>
          </cell>
        </row>
        <row r="892">
          <cell r="B892">
            <v>75559</v>
          </cell>
          <cell r="C892" t="str">
            <v>SUN SALFET_25*23 CM_160*12</v>
          </cell>
          <cell r="D892" t="str">
            <v>KOLI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2</v>
          </cell>
          <cell r="AD892">
            <v>35.76</v>
          </cell>
          <cell r="AE892">
            <v>0</v>
          </cell>
          <cell r="AF892">
            <v>0</v>
          </cell>
          <cell r="AG892">
            <v>1</v>
          </cell>
          <cell r="AH892">
            <v>17.88</v>
          </cell>
          <cell r="AI892">
            <v>4</v>
          </cell>
          <cell r="AJ892">
            <v>67.8</v>
          </cell>
          <cell r="AK892">
            <v>2</v>
          </cell>
          <cell r="AL892">
            <v>34.92</v>
          </cell>
          <cell r="AO892">
            <v>9</v>
          </cell>
          <cell r="AP892">
            <v>156.36000000000001</v>
          </cell>
          <cell r="AS892">
            <v>0</v>
          </cell>
          <cell r="AT892">
            <v>0</v>
          </cell>
          <cell r="AU892">
            <v>163</v>
          </cell>
          <cell r="AV892">
            <v>2877.73</v>
          </cell>
          <cell r="AW892">
            <v>0</v>
          </cell>
          <cell r="AX892">
            <v>0</v>
          </cell>
          <cell r="AY892">
            <v>1</v>
          </cell>
          <cell r="AZ892">
            <v>17.88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1</v>
          </cell>
          <cell r="BF892">
            <v>17.88</v>
          </cell>
          <cell r="BG892">
            <v>1</v>
          </cell>
          <cell r="BH892">
            <v>17.88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1</v>
          </cell>
          <cell r="BP892">
            <v>17.88</v>
          </cell>
          <cell r="BQ892">
            <v>0</v>
          </cell>
          <cell r="BR892">
            <v>0</v>
          </cell>
          <cell r="BS892">
            <v>2</v>
          </cell>
          <cell r="BT892">
            <v>35.76</v>
          </cell>
          <cell r="BU892">
            <v>4</v>
          </cell>
          <cell r="BV892">
            <v>68.16</v>
          </cell>
          <cell r="BW892">
            <v>0</v>
          </cell>
          <cell r="BX892">
            <v>0</v>
          </cell>
          <cell r="BY892">
            <v>2</v>
          </cell>
          <cell r="BZ892">
            <v>32.04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7</v>
          </cell>
          <cell r="CF892">
            <v>109.4</v>
          </cell>
          <cell r="CG892">
            <v>0</v>
          </cell>
          <cell r="CH892">
            <v>0</v>
          </cell>
          <cell r="CI892">
            <v>13</v>
          </cell>
          <cell r="CJ892">
            <v>209.6</v>
          </cell>
          <cell r="CK892">
            <v>15</v>
          </cell>
          <cell r="CL892">
            <v>245.35999999999999</v>
          </cell>
          <cell r="CO892">
            <v>0</v>
          </cell>
          <cell r="CP892">
            <v>0</v>
          </cell>
          <cell r="CQ892">
            <v>0</v>
          </cell>
          <cell r="CR892">
            <v>0</v>
          </cell>
          <cell r="CS892">
            <v>0</v>
          </cell>
          <cell r="CT892">
            <v>0</v>
          </cell>
          <cell r="CU892">
            <v>18</v>
          </cell>
          <cell r="CV892">
            <v>312.52999999999997</v>
          </cell>
          <cell r="CW892">
            <v>0</v>
          </cell>
          <cell r="CX892">
            <v>0</v>
          </cell>
          <cell r="CY892">
            <v>117</v>
          </cell>
          <cell r="CZ892">
            <v>2091.96</v>
          </cell>
          <cell r="DA892">
            <v>3</v>
          </cell>
          <cell r="DB892">
            <v>53.64</v>
          </cell>
          <cell r="DC892">
            <v>0</v>
          </cell>
          <cell r="DD892">
            <v>0</v>
          </cell>
          <cell r="DE892">
            <v>120</v>
          </cell>
          <cell r="DF892">
            <v>2145.6</v>
          </cell>
          <cell r="DG892">
            <v>0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  <cell r="DL892">
            <v>0</v>
          </cell>
          <cell r="DM892">
            <v>0</v>
          </cell>
          <cell r="DN892">
            <v>0</v>
          </cell>
          <cell r="DO892">
            <v>10</v>
          </cell>
          <cell r="DP892">
            <v>169.49</v>
          </cell>
          <cell r="DQ892">
            <v>1</v>
          </cell>
          <cell r="DR892">
            <v>17.88</v>
          </cell>
          <cell r="DS892">
            <v>7</v>
          </cell>
          <cell r="DT892">
            <v>125.16</v>
          </cell>
          <cell r="DU892">
            <v>18</v>
          </cell>
          <cell r="DV892">
            <v>312.52999999999997</v>
          </cell>
          <cell r="DW892">
            <v>163</v>
          </cell>
          <cell r="DX892">
            <v>2877.7300000000005</v>
          </cell>
          <cell r="DY892" t="str">
            <v/>
          </cell>
          <cell r="DZ892">
            <v>0</v>
          </cell>
          <cell r="EA892">
            <v>17.654785276073621</v>
          </cell>
        </row>
        <row r="893">
          <cell r="B893">
            <v>279088</v>
          </cell>
          <cell r="C893" t="str">
            <v>ხელ-ცი-ჩვენი სუფრა-25*23_200*12</v>
          </cell>
          <cell r="D893" t="str">
            <v>KOLI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O893">
            <v>0</v>
          </cell>
          <cell r="AP893">
            <v>0</v>
          </cell>
          <cell r="AS893">
            <v>0</v>
          </cell>
          <cell r="AT893">
            <v>0</v>
          </cell>
          <cell r="AU893">
            <v>28</v>
          </cell>
          <cell r="AV893">
            <v>571.61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6</v>
          </cell>
          <cell r="BD893">
            <v>119.35</v>
          </cell>
          <cell r="BE893">
            <v>6</v>
          </cell>
          <cell r="BF893">
            <v>119.35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1</v>
          </cell>
          <cell r="BN893">
            <v>22.2</v>
          </cell>
          <cell r="BO893">
            <v>3</v>
          </cell>
          <cell r="BP893">
            <v>64.680000000000007</v>
          </cell>
          <cell r="BQ893">
            <v>0</v>
          </cell>
          <cell r="BR893">
            <v>0</v>
          </cell>
          <cell r="BS893">
            <v>4</v>
          </cell>
          <cell r="BT893">
            <v>86.88</v>
          </cell>
          <cell r="BU893">
            <v>2</v>
          </cell>
          <cell r="BV893">
            <v>42.24</v>
          </cell>
          <cell r="BW893">
            <v>3</v>
          </cell>
          <cell r="BX893">
            <v>61.47</v>
          </cell>
          <cell r="BY893">
            <v>2</v>
          </cell>
          <cell r="BZ893">
            <v>39.81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7</v>
          </cell>
          <cell r="CF893">
            <v>133.06</v>
          </cell>
          <cell r="CG893">
            <v>0</v>
          </cell>
          <cell r="CH893">
            <v>0</v>
          </cell>
          <cell r="CI893">
            <v>14</v>
          </cell>
          <cell r="CJ893">
            <v>276.58</v>
          </cell>
          <cell r="CK893">
            <v>18</v>
          </cell>
          <cell r="CL893">
            <v>363.46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2</v>
          </cell>
          <cell r="CV893">
            <v>44.4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2</v>
          </cell>
          <cell r="DB893">
            <v>44.4</v>
          </cell>
          <cell r="DC893">
            <v>0</v>
          </cell>
          <cell r="DD893">
            <v>0</v>
          </cell>
          <cell r="DE893">
            <v>2</v>
          </cell>
          <cell r="DF893">
            <v>44.4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0</v>
          </cell>
          <cell r="DN893">
            <v>0</v>
          </cell>
          <cell r="DO893">
            <v>0</v>
          </cell>
          <cell r="DP893">
            <v>0</v>
          </cell>
          <cell r="DQ893">
            <v>1</v>
          </cell>
          <cell r="DR893">
            <v>22.2</v>
          </cell>
          <cell r="DS893">
            <v>1</v>
          </cell>
          <cell r="DT893">
            <v>22.2</v>
          </cell>
          <cell r="DU893">
            <v>2</v>
          </cell>
          <cell r="DV893">
            <v>44.4</v>
          </cell>
          <cell r="DW893">
            <v>28</v>
          </cell>
          <cell r="DX893">
            <v>571.61</v>
          </cell>
          <cell r="DY893" t="str">
            <v/>
          </cell>
          <cell r="DZ893">
            <v>0</v>
          </cell>
          <cell r="EA893">
            <v>20.414642857142859</v>
          </cell>
        </row>
        <row r="894">
          <cell r="B894">
            <v>17819</v>
          </cell>
          <cell r="C894" t="str">
            <v>MARI PECETE 25*27 CM 100*24</v>
          </cell>
          <cell r="D894" t="str">
            <v>KOLI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O894">
            <v>0</v>
          </cell>
          <cell r="AP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0</v>
          </cell>
          <cell r="DN894">
            <v>0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0</v>
          </cell>
          <cell r="DT894">
            <v>0</v>
          </cell>
          <cell r="DU894">
            <v>0</v>
          </cell>
          <cell r="DV894">
            <v>0</v>
          </cell>
          <cell r="DW894">
            <v>0</v>
          </cell>
          <cell r="DX894">
            <v>0</v>
          </cell>
          <cell r="DY894" t="str">
            <v/>
          </cell>
          <cell r="DZ894" t="str">
            <v>pasiv</v>
          </cell>
          <cell r="EA894" t="e">
            <v>#DIV/0!</v>
          </cell>
        </row>
        <row r="895">
          <cell r="B895">
            <v>350201</v>
          </cell>
          <cell r="C895" t="str">
            <v>ხელ-ცი-დელფინი-თეთრი-23*25_105*16</v>
          </cell>
          <cell r="D895" t="str">
            <v>KOLI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O895">
            <v>0</v>
          </cell>
          <cell r="AP895">
            <v>0</v>
          </cell>
          <cell r="AS895">
            <v>0</v>
          </cell>
          <cell r="AT895">
            <v>0</v>
          </cell>
          <cell r="AU895">
            <v>14</v>
          </cell>
          <cell r="AV895">
            <v>223.72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8</v>
          </cell>
          <cell r="BV895">
            <v>128.6</v>
          </cell>
          <cell r="BW895">
            <v>1</v>
          </cell>
          <cell r="BX895">
            <v>15.83</v>
          </cell>
          <cell r="BY895">
            <v>1</v>
          </cell>
          <cell r="BZ895">
            <v>14.69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1</v>
          </cell>
          <cell r="CF895">
            <v>14.69</v>
          </cell>
          <cell r="CG895">
            <v>0</v>
          </cell>
          <cell r="CH895">
            <v>0</v>
          </cell>
          <cell r="CI895">
            <v>11</v>
          </cell>
          <cell r="CJ895">
            <v>173.81</v>
          </cell>
          <cell r="CK895">
            <v>11</v>
          </cell>
          <cell r="CL895">
            <v>173.81</v>
          </cell>
          <cell r="CO895">
            <v>0</v>
          </cell>
          <cell r="CP895">
            <v>0</v>
          </cell>
          <cell r="CQ895">
            <v>0</v>
          </cell>
          <cell r="CR895">
            <v>0</v>
          </cell>
          <cell r="CS895">
            <v>0</v>
          </cell>
          <cell r="CT895">
            <v>0</v>
          </cell>
          <cell r="CU895">
            <v>1</v>
          </cell>
          <cell r="CV895">
            <v>15.67</v>
          </cell>
          <cell r="CW895">
            <v>0</v>
          </cell>
          <cell r="CX895">
            <v>0</v>
          </cell>
          <cell r="CY895">
            <v>0</v>
          </cell>
          <cell r="CZ895">
            <v>0</v>
          </cell>
          <cell r="DA895">
            <v>2</v>
          </cell>
          <cell r="DB895">
            <v>34.24</v>
          </cell>
          <cell r="DC895">
            <v>0</v>
          </cell>
          <cell r="DD895">
            <v>0</v>
          </cell>
          <cell r="DE895">
            <v>2</v>
          </cell>
          <cell r="DF895">
            <v>34.24</v>
          </cell>
          <cell r="DG895">
            <v>0</v>
          </cell>
          <cell r="DH895">
            <v>0</v>
          </cell>
          <cell r="DI895">
            <v>0</v>
          </cell>
          <cell r="DJ895">
            <v>0</v>
          </cell>
          <cell r="DK895">
            <v>0</v>
          </cell>
          <cell r="DL895">
            <v>0</v>
          </cell>
          <cell r="DM895">
            <v>0</v>
          </cell>
          <cell r="DN895">
            <v>0</v>
          </cell>
          <cell r="DO895">
            <v>0</v>
          </cell>
          <cell r="DP895">
            <v>0</v>
          </cell>
          <cell r="DQ895">
            <v>1</v>
          </cell>
          <cell r="DR895">
            <v>15.67</v>
          </cell>
          <cell r="DS895">
            <v>0</v>
          </cell>
          <cell r="DT895">
            <v>0</v>
          </cell>
          <cell r="DU895">
            <v>1</v>
          </cell>
          <cell r="DV895">
            <v>15.67</v>
          </cell>
          <cell r="DW895">
            <v>14</v>
          </cell>
          <cell r="DX895">
            <v>223.72</v>
          </cell>
          <cell r="DY895" t="str">
            <v/>
          </cell>
          <cell r="DZ895">
            <v>0</v>
          </cell>
          <cell r="EA895">
            <v>15.98</v>
          </cell>
        </row>
        <row r="896">
          <cell r="B896">
            <v>352428</v>
          </cell>
          <cell r="C896" t="str">
            <v>ხელ-ცი-დელფინი-თეთრი-23*25_105*16_15ც+1ც</v>
          </cell>
          <cell r="D896" t="str">
            <v>KOLI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O896">
            <v>0</v>
          </cell>
          <cell r="AP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S896">
            <v>0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0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0</v>
          </cell>
          <cell r="DG896">
            <v>0</v>
          </cell>
          <cell r="DH896">
            <v>0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0</v>
          </cell>
          <cell r="DT896">
            <v>0</v>
          </cell>
          <cell r="DU896">
            <v>0</v>
          </cell>
          <cell r="DV896">
            <v>0</v>
          </cell>
          <cell r="DW896">
            <v>0</v>
          </cell>
          <cell r="DX896">
            <v>0</v>
          </cell>
          <cell r="DY896" t="str">
            <v/>
          </cell>
          <cell r="DZ896" t="str">
            <v>pasiv</v>
          </cell>
          <cell r="EA896" t="e">
            <v>#DIV/0!</v>
          </cell>
        </row>
        <row r="897">
          <cell r="B897">
            <v>96744</v>
          </cell>
          <cell r="C897" t="str">
            <v>MARI SALFET_23*25 CM_135*16_TEK KAT</v>
          </cell>
          <cell r="D897" t="str">
            <v>KOLI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O897">
            <v>0</v>
          </cell>
          <cell r="AP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O897">
            <v>0</v>
          </cell>
          <cell r="CP897">
            <v>0</v>
          </cell>
          <cell r="CQ897">
            <v>0</v>
          </cell>
          <cell r="CR897">
            <v>0</v>
          </cell>
          <cell r="CS897">
            <v>0</v>
          </cell>
          <cell r="CT897">
            <v>0</v>
          </cell>
          <cell r="CU897">
            <v>0</v>
          </cell>
          <cell r="CV897">
            <v>0</v>
          </cell>
          <cell r="CW897">
            <v>0</v>
          </cell>
          <cell r="CX897">
            <v>0</v>
          </cell>
          <cell r="CY897">
            <v>0</v>
          </cell>
          <cell r="CZ897">
            <v>0</v>
          </cell>
          <cell r="DA897">
            <v>0</v>
          </cell>
          <cell r="DB897">
            <v>0</v>
          </cell>
          <cell r="DC897">
            <v>0</v>
          </cell>
          <cell r="DD897">
            <v>0</v>
          </cell>
          <cell r="DE897">
            <v>0</v>
          </cell>
          <cell r="DF897">
            <v>0</v>
          </cell>
          <cell r="DG897">
            <v>0</v>
          </cell>
          <cell r="DH897">
            <v>0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0</v>
          </cell>
          <cell r="DN897">
            <v>0</v>
          </cell>
          <cell r="DO897">
            <v>0</v>
          </cell>
          <cell r="DP897">
            <v>0</v>
          </cell>
          <cell r="DQ897">
            <v>0</v>
          </cell>
          <cell r="DR897">
            <v>0</v>
          </cell>
          <cell r="DS897">
            <v>0</v>
          </cell>
          <cell r="DT897">
            <v>0</v>
          </cell>
          <cell r="DU897">
            <v>0</v>
          </cell>
          <cell r="DV897">
            <v>0</v>
          </cell>
          <cell r="DW897">
            <v>0</v>
          </cell>
          <cell r="DX897">
            <v>0</v>
          </cell>
          <cell r="DY897" t="str">
            <v/>
          </cell>
          <cell r="DZ897" t="str">
            <v>pasiv</v>
          </cell>
          <cell r="EA897" t="e">
            <v>#DIV/0!</v>
          </cell>
        </row>
        <row r="898">
          <cell r="B898">
            <v>180121</v>
          </cell>
          <cell r="C898" t="str">
            <v>SUN SUPER SOFT SALFET_23*25CM_100*24</v>
          </cell>
          <cell r="D898" t="str">
            <v>KOLI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O898">
            <v>0</v>
          </cell>
          <cell r="AP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O898">
            <v>0</v>
          </cell>
          <cell r="CP898">
            <v>0</v>
          </cell>
          <cell r="CQ898">
            <v>0</v>
          </cell>
          <cell r="CR898">
            <v>0</v>
          </cell>
          <cell r="CS898">
            <v>0</v>
          </cell>
          <cell r="CT898">
            <v>0</v>
          </cell>
          <cell r="CU898">
            <v>0</v>
          </cell>
          <cell r="CV898">
            <v>0</v>
          </cell>
          <cell r="CW898">
            <v>0</v>
          </cell>
          <cell r="CX898">
            <v>0</v>
          </cell>
          <cell r="CY898">
            <v>0</v>
          </cell>
          <cell r="CZ898">
            <v>0</v>
          </cell>
          <cell r="DA898">
            <v>0</v>
          </cell>
          <cell r="DB898">
            <v>0</v>
          </cell>
          <cell r="DC898">
            <v>0</v>
          </cell>
          <cell r="DD898">
            <v>0</v>
          </cell>
          <cell r="DE898">
            <v>0</v>
          </cell>
          <cell r="DF898">
            <v>0</v>
          </cell>
          <cell r="DG898">
            <v>0</v>
          </cell>
          <cell r="DH898">
            <v>0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0</v>
          </cell>
          <cell r="DN898">
            <v>0</v>
          </cell>
          <cell r="DO898">
            <v>0</v>
          </cell>
          <cell r="DP898">
            <v>0</v>
          </cell>
          <cell r="DQ898">
            <v>0</v>
          </cell>
          <cell r="DR898">
            <v>0</v>
          </cell>
          <cell r="DS898">
            <v>0</v>
          </cell>
          <cell r="DT898">
            <v>0</v>
          </cell>
          <cell r="DU898">
            <v>0</v>
          </cell>
          <cell r="DV898">
            <v>0</v>
          </cell>
          <cell r="DW898">
            <v>0</v>
          </cell>
          <cell r="DX898">
            <v>0</v>
          </cell>
          <cell r="DY898" t="str">
            <v/>
          </cell>
          <cell r="DZ898" t="str">
            <v>pasiv</v>
          </cell>
          <cell r="EA898" t="e">
            <v>#DIV/0!</v>
          </cell>
        </row>
        <row r="899">
          <cell r="B899">
            <v>191302</v>
          </cell>
          <cell r="C899" t="str">
            <v>CHVENI SUPRA SALFET_23*25 CM_120*16</v>
          </cell>
          <cell r="D899" t="str">
            <v>KOLI</v>
          </cell>
          <cell r="E899">
            <v>10</v>
          </cell>
          <cell r="F899">
            <v>168.96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O899">
            <v>10</v>
          </cell>
          <cell r="P899">
            <v>168.96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O899">
            <v>0</v>
          </cell>
          <cell r="AP899">
            <v>0</v>
          </cell>
          <cell r="AS899">
            <v>0</v>
          </cell>
          <cell r="AT899">
            <v>0</v>
          </cell>
          <cell r="AU899">
            <v>24</v>
          </cell>
          <cell r="AV899">
            <v>416.71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1</v>
          </cell>
          <cell r="BL899">
            <v>18.559999999999999</v>
          </cell>
          <cell r="BM899">
            <v>0</v>
          </cell>
          <cell r="BN899">
            <v>0</v>
          </cell>
          <cell r="BO899">
            <v>2</v>
          </cell>
          <cell r="BP899">
            <v>37.119999999999997</v>
          </cell>
          <cell r="BQ899">
            <v>0</v>
          </cell>
          <cell r="BR899">
            <v>0</v>
          </cell>
          <cell r="BS899">
            <v>3</v>
          </cell>
          <cell r="BT899">
            <v>55.68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2</v>
          </cell>
          <cell r="BZ899">
            <v>33.090000000000003</v>
          </cell>
          <cell r="CA899">
            <v>1</v>
          </cell>
          <cell r="CB899">
            <v>18.559999999999999</v>
          </cell>
          <cell r="CC899">
            <v>0</v>
          </cell>
          <cell r="CD899">
            <v>0</v>
          </cell>
          <cell r="CE899">
            <v>4</v>
          </cell>
          <cell r="CF899">
            <v>66.180000000000007</v>
          </cell>
          <cell r="CG899">
            <v>0</v>
          </cell>
          <cell r="CH899">
            <v>0</v>
          </cell>
          <cell r="CI899">
            <v>7</v>
          </cell>
          <cell r="CJ899">
            <v>117.83</v>
          </cell>
          <cell r="CK899">
            <v>10</v>
          </cell>
          <cell r="CL899">
            <v>173.51</v>
          </cell>
          <cell r="CO899">
            <v>0</v>
          </cell>
          <cell r="CP899">
            <v>0</v>
          </cell>
          <cell r="CQ899">
            <v>0</v>
          </cell>
          <cell r="CR899">
            <v>0</v>
          </cell>
          <cell r="CS899">
            <v>0</v>
          </cell>
          <cell r="CT899">
            <v>0</v>
          </cell>
          <cell r="CU899">
            <v>2</v>
          </cell>
          <cell r="CV899">
            <v>37.119999999999997</v>
          </cell>
          <cell r="CW899">
            <v>0</v>
          </cell>
          <cell r="CX899">
            <v>0</v>
          </cell>
          <cell r="CY899">
            <v>0</v>
          </cell>
          <cell r="CZ899">
            <v>0</v>
          </cell>
          <cell r="DA899">
            <v>2</v>
          </cell>
          <cell r="DB899">
            <v>37.119999999999997</v>
          </cell>
          <cell r="DC899">
            <v>0</v>
          </cell>
          <cell r="DD899">
            <v>0</v>
          </cell>
          <cell r="DE899">
            <v>2</v>
          </cell>
          <cell r="DF899">
            <v>37.119999999999997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  <cell r="DL899">
            <v>0</v>
          </cell>
          <cell r="DM899">
            <v>0</v>
          </cell>
          <cell r="DN899">
            <v>0</v>
          </cell>
          <cell r="DO899">
            <v>0</v>
          </cell>
          <cell r="DP899">
            <v>0</v>
          </cell>
          <cell r="DQ899">
            <v>0</v>
          </cell>
          <cell r="DR899">
            <v>0</v>
          </cell>
          <cell r="DS899">
            <v>2</v>
          </cell>
          <cell r="DT899">
            <v>37.119999999999997</v>
          </cell>
          <cell r="DU899">
            <v>2</v>
          </cell>
          <cell r="DV899">
            <v>37.119999999999997</v>
          </cell>
          <cell r="DW899">
            <v>24</v>
          </cell>
          <cell r="DX899">
            <v>416.71000000000004</v>
          </cell>
          <cell r="DY899" t="str">
            <v/>
          </cell>
          <cell r="DZ899">
            <v>0</v>
          </cell>
          <cell r="EA899">
            <v>17.362916666666667</v>
          </cell>
        </row>
        <row r="900">
          <cell r="B900">
            <v>181164</v>
          </cell>
          <cell r="C900" t="str">
            <v>SHAURMA BALU SALFET_23*25CM_80*24</v>
          </cell>
          <cell r="D900" t="str">
            <v>KOLI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O900">
            <v>0</v>
          </cell>
          <cell r="AP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S900">
            <v>0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0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0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  <cell r="DL900">
            <v>0</v>
          </cell>
          <cell r="DM900">
            <v>0</v>
          </cell>
          <cell r="DN900">
            <v>0</v>
          </cell>
          <cell r="DO900">
            <v>0</v>
          </cell>
          <cell r="DP900">
            <v>0</v>
          </cell>
          <cell r="DQ900">
            <v>0</v>
          </cell>
          <cell r="DR900">
            <v>0</v>
          </cell>
          <cell r="DS900">
            <v>0</v>
          </cell>
          <cell r="DT900">
            <v>0</v>
          </cell>
          <cell r="DU900">
            <v>0</v>
          </cell>
          <cell r="DV900">
            <v>0</v>
          </cell>
          <cell r="DW900">
            <v>0</v>
          </cell>
          <cell r="DX900">
            <v>0</v>
          </cell>
          <cell r="DY900" t="str">
            <v/>
          </cell>
          <cell r="DZ900" t="str">
            <v>pasiv</v>
          </cell>
          <cell r="EA900" t="e">
            <v>#DIV/0!</v>
          </cell>
        </row>
        <row r="901">
          <cell r="B901">
            <v>325850</v>
          </cell>
          <cell r="C901" t="str">
            <v>ხელ-ცი-ევიმი-თეთრი-25სმ_160*12</v>
          </cell>
          <cell r="D901" t="str">
            <v>KOLI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O901">
            <v>0</v>
          </cell>
          <cell r="AP901">
            <v>0</v>
          </cell>
          <cell r="AS901">
            <v>0</v>
          </cell>
          <cell r="AT901">
            <v>0</v>
          </cell>
          <cell r="AU901">
            <v>1</v>
          </cell>
          <cell r="AV901">
            <v>16.02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1</v>
          </cell>
          <cell r="CF901">
            <v>16.02</v>
          </cell>
          <cell r="CG901">
            <v>0</v>
          </cell>
          <cell r="CH901">
            <v>0</v>
          </cell>
          <cell r="CI901">
            <v>1</v>
          </cell>
          <cell r="CJ901">
            <v>16.02</v>
          </cell>
          <cell r="CK901">
            <v>1</v>
          </cell>
          <cell r="CL901">
            <v>16.02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0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0</v>
          </cell>
          <cell r="DT901">
            <v>0</v>
          </cell>
          <cell r="DU901">
            <v>0</v>
          </cell>
          <cell r="DV901">
            <v>0</v>
          </cell>
          <cell r="DW901">
            <v>1</v>
          </cell>
          <cell r="DX901">
            <v>16.02</v>
          </cell>
          <cell r="DY901" t="str">
            <v/>
          </cell>
          <cell r="DZ901">
            <v>0</v>
          </cell>
          <cell r="EA901">
            <v>16.02</v>
          </cell>
        </row>
        <row r="902">
          <cell r="B902">
            <v>325851</v>
          </cell>
          <cell r="C902" t="str">
            <v>ხელ-ცი-ევიმი-თეთრი-25სმ–240*8</v>
          </cell>
          <cell r="D902" t="str">
            <v>KOLI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O902">
            <v>0</v>
          </cell>
          <cell r="AP902">
            <v>0</v>
          </cell>
          <cell r="AS902">
            <v>0</v>
          </cell>
          <cell r="AT902">
            <v>0</v>
          </cell>
          <cell r="AU902">
            <v>15</v>
          </cell>
          <cell r="AV902">
            <v>234.89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7</v>
          </cell>
          <cell r="BD902">
            <v>108.22</v>
          </cell>
          <cell r="BE902">
            <v>7</v>
          </cell>
          <cell r="BF902">
            <v>108.22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3</v>
          </cell>
          <cell r="CF902">
            <v>46.03</v>
          </cell>
          <cell r="CG902">
            <v>0</v>
          </cell>
          <cell r="CH902">
            <v>0</v>
          </cell>
          <cell r="CI902">
            <v>3</v>
          </cell>
          <cell r="CJ902">
            <v>46.03</v>
          </cell>
          <cell r="CK902">
            <v>3</v>
          </cell>
          <cell r="CL902">
            <v>46.03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S902">
            <v>0</v>
          </cell>
          <cell r="CT902">
            <v>0</v>
          </cell>
          <cell r="CU902">
            <v>5</v>
          </cell>
          <cell r="CV902">
            <v>80.64</v>
          </cell>
          <cell r="CW902">
            <v>0</v>
          </cell>
          <cell r="CX902">
            <v>0</v>
          </cell>
          <cell r="CY902">
            <v>0</v>
          </cell>
          <cell r="CZ902">
            <v>0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0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  <cell r="DL902">
            <v>0</v>
          </cell>
          <cell r="DM902">
            <v>0</v>
          </cell>
          <cell r="DN902">
            <v>0</v>
          </cell>
          <cell r="DO902">
            <v>0</v>
          </cell>
          <cell r="DP902">
            <v>0</v>
          </cell>
          <cell r="DQ902">
            <v>5</v>
          </cell>
          <cell r="DR902">
            <v>80.64</v>
          </cell>
          <cell r="DS902">
            <v>0</v>
          </cell>
          <cell r="DT902">
            <v>0</v>
          </cell>
          <cell r="DU902">
            <v>5</v>
          </cell>
          <cell r="DV902">
            <v>80.64</v>
          </cell>
          <cell r="DW902">
            <v>15</v>
          </cell>
          <cell r="DX902">
            <v>234.89</v>
          </cell>
          <cell r="DY902" t="str">
            <v/>
          </cell>
          <cell r="DZ902">
            <v>0</v>
          </cell>
          <cell r="EA902">
            <v>15.659333333333333</v>
          </cell>
        </row>
        <row r="903">
          <cell r="A903">
            <v>22</v>
          </cell>
          <cell r="C903" t="str">
            <v>25 LIK PECETE TOPLAM</v>
          </cell>
          <cell r="D903" t="str">
            <v>KOLI</v>
          </cell>
          <cell r="E903">
            <v>36</v>
          </cell>
          <cell r="F903">
            <v>596.62</v>
          </cell>
          <cell r="G903">
            <v>36</v>
          </cell>
          <cell r="H903">
            <v>577.23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O903">
            <v>72</v>
          </cell>
          <cell r="P903">
            <v>1173.8500000000001</v>
          </cell>
          <cell r="Q903">
            <v>15</v>
          </cell>
          <cell r="R903">
            <v>237.45</v>
          </cell>
          <cell r="S903">
            <v>10</v>
          </cell>
          <cell r="T903">
            <v>180.3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25</v>
          </cell>
          <cell r="Z903">
            <v>417.75</v>
          </cell>
          <cell r="AA903">
            <v>0</v>
          </cell>
          <cell r="AB903">
            <v>0</v>
          </cell>
          <cell r="AC903">
            <v>6</v>
          </cell>
          <cell r="AD903">
            <v>102.63999999999999</v>
          </cell>
          <cell r="AE903">
            <v>0</v>
          </cell>
          <cell r="AF903">
            <v>0</v>
          </cell>
          <cell r="AG903">
            <v>4</v>
          </cell>
          <cell r="AH903">
            <v>76.11999999999999</v>
          </cell>
          <cell r="AI903">
            <v>8</v>
          </cell>
          <cell r="AJ903">
            <v>132.72</v>
          </cell>
          <cell r="AK903">
            <v>7</v>
          </cell>
          <cell r="AL903">
            <v>119.72</v>
          </cell>
          <cell r="AO903">
            <v>25</v>
          </cell>
          <cell r="AP903">
            <v>431.20000000000005</v>
          </cell>
          <cell r="AS903">
            <v>0</v>
          </cell>
          <cell r="AT903">
            <v>0</v>
          </cell>
          <cell r="AU903">
            <v>697.5</v>
          </cell>
          <cell r="AV903">
            <v>12533.359999999999</v>
          </cell>
          <cell r="AW903">
            <v>0</v>
          </cell>
          <cell r="AX903">
            <v>0</v>
          </cell>
          <cell r="AY903">
            <v>1</v>
          </cell>
          <cell r="AZ903">
            <v>17.88</v>
          </cell>
          <cell r="BA903">
            <v>0</v>
          </cell>
          <cell r="BB903">
            <v>0</v>
          </cell>
          <cell r="BC903">
            <v>28</v>
          </cell>
          <cell r="BD903">
            <v>493.05000000000007</v>
          </cell>
          <cell r="BE903">
            <v>29</v>
          </cell>
          <cell r="BF903">
            <v>510.93000000000006</v>
          </cell>
          <cell r="BG903">
            <v>1</v>
          </cell>
          <cell r="BH903">
            <v>17.88</v>
          </cell>
          <cell r="BI903">
            <v>1</v>
          </cell>
          <cell r="BJ903">
            <v>17.12</v>
          </cell>
          <cell r="BK903">
            <v>6.25</v>
          </cell>
          <cell r="BL903">
            <v>110.01</v>
          </cell>
          <cell r="BM903">
            <v>5</v>
          </cell>
          <cell r="BN903">
            <v>97.13000000000001</v>
          </cell>
          <cell r="BO903">
            <v>120.125</v>
          </cell>
          <cell r="BP903">
            <v>2338.5300000000002</v>
          </cell>
          <cell r="BQ903">
            <v>0</v>
          </cell>
          <cell r="BR903">
            <v>0</v>
          </cell>
          <cell r="BS903">
            <v>133.375</v>
          </cell>
          <cell r="BT903">
            <v>2580.6700000000005</v>
          </cell>
          <cell r="BU903">
            <v>26</v>
          </cell>
          <cell r="BV903">
            <v>448.69000000000005</v>
          </cell>
          <cell r="BW903">
            <v>5</v>
          </cell>
          <cell r="BX903">
            <v>96.899999999999991</v>
          </cell>
          <cell r="BY903">
            <v>9.875</v>
          </cell>
          <cell r="BZ903">
            <v>172.32</v>
          </cell>
          <cell r="CA903">
            <v>1.25</v>
          </cell>
          <cell r="CB903">
            <v>23.7</v>
          </cell>
          <cell r="CC903">
            <v>5</v>
          </cell>
          <cell r="CD903">
            <v>91.44</v>
          </cell>
          <cell r="CE903">
            <v>40</v>
          </cell>
          <cell r="CF903">
            <v>679.35000000000014</v>
          </cell>
          <cell r="CG903">
            <v>40</v>
          </cell>
          <cell r="CH903">
            <v>724.42</v>
          </cell>
          <cell r="CI903">
            <v>127.125</v>
          </cell>
          <cell r="CJ903">
            <v>2236.8200000000002</v>
          </cell>
          <cell r="CK903">
            <v>260.5</v>
          </cell>
          <cell r="CL903">
            <v>4817.4900000000007</v>
          </cell>
          <cell r="CO903">
            <v>0</v>
          </cell>
          <cell r="CP903">
            <v>0</v>
          </cell>
          <cell r="CQ903">
            <v>0</v>
          </cell>
          <cell r="CR903">
            <v>0</v>
          </cell>
          <cell r="CS903">
            <v>0</v>
          </cell>
          <cell r="CT903">
            <v>0</v>
          </cell>
          <cell r="CU903">
            <v>73</v>
          </cell>
          <cell r="CV903">
            <v>1294.3</v>
          </cell>
          <cell r="CW903">
            <v>0</v>
          </cell>
          <cell r="CX903">
            <v>0</v>
          </cell>
          <cell r="CY903">
            <v>199</v>
          </cell>
          <cell r="CZ903">
            <v>3628.6800000000003</v>
          </cell>
          <cell r="DA903">
            <v>11</v>
          </cell>
          <cell r="DB903">
            <v>203.64000000000001</v>
          </cell>
          <cell r="DC903">
            <v>2</v>
          </cell>
          <cell r="DD903">
            <v>36.32</v>
          </cell>
          <cell r="DE903">
            <v>212</v>
          </cell>
          <cell r="DF903">
            <v>3868.64</v>
          </cell>
          <cell r="DG903">
            <v>1</v>
          </cell>
          <cell r="DH903">
            <v>19.2</v>
          </cell>
          <cell r="DI903">
            <v>0</v>
          </cell>
          <cell r="DJ903">
            <v>0</v>
          </cell>
          <cell r="DK903">
            <v>0</v>
          </cell>
          <cell r="DL903">
            <v>0</v>
          </cell>
          <cell r="DM903">
            <v>1</v>
          </cell>
          <cell r="DN903">
            <v>19.2</v>
          </cell>
          <cell r="DO903">
            <v>35</v>
          </cell>
          <cell r="DP903">
            <v>626.99</v>
          </cell>
          <cell r="DQ903">
            <v>19</v>
          </cell>
          <cell r="DR903">
            <v>318.34999999999997</v>
          </cell>
          <cell r="DS903">
            <v>19</v>
          </cell>
          <cell r="DT903">
            <v>348.96</v>
          </cell>
          <cell r="DU903">
            <v>73</v>
          </cell>
          <cell r="DV903">
            <v>1294.3</v>
          </cell>
          <cell r="DW903">
            <v>697.5</v>
          </cell>
          <cell r="DX903">
            <v>12533.360000000004</v>
          </cell>
          <cell r="DY903" t="str">
            <v>Hedef</v>
          </cell>
          <cell r="DZ903">
            <v>0</v>
          </cell>
          <cell r="EA903">
            <v>17.96897491039427</v>
          </cell>
        </row>
        <row r="904">
          <cell r="B904">
            <v>48820</v>
          </cell>
          <cell r="C904" t="str">
            <v>SUN GOYERCIN PECETE_30*30 CM_80*24</v>
          </cell>
          <cell r="D904" t="str">
            <v>KOLI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O904">
            <v>0</v>
          </cell>
          <cell r="AP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0</v>
          </cell>
          <cell r="DN904">
            <v>0</v>
          </cell>
          <cell r="DO904">
            <v>0</v>
          </cell>
          <cell r="DP904">
            <v>0</v>
          </cell>
          <cell r="DQ904">
            <v>0</v>
          </cell>
          <cell r="DR904">
            <v>0</v>
          </cell>
          <cell r="DS904">
            <v>0</v>
          </cell>
          <cell r="DT904">
            <v>0</v>
          </cell>
          <cell r="DU904">
            <v>0</v>
          </cell>
          <cell r="DV904">
            <v>0</v>
          </cell>
          <cell r="DW904">
            <v>0</v>
          </cell>
          <cell r="DX904">
            <v>0</v>
          </cell>
          <cell r="DY904" t="str">
            <v/>
          </cell>
          <cell r="DZ904" t="str">
            <v>pasiv</v>
          </cell>
          <cell r="EA904" t="e">
            <v>#DIV/0!</v>
          </cell>
        </row>
        <row r="905">
          <cell r="B905">
            <v>51261</v>
          </cell>
          <cell r="C905" t="str">
            <v>SUN ALBALI PECETE _30*30 CM 80*24</v>
          </cell>
          <cell r="D905" t="str">
            <v>KOLI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5</v>
          </cell>
          <cell r="T905">
            <v>128.05000000000001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5</v>
          </cell>
          <cell r="Z905">
            <v>128.05000000000001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O905">
            <v>0</v>
          </cell>
          <cell r="AP905">
            <v>0</v>
          </cell>
          <cell r="AS905">
            <v>0</v>
          </cell>
          <cell r="AT905">
            <v>0</v>
          </cell>
          <cell r="AU905">
            <v>6</v>
          </cell>
          <cell r="AV905">
            <v>157.33000000000001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1</v>
          </cell>
          <cell r="BL905">
            <v>29.28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1</v>
          </cell>
          <cell r="BT905">
            <v>29.28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1</v>
          </cell>
          <cell r="CL905">
            <v>29.28</v>
          </cell>
          <cell r="CO905">
            <v>0</v>
          </cell>
          <cell r="CP905">
            <v>0</v>
          </cell>
          <cell r="CQ905">
            <v>0</v>
          </cell>
          <cell r="CR905">
            <v>0</v>
          </cell>
          <cell r="CS905">
            <v>0</v>
          </cell>
          <cell r="CT905">
            <v>0</v>
          </cell>
          <cell r="CU905">
            <v>0</v>
          </cell>
          <cell r="CV905">
            <v>0</v>
          </cell>
          <cell r="CW905">
            <v>0</v>
          </cell>
          <cell r="CX905">
            <v>0</v>
          </cell>
          <cell r="CY905">
            <v>0</v>
          </cell>
          <cell r="CZ905">
            <v>0</v>
          </cell>
          <cell r="DA905">
            <v>0</v>
          </cell>
          <cell r="DB905">
            <v>0</v>
          </cell>
          <cell r="DC905">
            <v>0</v>
          </cell>
          <cell r="DD905">
            <v>0</v>
          </cell>
          <cell r="DE905">
            <v>0</v>
          </cell>
          <cell r="DF905">
            <v>0</v>
          </cell>
          <cell r="DG905">
            <v>0</v>
          </cell>
          <cell r="DH905">
            <v>0</v>
          </cell>
          <cell r="DI905">
            <v>0</v>
          </cell>
          <cell r="DJ905">
            <v>0</v>
          </cell>
          <cell r="DK905">
            <v>0</v>
          </cell>
          <cell r="DL905">
            <v>0</v>
          </cell>
          <cell r="DM905">
            <v>0</v>
          </cell>
          <cell r="DN905">
            <v>0</v>
          </cell>
          <cell r="DO905">
            <v>0</v>
          </cell>
          <cell r="DP905">
            <v>0</v>
          </cell>
          <cell r="DQ905">
            <v>0</v>
          </cell>
          <cell r="DR905">
            <v>0</v>
          </cell>
          <cell r="DS905">
            <v>0</v>
          </cell>
          <cell r="DT905">
            <v>0</v>
          </cell>
          <cell r="DU905">
            <v>0</v>
          </cell>
          <cell r="DV905">
            <v>0</v>
          </cell>
          <cell r="DW905">
            <v>6</v>
          </cell>
          <cell r="DX905">
            <v>157.33000000000001</v>
          </cell>
          <cell r="DY905" t="str">
            <v/>
          </cell>
          <cell r="DZ905">
            <v>0</v>
          </cell>
          <cell r="EA905">
            <v>26.221666666666668</v>
          </cell>
        </row>
        <row r="906">
          <cell r="B906">
            <v>122173</v>
          </cell>
          <cell r="C906" t="str">
            <v>SUN ALBALI SALFET_30*30CM_100*24</v>
          </cell>
          <cell r="D906" t="str">
            <v>KOLI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O906">
            <v>0</v>
          </cell>
          <cell r="AP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S906">
            <v>0</v>
          </cell>
          <cell r="CT906">
            <v>0</v>
          </cell>
          <cell r="CU906">
            <v>0</v>
          </cell>
          <cell r="CV906">
            <v>0</v>
          </cell>
          <cell r="CW906">
            <v>0</v>
          </cell>
          <cell r="CX906">
            <v>0</v>
          </cell>
          <cell r="CY906">
            <v>0</v>
          </cell>
          <cell r="CZ906">
            <v>0</v>
          </cell>
          <cell r="DA906">
            <v>0</v>
          </cell>
          <cell r="DB906">
            <v>0</v>
          </cell>
          <cell r="DC906">
            <v>0</v>
          </cell>
          <cell r="DD906">
            <v>0</v>
          </cell>
          <cell r="DE906">
            <v>0</v>
          </cell>
          <cell r="DF906">
            <v>0</v>
          </cell>
          <cell r="DG906">
            <v>0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  <cell r="DL906">
            <v>0</v>
          </cell>
          <cell r="DM906">
            <v>0</v>
          </cell>
          <cell r="DN906">
            <v>0</v>
          </cell>
          <cell r="DO906">
            <v>0</v>
          </cell>
          <cell r="DP906">
            <v>0</v>
          </cell>
          <cell r="DQ906">
            <v>0</v>
          </cell>
          <cell r="DR906">
            <v>0</v>
          </cell>
          <cell r="DS906">
            <v>0</v>
          </cell>
          <cell r="DT906">
            <v>0</v>
          </cell>
          <cell r="DU906">
            <v>0</v>
          </cell>
          <cell r="DV906">
            <v>0</v>
          </cell>
          <cell r="DW906">
            <v>0</v>
          </cell>
          <cell r="DX906">
            <v>0</v>
          </cell>
          <cell r="DY906" t="str">
            <v/>
          </cell>
          <cell r="DZ906" t="str">
            <v>pasiv</v>
          </cell>
          <cell r="EA906" t="e">
            <v>#DIV/0!</v>
          </cell>
        </row>
        <row r="907">
          <cell r="B907">
            <v>78029</v>
          </cell>
          <cell r="C907" t="str">
            <v xml:space="preserve">SUN CICEK BASKILI PECETE _30*30 CM_80*24 </v>
          </cell>
          <cell r="D907" t="str">
            <v>KOLI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5</v>
          </cell>
          <cell r="T907">
            <v>128.05000000000001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5</v>
          </cell>
          <cell r="Z907">
            <v>128.05000000000001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O907">
            <v>0</v>
          </cell>
          <cell r="AP907">
            <v>0</v>
          </cell>
          <cell r="AS907">
            <v>0</v>
          </cell>
          <cell r="AT907">
            <v>0</v>
          </cell>
          <cell r="AU907">
            <v>19</v>
          </cell>
          <cell r="AV907">
            <v>517.03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1</v>
          </cell>
          <cell r="BL907">
            <v>29.28</v>
          </cell>
          <cell r="BM907">
            <v>0</v>
          </cell>
          <cell r="BN907">
            <v>0</v>
          </cell>
          <cell r="BO907">
            <v>4</v>
          </cell>
          <cell r="BP907">
            <v>114.84</v>
          </cell>
          <cell r="BQ907">
            <v>0</v>
          </cell>
          <cell r="BR907">
            <v>0</v>
          </cell>
          <cell r="BS907">
            <v>5</v>
          </cell>
          <cell r="BT907">
            <v>144.12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2</v>
          </cell>
          <cell r="BZ907">
            <v>55.45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2</v>
          </cell>
          <cell r="CJ907">
            <v>55.45</v>
          </cell>
          <cell r="CK907">
            <v>7</v>
          </cell>
          <cell r="CL907">
            <v>199.57</v>
          </cell>
          <cell r="CO907">
            <v>0</v>
          </cell>
          <cell r="CP907">
            <v>0</v>
          </cell>
          <cell r="CQ907">
            <v>0</v>
          </cell>
          <cell r="CR907">
            <v>0</v>
          </cell>
          <cell r="CS907">
            <v>0</v>
          </cell>
          <cell r="CT907">
            <v>0</v>
          </cell>
          <cell r="CU907">
            <v>6</v>
          </cell>
          <cell r="CV907">
            <v>160.13</v>
          </cell>
          <cell r="CW907">
            <v>0</v>
          </cell>
          <cell r="CX907">
            <v>0</v>
          </cell>
          <cell r="CY907">
            <v>0</v>
          </cell>
          <cell r="CZ907">
            <v>0</v>
          </cell>
          <cell r="DA907">
            <v>1</v>
          </cell>
          <cell r="DB907">
            <v>29.28</v>
          </cell>
          <cell r="DC907">
            <v>0</v>
          </cell>
          <cell r="DD907">
            <v>0</v>
          </cell>
          <cell r="DE907">
            <v>1</v>
          </cell>
          <cell r="DF907">
            <v>29.28</v>
          </cell>
          <cell r="DG907">
            <v>0</v>
          </cell>
          <cell r="DH907">
            <v>0</v>
          </cell>
          <cell r="DI907">
            <v>0</v>
          </cell>
          <cell r="DJ907">
            <v>0</v>
          </cell>
          <cell r="DK907">
            <v>0</v>
          </cell>
          <cell r="DL907">
            <v>0</v>
          </cell>
          <cell r="DM907">
            <v>0</v>
          </cell>
          <cell r="DN907">
            <v>0</v>
          </cell>
          <cell r="DO907">
            <v>6</v>
          </cell>
          <cell r="DP907">
            <v>160.13</v>
          </cell>
          <cell r="DQ907">
            <v>0</v>
          </cell>
          <cell r="DR907">
            <v>0</v>
          </cell>
          <cell r="DS907">
            <v>0</v>
          </cell>
          <cell r="DT907">
            <v>0</v>
          </cell>
          <cell r="DU907">
            <v>6</v>
          </cell>
          <cell r="DV907">
            <v>160.13</v>
          </cell>
          <cell r="DW907">
            <v>19</v>
          </cell>
          <cell r="DX907">
            <v>517.03</v>
          </cell>
          <cell r="DY907" t="str">
            <v/>
          </cell>
          <cell r="DZ907">
            <v>0</v>
          </cell>
          <cell r="EA907">
            <v>27.212105263157895</v>
          </cell>
        </row>
        <row r="908">
          <cell r="B908">
            <v>78031</v>
          </cell>
          <cell r="C908" t="str">
            <v xml:space="preserve">SUN CILEK BASKILI PECETE _30*30 CM_80*24 </v>
          </cell>
          <cell r="D908" t="str">
            <v>KOLI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5</v>
          </cell>
          <cell r="T908">
            <v>128.05000000000001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5</v>
          </cell>
          <cell r="Z908">
            <v>128.05000000000001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O908">
            <v>0</v>
          </cell>
          <cell r="AP908">
            <v>0</v>
          </cell>
          <cell r="AS908">
            <v>0</v>
          </cell>
          <cell r="AT908">
            <v>0</v>
          </cell>
          <cell r="AU908">
            <v>9</v>
          </cell>
          <cell r="AV908">
            <v>240.06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1</v>
          </cell>
          <cell r="BN908">
            <v>29.28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1</v>
          </cell>
          <cell r="BT908">
            <v>29.28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1</v>
          </cell>
          <cell r="CL908">
            <v>29.28</v>
          </cell>
          <cell r="CO908">
            <v>0</v>
          </cell>
          <cell r="CP908">
            <v>0</v>
          </cell>
          <cell r="CQ908">
            <v>0</v>
          </cell>
          <cell r="CR908">
            <v>0</v>
          </cell>
          <cell r="CS908">
            <v>0</v>
          </cell>
          <cell r="CT908">
            <v>0</v>
          </cell>
          <cell r="CU908">
            <v>2</v>
          </cell>
          <cell r="CV908">
            <v>53.45</v>
          </cell>
          <cell r="CW908">
            <v>0</v>
          </cell>
          <cell r="CX908">
            <v>0</v>
          </cell>
          <cell r="CY908">
            <v>0</v>
          </cell>
          <cell r="CZ908">
            <v>0</v>
          </cell>
          <cell r="DA908">
            <v>0</v>
          </cell>
          <cell r="DB908">
            <v>0</v>
          </cell>
          <cell r="DC908">
            <v>1</v>
          </cell>
          <cell r="DD908">
            <v>29.28</v>
          </cell>
          <cell r="DE908">
            <v>1</v>
          </cell>
          <cell r="DF908">
            <v>29.28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2</v>
          </cell>
          <cell r="DP908">
            <v>53.45</v>
          </cell>
          <cell r="DQ908">
            <v>0</v>
          </cell>
          <cell r="DR908">
            <v>0</v>
          </cell>
          <cell r="DS908">
            <v>0</v>
          </cell>
          <cell r="DT908">
            <v>0</v>
          </cell>
          <cell r="DU908">
            <v>2</v>
          </cell>
          <cell r="DV908">
            <v>53.45</v>
          </cell>
          <cell r="DW908">
            <v>9</v>
          </cell>
          <cell r="DX908">
            <v>240.06</v>
          </cell>
          <cell r="DY908" t="str">
            <v/>
          </cell>
          <cell r="DZ908">
            <v>0</v>
          </cell>
          <cell r="EA908">
            <v>26.673333333333332</v>
          </cell>
        </row>
        <row r="909">
          <cell r="B909">
            <v>78090</v>
          </cell>
          <cell r="C909" t="str">
            <v xml:space="preserve">SUN BEYAZ PECETE _30*30 CM_80*24 </v>
          </cell>
          <cell r="D909" t="str">
            <v>KOLI</v>
          </cell>
          <cell r="E909">
            <v>0</v>
          </cell>
          <cell r="F909">
            <v>0</v>
          </cell>
          <cell r="G909">
            <v>9</v>
          </cell>
          <cell r="H909">
            <v>247.22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O909">
            <v>9</v>
          </cell>
          <cell r="P909">
            <v>247.22</v>
          </cell>
          <cell r="Q909">
            <v>0</v>
          </cell>
          <cell r="R909">
            <v>0</v>
          </cell>
          <cell r="S909">
            <v>6</v>
          </cell>
          <cell r="T909">
            <v>153.66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6</v>
          </cell>
          <cell r="Z909">
            <v>153.66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1</v>
          </cell>
          <cell r="AL909">
            <v>27.84</v>
          </cell>
          <cell r="AO909">
            <v>1</v>
          </cell>
          <cell r="AP909">
            <v>27.84</v>
          </cell>
          <cell r="AS909">
            <v>0</v>
          </cell>
          <cell r="AT909">
            <v>0</v>
          </cell>
          <cell r="AU909">
            <v>34</v>
          </cell>
          <cell r="AV909">
            <v>940.11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2</v>
          </cell>
          <cell r="BL909">
            <v>58.56</v>
          </cell>
          <cell r="BM909">
            <v>2</v>
          </cell>
          <cell r="BN909">
            <v>58.56</v>
          </cell>
          <cell r="BO909">
            <v>5</v>
          </cell>
          <cell r="BP909">
            <v>133.63</v>
          </cell>
          <cell r="BQ909">
            <v>0</v>
          </cell>
          <cell r="BR909">
            <v>0</v>
          </cell>
          <cell r="BS909">
            <v>9</v>
          </cell>
          <cell r="BT909">
            <v>250.75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9</v>
          </cell>
          <cell r="CL909">
            <v>250.75</v>
          </cell>
          <cell r="CO909">
            <v>0</v>
          </cell>
          <cell r="CP909">
            <v>0</v>
          </cell>
          <cell r="CQ909">
            <v>0</v>
          </cell>
          <cell r="CR909">
            <v>0</v>
          </cell>
          <cell r="CS909">
            <v>0</v>
          </cell>
          <cell r="CT909">
            <v>0</v>
          </cell>
          <cell r="CU909">
            <v>1</v>
          </cell>
          <cell r="CV909">
            <v>27.84</v>
          </cell>
          <cell r="CW909">
            <v>0</v>
          </cell>
          <cell r="CX909">
            <v>0</v>
          </cell>
          <cell r="CY909">
            <v>5</v>
          </cell>
          <cell r="CZ909">
            <v>146.4</v>
          </cell>
          <cell r="DA909">
            <v>0</v>
          </cell>
          <cell r="DB909">
            <v>0</v>
          </cell>
          <cell r="DC909">
            <v>0</v>
          </cell>
          <cell r="DD909">
            <v>0</v>
          </cell>
          <cell r="DE909">
            <v>5</v>
          </cell>
          <cell r="DF909">
            <v>146.4</v>
          </cell>
          <cell r="DG909">
            <v>1</v>
          </cell>
          <cell r="DH909">
            <v>29.28</v>
          </cell>
          <cell r="DI909">
            <v>0</v>
          </cell>
          <cell r="DJ909">
            <v>0</v>
          </cell>
          <cell r="DK909">
            <v>2</v>
          </cell>
          <cell r="DL909">
            <v>57.12</v>
          </cell>
          <cell r="DM909">
            <v>3</v>
          </cell>
          <cell r="DN909">
            <v>86.4</v>
          </cell>
          <cell r="DO909">
            <v>0</v>
          </cell>
          <cell r="DP909">
            <v>0</v>
          </cell>
          <cell r="DQ909">
            <v>0</v>
          </cell>
          <cell r="DR909">
            <v>0</v>
          </cell>
          <cell r="DS909">
            <v>1</v>
          </cell>
          <cell r="DT909">
            <v>27.84</v>
          </cell>
          <cell r="DU909">
            <v>1</v>
          </cell>
          <cell r="DV909">
            <v>27.84</v>
          </cell>
          <cell r="DW909">
            <v>34</v>
          </cell>
          <cell r="DX909">
            <v>940.11</v>
          </cell>
          <cell r="DY909" t="str">
            <v/>
          </cell>
          <cell r="DZ909">
            <v>0</v>
          </cell>
          <cell r="EA909">
            <v>27.650294117647061</v>
          </cell>
        </row>
        <row r="910">
          <cell r="B910">
            <v>77587</v>
          </cell>
          <cell r="C910" t="str">
            <v xml:space="preserve">SUN PAPATYA BASKILI PECETE _30*30 CM_80*24 </v>
          </cell>
          <cell r="D910" t="str">
            <v>KOLI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1</v>
          </cell>
          <cell r="AH910">
            <v>29.28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O910">
            <v>1</v>
          </cell>
          <cell r="AP910">
            <v>29.28</v>
          </cell>
          <cell r="AS910">
            <v>0</v>
          </cell>
          <cell r="AT910">
            <v>0</v>
          </cell>
          <cell r="AU910">
            <v>24</v>
          </cell>
          <cell r="AV910">
            <v>697.61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1</v>
          </cell>
          <cell r="BN910">
            <v>29.28</v>
          </cell>
          <cell r="BO910">
            <v>2</v>
          </cell>
          <cell r="BP910">
            <v>53.45</v>
          </cell>
          <cell r="BQ910">
            <v>0</v>
          </cell>
          <cell r="BR910">
            <v>0</v>
          </cell>
          <cell r="BS910">
            <v>3</v>
          </cell>
          <cell r="BT910">
            <v>82.73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3</v>
          </cell>
          <cell r="CL910">
            <v>82.73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2</v>
          </cell>
          <cell r="CV910">
            <v>58.56</v>
          </cell>
          <cell r="CW910">
            <v>0</v>
          </cell>
          <cell r="CX910">
            <v>0</v>
          </cell>
          <cell r="CY910">
            <v>13</v>
          </cell>
          <cell r="CZ910">
            <v>380.64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13</v>
          </cell>
          <cell r="DF910">
            <v>380.64</v>
          </cell>
          <cell r="DG910">
            <v>5</v>
          </cell>
          <cell r="DH910">
            <v>146.4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5</v>
          </cell>
          <cell r="DN910">
            <v>146.4</v>
          </cell>
          <cell r="DO910">
            <v>0</v>
          </cell>
          <cell r="DP910">
            <v>0</v>
          </cell>
          <cell r="DQ910">
            <v>0</v>
          </cell>
          <cell r="DR910">
            <v>0</v>
          </cell>
          <cell r="DS910">
            <v>2</v>
          </cell>
          <cell r="DT910">
            <v>58.56</v>
          </cell>
          <cell r="DU910">
            <v>2</v>
          </cell>
          <cell r="DV910">
            <v>58.56</v>
          </cell>
          <cell r="DW910">
            <v>24</v>
          </cell>
          <cell r="DX910">
            <v>697.6099999999999</v>
          </cell>
          <cell r="DY910" t="str">
            <v/>
          </cell>
          <cell r="DZ910">
            <v>0</v>
          </cell>
          <cell r="EA910">
            <v>29.067083333333329</v>
          </cell>
        </row>
        <row r="911">
          <cell r="B911">
            <v>84566</v>
          </cell>
          <cell r="C911" t="str">
            <v>SUN PECETE YENI YIL_30*30 CM_80*24</v>
          </cell>
          <cell r="D911" t="str">
            <v>KOLI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O911">
            <v>0</v>
          </cell>
          <cell r="AP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S911">
            <v>0</v>
          </cell>
          <cell r="CT911">
            <v>0</v>
          </cell>
          <cell r="CU911">
            <v>0</v>
          </cell>
          <cell r="CV911">
            <v>0</v>
          </cell>
          <cell r="CW911">
            <v>0</v>
          </cell>
          <cell r="CX911">
            <v>0</v>
          </cell>
          <cell r="CY911">
            <v>0</v>
          </cell>
          <cell r="CZ911">
            <v>0</v>
          </cell>
          <cell r="DA911">
            <v>0</v>
          </cell>
          <cell r="DB911">
            <v>0</v>
          </cell>
          <cell r="DC911">
            <v>0</v>
          </cell>
          <cell r="DD911">
            <v>0</v>
          </cell>
          <cell r="DE911">
            <v>0</v>
          </cell>
          <cell r="DF911">
            <v>0</v>
          </cell>
          <cell r="DG911">
            <v>0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  <cell r="DL911">
            <v>0</v>
          </cell>
          <cell r="DM911">
            <v>0</v>
          </cell>
          <cell r="DN911">
            <v>0</v>
          </cell>
          <cell r="DO911">
            <v>0</v>
          </cell>
          <cell r="DP911">
            <v>0</v>
          </cell>
          <cell r="DQ911">
            <v>0</v>
          </cell>
          <cell r="DR911">
            <v>0</v>
          </cell>
          <cell r="DS911">
            <v>0</v>
          </cell>
          <cell r="DT911">
            <v>0</v>
          </cell>
          <cell r="DU911">
            <v>0</v>
          </cell>
          <cell r="DV911">
            <v>0</v>
          </cell>
          <cell r="DW911">
            <v>0</v>
          </cell>
          <cell r="DX911">
            <v>0</v>
          </cell>
          <cell r="DY911" t="str">
            <v/>
          </cell>
          <cell r="DZ911" t="str">
            <v>pasiv</v>
          </cell>
          <cell r="EA911" t="e">
            <v>#DIV/0!</v>
          </cell>
        </row>
        <row r="912">
          <cell r="B912">
            <v>336326</v>
          </cell>
          <cell r="C912" t="str">
            <v>ხელ-ცი-დელფინი-თეთრი-27*30_70*24</v>
          </cell>
          <cell r="D912" t="str">
            <v>KOLI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O912">
            <v>0</v>
          </cell>
          <cell r="AP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O912">
            <v>0</v>
          </cell>
          <cell r="CP912">
            <v>0</v>
          </cell>
          <cell r="CQ912">
            <v>0</v>
          </cell>
          <cell r="CR912">
            <v>0</v>
          </cell>
          <cell r="CS912">
            <v>0</v>
          </cell>
          <cell r="CT912">
            <v>0</v>
          </cell>
          <cell r="CU912">
            <v>0</v>
          </cell>
          <cell r="CV912">
            <v>0</v>
          </cell>
          <cell r="CW912">
            <v>0</v>
          </cell>
          <cell r="CX912">
            <v>0</v>
          </cell>
          <cell r="CY912">
            <v>0</v>
          </cell>
          <cell r="CZ912">
            <v>0</v>
          </cell>
          <cell r="DA912">
            <v>0</v>
          </cell>
          <cell r="DB912">
            <v>0</v>
          </cell>
          <cell r="DC912">
            <v>0</v>
          </cell>
          <cell r="DD912">
            <v>0</v>
          </cell>
          <cell r="DE912">
            <v>0</v>
          </cell>
          <cell r="DF912">
            <v>0</v>
          </cell>
          <cell r="DG912">
            <v>0</v>
          </cell>
          <cell r="DH912">
            <v>0</v>
          </cell>
          <cell r="DI912">
            <v>0</v>
          </cell>
          <cell r="DJ912">
            <v>0</v>
          </cell>
          <cell r="DK912">
            <v>0</v>
          </cell>
          <cell r="DL912">
            <v>0</v>
          </cell>
          <cell r="DM912">
            <v>0</v>
          </cell>
          <cell r="DN912">
            <v>0</v>
          </cell>
          <cell r="DO912">
            <v>0</v>
          </cell>
          <cell r="DP912">
            <v>0</v>
          </cell>
          <cell r="DQ912">
            <v>0</v>
          </cell>
          <cell r="DR912">
            <v>0</v>
          </cell>
          <cell r="DS912">
            <v>0</v>
          </cell>
          <cell r="DT912">
            <v>0</v>
          </cell>
          <cell r="DU912">
            <v>0</v>
          </cell>
          <cell r="DV912">
            <v>0</v>
          </cell>
          <cell r="DW912">
            <v>0</v>
          </cell>
          <cell r="DX912">
            <v>0</v>
          </cell>
          <cell r="DY912" t="str">
            <v/>
          </cell>
          <cell r="DZ912" t="str">
            <v>pasiv</v>
          </cell>
          <cell r="EA912" t="e">
            <v>#DIV/0!</v>
          </cell>
        </row>
        <row r="913">
          <cell r="B913">
            <v>17816</v>
          </cell>
          <cell r="C913" t="str">
            <v>SUN PECETE YARPAK 30*30 CM 100*24</v>
          </cell>
          <cell r="D913" t="str">
            <v>KOLI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O913">
            <v>0</v>
          </cell>
          <cell r="AP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S913">
            <v>0</v>
          </cell>
          <cell r="CT913">
            <v>0</v>
          </cell>
          <cell r="CU913">
            <v>0</v>
          </cell>
          <cell r="CV913">
            <v>0</v>
          </cell>
          <cell r="CW913">
            <v>0</v>
          </cell>
          <cell r="CX913">
            <v>0</v>
          </cell>
          <cell r="CY913">
            <v>0</v>
          </cell>
          <cell r="CZ913">
            <v>0</v>
          </cell>
          <cell r="DA913">
            <v>0</v>
          </cell>
          <cell r="DB913">
            <v>0</v>
          </cell>
          <cell r="DC913">
            <v>0</v>
          </cell>
          <cell r="DD913">
            <v>0</v>
          </cell>
          <cell r="DE913">
            <v>0</v>
          </cell>
          <cell r="DF913">
            <v>0</v>
          </cell>
          <cell r="DG913">
            <v>0</v>
          </cell>
          <cell r="DH913">
            <v>0</v>
          </cell>
          <cell r="DI913">
            <v>0</v>
          </cell>
          <cell r="DJ913">
            <v>0</v>
          </cell>
          <cell r="DK913">
            <v>0</v>
          </cell>
          <cell r="DL913">
            <v>0</v>
          </cell>
          <cell r="DM913">
            <v>0</v>
          </cell>
          <cell r="DN913">
            <v>0</v>
          </cell>
          <cell r="DO913">
            <v>0</v>
          </cell>
          <cell r="DP913">
            <v>0</v>
          </cell>
          <cell r="DQ913">
            <v>0</v>
          </cell>
          <cell r="DR913">
            <v>0</v>
          </cell>
          <cell r="DS913">
            <v>0</v>
          </cell>
          <cell r="DT913">
            <v>0</v>
          </cell>
          <cell r="DU913">
            <v>0</v>
          </cell>
          <cell r="DV913">
            <v>0</v>
          </cell>
          <cell r="DW913">
            <v>0</v>
          </cell>
          <cell r="DX913">
            <v>0</v>
          </cell>
          <cell r="DY913" t="str">
            <v/>
          </cell>
          <cell r="DZ913" t="str">
            <v>pasiv</v>
          </cell>
          <cell r="EA913" t="e">
            <v>#DIV/0!</v>
          </cell>
        </row>
        <row r="914">
          <cell r="B914">
            <v>17938</v>
          </cell>
          <cell r="C914" t="str">
            <v>SUN PECETE GU 30*30 CM 100*24</v>
          </cell>
          <cell r="D914" t="str">
            <v>KOLI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O914">
            <v>0</v>
          </cell>
          <cell r="AP914">
            <v>0</v>
          </cell>
          <cell r="AS914">
            <v>0</v>
          </cell>
          <cell r="AT914">
            <v>0</v>
          </cell>
          <cell r="AU914">
            <v>1</v>
          </cell>
          <cell r="AV914">
            <v>30.48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1</v>
          </cell>
          <cell r="BN914">
            <v>30.48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1</v>
          </cell>
          <cell r="BT914">
            <v>30.48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1</v>
          </cell>
          <cell r="CL914">
            <v>30.48</v>
          </cell>
          <cell r="CO914">
            <v>0</v>
          </cell>
          <cell r="CP914">
            <v>0</v>
          </cell>
          <cell r="CQ914">
            <v>0</v>
          </cell>
          <cell r="CR914">
            <v>0</v>
          </cell>
          <cell r="CS914">
            <v>0</v>
          </cell>
          <cell r="CT914">
            <v>0</v>
          </cell>
          <cell r="CU914">
            <v>0</v>
          </cell>
          <cell r="CV914">
            <v>0</v>
          </cell>
          <cell r="CW914">
            <v>0</v>
          </cell>
          <cell r="CX914">
            <v>0</v>
          </cell>
          <cell r="CY914">
            <v>0</v>
          </cell>
          <cell r="CZ914">
            <v>0</v>
          </cell>
          <cell r="DA914">
            <v>0</v>
          </cell>
          <cell r="DB914">
            <v>0</v>
          </cell>
          <cell r="DC914">
            <v>0</v>
          </cell>
          <cell r="DD914">
            <v>0</v>
          </cell>
          <cell r="DE914">
            <v>0</v>
          </cell>
          <cell r="DF914">
            <v>0</v>
          </cell>
          <cell r="DG914">
            <v>0</v>
          </cell>
          <cell r="DH914">
            <v>0</v>
          </cell>
          <cell r="DI914">
            <v>0</v>
          </cell>
          <cell r="DJ914">
            <v>0</v>
          </cell>
          <cell r="DK914">
            <v>0</v>
          </cell>
          <cell r="DL914">
            <v>0</v>
          </cell>
          <cell r="DM914">
            <v>0</v>
          </cell>
          <cell r="DN914">
            <v>0</v>
          </cell>
          <cell r="DO914">
            <v>0</v>
          </cell>
          <cell r="DP914">
            <v>0</v>
          </cell>
          <cell r="DQ914">
            <v>0</v>
          </cell>
          <cell r="DR914">
            <v>0</v>
          </cell>
          <cell r="DS914">
            <v>0</v>
          </cell>
          <cell r="DT914">
            <v>0</v>
          </cell>
          <cell r="DU914">
            <v>0</v>
          </cell>
          <cell r="DV914">
            <v>0</v>
          </cell>
          <cell r="DW914">
            <v>1</v>
          </cell>
          <cell r="DX914">
            <v>30.48</v>
          </cell>
          <cell r="DY914" t="str">
            <v/>
          </cell>
          <cell r="DZ914">
            <v>0</v>
          </cell>
          <cell r="EA914">
            <v>30.48</v>
          </cell>
        </row>
        <row r="915">
          <cell r="B915">
            <v>17947</v>
          </cell>
          <cell r="C915" t="str">
            <v>SUN PECETE CILEK 30*30 CM 100*24</v>
          </cell>
          <cell r="D915" t="str">
            <v>KOLI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O915">
            <v>0</v>
          </cell>
          <cell r="AP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S915">
            <v>0</v>
          </cell>
          <cell r="CT915">
            <v>0</v>
          </cell>
          <cell r="CU915">
            <v>0</v>
          </cell>
          <cell r="CV915">
            <v>0</v>
          </cell>
          <cell r="CW915">
            <v>0</v>
          </cell>
          <cell r="CX915">
            <v>0</v>
          </cell>
          <cell r="CY915">
            <v>0</v>
          </cell>
          <cell r="CZ915">
            <v>0</v>
          </cell>
          <cell r="DA915">
            <v>0</v>
          </cell>
          <cell r="DB915">
            <v>0</v>
          </cell>
          <cell r="DC915">
            <v>0</v>
          </cell>
          <cell r="DD915">
            <v>0</v>
          </cell>
          <cell r="DE915">
            <v>0</v>
          </cell>
          <cell r="DF915">
            <v>0</v>
          </cell>
          <cell r="DG915">
            <v>0</v>
          </cell>
          <cell r="DH915">
            <v>0</v>
          </cell>
          <cell r="DI915">
            <v>0</v>
          </cell>
          <cell r="DJ915">
            <v>0</v>
          </cell>
          <cell r="DK915">
            <v>0</v>
          </cell>
          <cell r="DL915">
            <v>0</v>
          </cell>
          <cell r="DM915">
            <v>0</v>
          </cell>
          <cell r="DN915">
            <v>0</v>
          </cell>
          <cell r="DO915">
            <v>0</v>
          </cell>
          <cell r="DP915">
            <v>0</v>
          </cell>
          <cell r="DQ915">
            <v>0</v>
          </cell>
          <cell r="DR915">
            <v>0</v>
          </cell>
          <cell r="DS915">
            <v>0</v>
          </cell>
          <cell r="DT915">
            <v>0</v>
          </cell>
          <cell r="DU915">
            <v>0</v>
          </cell>
          <cell r="DV915">
            <v>0</v>
          </cell>
          <cell r="DW915">
            <v>0</v>
          </cell>
          <cell r="DX915">
            <v>0</v>
          </cell>
          <cell r="DY915" t="str">
            <v/>
          </cell>
          <cell r="DZ915" t="str">
            <v>pasiv</v>
          </cell>
          <cell r="EA915" t="e">
            <v>#DIV/0!</v>
          </cell>
        </row>
        <row r="916">
          <cell r="B916">
            <v>58888</v>
          </cell>
          <cell r="C916" t="str">
            <v>SUN SALFET CICEK_30*30 CM_100*24</v>
          </cell>
          <cell r="D916" t="str">
            <v>KOLI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O916">
            <v>0</v>
          </cell>
          <cell r="AP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S916">
            <v>0</v>
          </cell>
          <cell r="CT916">
            <v>0</v>
          </cell>
          <cell r="CU916">
            <v>0</v>
          </cell>
          <cell r="CV916">
            <v>0</v>
          </cell>
          <cell r="CW916">
            <v>0</v>
          </cell>
          <cell r="CX916">
            <v>0</v>
          </cell>
          <cell r="CY916">
            <v>0</v>
          </cell>
          <cell r="CZ916">
            <v>0</v>
          </cell>
          <cell r="DA916">
            <v>0</v>
          </cell>
          <cell r="DB916">
            <v>0</v>
          </cell>
          <cell r="DC916">
            <v>0</v>
          </cell>
          <cell r="DD916">
            <v>0</v>
          </cell>
          <cell r="DE916">
            <v>0</v>
          </cell>
          <cell r="DF916">
            <v>0</v>
          </cell>
          <cell r="DG916">
            <v>0</v>
          </cell>
          <cell r="DH916">
            <v>0</v>
          </cell>
          <cell r="DI916">
            <v>0</v>
          </cell>
          <cell r="DJ916">
            <v>0</v>
          </cell>
          <cell r="DK916">
            <v>0</v>
          </cell>
          <cell r="DL916">
            <v>0</v>
          </cell>
          <cell r="DM916">
            <v>0</v>
          </cell>
          <cell r="DN916">
            <v>0</v>
          </cell>
          <cell r="DO916">
            <v>0</v>
          </cell>
          <cell r="DP916">
            <v>0</v>
          </cell>
          <cell r="DQ916">
            <v>0</v>
          </cell>
          <cell r="DR916">
            <v>0</v>
          </cell>
          <cell r="DS916">
            <v>0</v>
          </cell>
          <cell r="DT916">
            <v>0</v>
          </cell>
          <cell r="DU916">
            <v>0</v>
          </cell>
          <cell r="DV916">
            <v>0</v>
          </cell>
          <cell r="DW916">
            <v>0</v>
          </cell>
          <cell r="DX916">
            <v>0</v>
          </cell>
          <cell r="DY916" t="str">
            <v/>
          </cell>
          <cell r="DZ916" t="str">
            <v>pasiv</v>
          </cell>
          <cell r="EA916" t="e">
            <v>#DIV/0!</v>
          </cell>
        </row>
        <row r="917">
          <cell r="B917">
            <v>58889</v>
          </cell>
          <cell r="C917" t="str">
            <v>SUN SALFET PAPATYA_30*30 CM_100*24</v>
          </cell>
          <cell r="D917" t="str">
            <v>KOLI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O917">
            <v>0</v>
          </cell>
          <cell r="AP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O917">
            <v>0</v>
          </cell>
          <cell r="CP917">
            <v>0</v>
          </cell>
          <cell r="CQ917">
            <v>0</v>
          </cell>
          <cell r="CR917">
            <v>0</v>
          </cell>
          <cell r="CS917">
            <v>0</v>
          </cell>
          <cell r="CT917">
            <v>0</v>
          </cell>
          <cell r="CU917">
            <v>0</v>
          </cell>
          <cell r="CV917">
            <v>0</v>
          </cell>
          <cell r="CW917">
            <v>0</v>
          </cell>
          <cell r="CX917">
            <v>0</v>
          </cell>
          <cell r="CY917">
            <v>0</v>
          </cell>
          <cell r="CZ917">
            <v>0</v>
          </cell>
          <cell r="DA917">
            <v>0</v>
          </cell>
          <cell r="DB917">
            <v>0</v>
          </cell>
          <cell r="DC917">
            <v>0</v>
          </cell>
          <cell r="DD917">
            <v>0</v>
          </cell>
          <cell r="DE917">
            <v>0</v>
          </cell>
          <cell r="DF917">
            <v>0</v>
          </cell>
          <cell r="DG917">
            <v>0</v>
          </cell>
          <cell r="DH917">
            <v>0</v>
          </cell>
          <cell r="DI917">
            <v>0</v>
          </cell>
          <cell r="DJ917">
            <v>0</v>
          </cell>
          <cell r="DK917">
            <v>0</v>
          </cell>
          <cell r="DL917">
            <v>0</v>
          </cell>
          <cell r="DM917">
            <v>0</v>
          </cell>
          <cell r="DN917">
            <v>0</v>
          </cell>
          <cell r="DO917">
            <v>0</v>
          </cell>
          <cell r="DP917">
            <v>0</v>
          </cell>
          <cell r="DQ917">
            <v>0</v>
          </cell>
          <cell r="DR917">
            <v>0</v>
          </cell>
          <cell r="DS917">
            <v>0</v>
          </cell>
          <cell r="DT917">
            <v>0</v>
          </cell>
          <cell r="DU917">
            <v>0</v>
          </cell>
          <cell r="DV917">
            <v>0</v>
          </cell>
          <cell r="DW917">
            <v>0</v>
          </cell>
          <cell r="DX917">
            <v>0</v>
          </cell>
          <cell r="DY917" t="str">
            <v/>
          </cell>
          <cell r="DZ917" t="str">
            <v>pasiv</v>
          </cell>
          <cell r="EA917" t="e">
            <v>#DIV/0!</v>
          </cell>
        </row>
        <row r="918">
          <cell r="B918">
            <v>78030</v>
          </cell>
          <cell r="C918" t="str">
            <v xml:space="preserve">SUN YAPRAK BASKILI PECETE _30*30 CM_80*24 </v>
          </cell>
          <cell r="D918" t="str">
            <v>KOLI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2</v>
          </cell>
          <cell r="T918">
            <v>51.22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2</v>
          </cell>
          <cell r="Z918">
            <v>51.22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O918">
            <v>0</v>
          </cell>
          <cell r="AP918">
            <v>0</v>
          </cell>
          <cell r="AS918">
            <v>0</v>
          </cell>
          <cell r="AT918">
            <v>0</v>
          </cell>
          <cell r="AU918">
            <v>9</v>
          </cell>
          <cell r="AV918">
            <v>237.29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5</v>
          </cell>
          <cell r="CF918">
            <v>127.51</v>
          </cell>
          <cell r="CG918">
            <v>0</v>
          </cell>
          <cell r="CH918">
            <v>0</v>
          </cell>
          <cell r="CI918">
            <v>5</v>
          </cell>
          <cell r="CJ918">
            <v>127.51</v>
          </cell>
          <cell r="CK918">
            <v>5</v>
          </cell>
          <cell r="CL918">
            <v>127.51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S918">
            <v>0</v>
          </cell>
          <cell r="CT918">
            <v>0</v>
          </cell>
          <cell r="CU918">
            <v>2</v>
          </cell>
          <cell r="CV918">
            <v>58.56</v>
          </cell>
          <cell r="CW918">
            <v>0</v>
          </cell>
          <cell r="CX918">
            <v>0</v>
          </cell>
          <cell r="CY918">
            <v>0</v>
          </cell>
          <cell r="CZ918">
            <v>0</v>
          </cell>
          <cell r="DA918">
            <v>0</v>
          </cell>
          <cell r="DB918">
            <v>0</v>
          </cell>
          <cell r="DC918">
            <v>0</v>
          </cell>
          <cell r="DD918">
            <v>0</v>
          </cell>
          <cell r="DE918">
            <v>0</v>
          </cell>
          <cell r="DF918">
            <v>0</v>
          </cell>
          <cell r="DG918">
            <v>0</v>
          </cell>
          <cell r="DH918">
            <v>0</v>
          </cell>
          <cell r="DI918">
            <v>0</v>
          </cell>
          <cell r="DJ918">
            <v>0</v>
          </cell>
          <cell r="DK918">
            <v>0</v>
          </cell>
          <cell r="DL918">
            <v>0</v>
          </cell>
          <cell r="DM918">
            <v>0</v>
          </cell>
          <cell r="DN918">
            <v>0</v>
          </cell>
          <cell r="DO918">
            <v>1</v>
          </cell>
          <cell r="DP918">
            <v>29.28</v>
          </cell>
          <cell r="DQ918">
            <v>0</v>
          </cell>
          <cell r="DR918">
            <v>0</v>
          </cell>
          <cell r="DS918">
            <v>1</v>
          </cell>
          <cell r="DT918">
            <v>29.28</v>
          </cell>
          <cell r="DU918">
            <v>2</v>
          </cell>
          <cell r="DV918">
            <v>58.56</v>
          </cell>
          <cell r="DW918">
            <v>9</v>
          </cell>
          <cell r="DX918">
            <v>237.29</v>
          </cell>
          <cell r="DY918" t="str">
            <v/>
          </cell>
          <cell r="DZ918">
            <v>0</v>
          </cell>
          <cell r="EA918">
            <v>26.365555555555556</v>
          </cell>
        </row>
        <row r="919">
          <cell r="B919">
            <v>72652</v>
          </cell>
          <cell r="C919" t="str">
            <v>SUN KUGU PECETE _30*30 CM_80*24</v>
          </cell>
          <cell r="D919" t="str">
            <v>KOLI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11</v>
          </cell>
          <cell r="T919">
            <v>281.70999999999998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11</v>
          </cell>
          <cell r="Z919">
            <v>281.70999999999998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5</v>
          </cell>
          <cell r="AH919">
            <v>142.68</v>
          </cell>
          <cell r="AI919">
            <v>4</v>
          </cell>
          <cell r="AJ919">
            <v>114.01</v>
          </cell>
          <cell r="AK919">
            <v>0</v>
          </cell>
          <cell r="AL919">
            <v>0</v>
          </cell>
          <cell r="AO919">
            <v>9</v>
          </cell>
          <cell r="AP919">
            <v>256.69</v>
          </cell>
          <cell r="AS919">
            <v>0</v>
          </cell>
          <cell r="AT919">
            <v>0</v>
          </cell>
          <cell r="AU919">
            <v>49</v>
          </cell>
          <cell r="AV919">
            <v>1356.37</v>
          </cell>
          <cell r="AW919">
            <v>0</v>
          </cell>
          <cell r="AX919">
            <v>0</v>
          </cell>
          <cell r="AY919">
            <v>2</v>
          </cell>
          <cell r="AZ919">
            <v>58.56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2</v>
          </cell>
          <cell r="BF919">
            <v>58.56</v>
          </cell>
          <cell r="BG919">
            <v>3</v>
          </cell>
          <cell r="BH919">
            <v>87.84</v>
          </cell>
          <cell r="BI919">
            <v>1</v>
          </cell>
          <cell r="BJ919">
            <v>29.28</v>
          </cell>
          <cell r="BK919">
            <v>0</v>
          </cell>
          <cell r="BL919">
            <v>0</v>
          </cell>
          <cell r="BM919">
            <v>1</v>
          </cell>
          <cell r="BN919">
            <v>29.28</v>
          </cell>
          <cell r="BO919">
            <v>4</v>
          </cell>
          <cell r="BP919">
            <v>108.02</v>
          </cell>
          <cell r="BQ919">
            <v>0</v>
          </cell>
          <cell r="BR919">
            <v>0</v>
          </cell>
          <cell r="BS919">
            <v>9</v>
          </cell>
          <cell r="BT919">
            <v>254.42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1</v>
          </cell>
          <cell r="BZ919">
            <v>25.06</v>
          </cell>
          <cell r="CA919">
            <v>1</v>
          </cell>
          <cell r="CB919">
            <v>29.28</v>
          </cell>
          <cell r="CC919">
            <v>0</v>
          </cell>
          <cell r="CD919">
            <v>0</v>
          </cell>
          <cell r="CE919">
            <v>2</v>
          </cell>
          <cell r="CF919">
            <v>58.56</v>
          </cell>
          <cell r="CG919">
            <v>0</v>
          </cell>
          <cell r="CH919">
            <v>0</v>
          </cell>
          <cell r="CI919">
            <v>4</v>
          </cell>
          <cell r="CJ919">
            <v>112.9</v>
          </cell>
          <cell r="CK919">
            <v>13</v>
          </cell>
          <cell r="CL919">
            <v>367.32</v>
          </cell>
          <cell r="CO919">
            <v>0</v>
          </cell>
          <cell r="CP919">
            <v>0</v>
          </cell>
          <cell r="CQ919">
            <v>0</v>
          </cell>
          <cell r="CR919">
            <v>0</v>
          </cell>
          <cell r="CS919">
            <v>0</v>
          </cell>
          <cell r="CT919">
            <v>0</v>
          </cell>
          <cell r="CU919">
            <v>11</v>
          </cell>
          <cell r="CV919">
            <v>304.25</v>
          </cell>
          <cell r="CW919">
            <v>0</v>
          </cell>
          <cell r="CX919">
            <v>0</v>
          </cell>
          <cell r="CY919">
            <v>0</v>
          </cell>
          <cell r="CZ919">
            <v>0</v>
          </cell>
          <cell r="DA919">
            <v>0</v>
          </cell>
          <cell r="DB919">
            <v>0</v>
          </cell>
          <cell r="DC919">
            <v>0</v>
          </cell>
          <cell r="DD919">
            <v>0</v>
          </cell>
          <cell r="DE919">
            <v>0</v>
          </cell>
          <cell r="DF919">
            <v>0</v>
          </cell>
          <cell r="DG919">
            <v>2</v>
          </cell>
          <cell r="DH919">
            <v>58.56</v>
          </cell>
          <cell r="DI919">
            <v>1</v>
          </cell>
          <cell r="DJ919">
            <v>29.28</v>
          </cell>
          <cell r="DK919">
            <v>0</v>
          </cell>
          <cell r="DL919">
            <v>0</v>
          </cell>
          <cell r="DM919">
            <v>3</v>
          </cell>
          <cell r="DN919">
            <v>87.84</v>
          </cell>
          <cell r="DO919">
            <v>6</v>
          </cell>
          <cell r="DP919">
            <v>160.13</v>
          </cell>
          <cell r="DQ919">
            <v>2</v>
          </cell>
          <cell r="DR919">
            <v>56.28</v>
          </cell>
          <cell r="DS919">
            <v>3</v>
          </cell>
          <cell r="DT919">
            <v>87.84</v>
          </cell>
          <cell r="DU919">
            <v>11</v>
          </cell>
          <cell r="DV919">
            <v>304.25</v>
          </cell>
          <cell r="DW919">
            <v>49</v>
          </cell>
          <cell r="DX919">
            <v>1356.3700000000001</v>
          </cell>
          <cell r="DY919" t="str">
            <v/>
          </cell>
          <cell r="DZ919">
            <v>0</v>
          </cell>
          <cell r="EA919">
            <v>27.681020408163267</v>
          </cell>
        </row>
        <row r="920">
          <cell r="B920">
            <v>204316</v>
          </cell>
          <cell r="C920" t="str">
            <v>MOLLIS SALFET YASIL_27*30CM_80*24</v>
          </cell>
          <cell r="D920" t="str">
            <v>KOLI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O920">
            <v>0</v>
          </cell>
          <cell r="AP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O920">
            <v>0</v>
          </cell>
          <cell r="CP920">
            <v>0</v>
          </cell>
          <cell r="CQ920">
            <v>0</v>
          </cell>
          <cell r="CR920">
            <v>0</v>
          </cell>
          <cell r="CS920">
            <v>0</v>
          </cell>
          <cell r="CT920">
            <v>0</v>
          </cell>
          <cell r="CU920">
            <v>0</v>
          </cell>
          <cell r="CV920">
            <v>0</v>
          </cell>
          <cell r="CW920">
            <v>0</v>
          </cell>
          <cell r="CX920">
            <v>0</v>
          </cell>
          <cell r="CY920">
            <v>0</v>
          </cell>
          <cell r="CZ920">
            <v>0</v>
          </cell>
          <cell r="DA920">
            <v>0</v>
          </cell>
          <cell r="DB920">
            <v>0</v>
          </cell>
          <cell r="DC920">
            <v>0</v>
          </cell>
          <cell r="DD920">
            <v>0</v>
          </cell>
          <cell r="DE920">
            <v>0</v>
          </cell>
          <cell r="DF920">
            <v>0</v>
          </cell>
          <cell r="DG920">
            <v>0</v>
          </cell>
          <cell r="DH920">
            <v>0</v>
          </cell>
          <cell r="DI920">
            <v>0</v>
          </cell>
          <cell r="DJ920">
            <v>0</v>
          </cell>
          <cell r="DK920">
            <v>0</v>
          </cell>
          <cell r="DL920">
            <v>0</v>
          </cell>
          <cell r="DM920">
            <v>0</v>
          </cell>
          <cell r="DN920">
            <v>0</v>
          </cell>
          <cell r="DO920">
            <v>0</v>
          </cell>
          <cell r="DP920">
            <v>0</v>
          </cell>
          <cell r="DQ920">
            <v>0</v>
          </cell>
          <cell r="DR920">
            <v>0</v>
          </cell>
          <cell r="DS920">
            <v>0</v>
          </cell>
          <cell r="DT920">
            <v>0</v>
          </cell>
          <cell r="DU920">
            <v>0</v>
          </cell>
          <cell r="DV920">
            <v>0</v>
          </cell>
          <cell r="DW920">
            <v>0</v>
          </cell>
          <cell r="DX920">
            <v>0</v>
          </cell>
          <cell r="DY920" t="str">
            <v/>
          </cell>
          <cell r="DZ920" t="str">
            <v>pasiv</v>
          </cell>
          <cell r="EA920" t="e">
            <v>#DIV/0!</v>
          </cell>
        </row>
        <row r="921">
          <cell r="B921">
            <v>204317</v>
          </cell>
          <cell r="C921" t="str">
            <v>MOLLIS SALFET KUGU PEMBE_27*30CM_80*24</v>
          </cell>
          <cell r="D921" t="str">
            <v>KOLI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O921">
            <v>0</v>
          </cell>
          <cell r="AP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O921">
            <v>0</v>
          </cell>
          <cell r="CP921">
            <v>0</v>
          </cell>
          <cell r="CQ921">
            <v>0</v>
          </cell>
          <cell r="CR921">
            <v>0</v>
          </cell>
          <cell r="CS921">
            <v>0</v>
          </cell>
          <cell r="CT921">
            <v>0</v>
          </cell>
          <cell r="CU921">
            <v>0</v>
          </cell>
          <cell r="CV921">
            <v>0</v>
          </cell>
          <cell r="CW921">
            <v>0</v>
          </cell>
          <cell r="CX921">
            <v>0</v>
          </cell>
          <cell r="CY921">
            <v>0</v>
          </cell>
          <cell r="CZ921">
            <v>0</v>
          </cell>
          <cell r="DA921">
            <v>0</v>
          </cell>
          <cell r="DB921">
            <v>0</v>
          </cell>
          <cell r="DC921">
            <v>0</v>
          </cell>
          <cell r="DD921">
            <v>0</v>
          </cell>
          <cell r="DE921">
            <v>0</v>
          </cell>
          <cell r="DF921">
            <v>0</v>
          </cell>
          <cell r="DG921">
            <v>0</v>
          </cell>
          <cell r="DH921">
            <v>0</v>
          </cell>
          <cell r="DI921">
            <v>0</v>
          </cell>
          <cell r="DJ921">
            <v>0</v>
          </cell>
          <cell r="DK921">
            <v>0</v>
          </cell>
          <cell r="DL921">
            <v>0</v>
          </cell>
          <cell r="DM921">
            <v>0</v>
          </cell>
          <cell r="DN921">
            <v>0</v>
          </cell>
          <cell r="DO921">
            <v>0</v>
          </cell>
          <cell r="DP921">
            <v>0</v>
          </cell>
          <cell r="DQ921">
            <v>0</v>
          </cell>
          <cell r="DR921">
            <v>0</v>
          </cell>
          <cell r="DS921">
            <v>0</v>
          </cell>
          <cell r="DT921">
            <v>0</v>
          </cell>
          <cell r="DU921">
            <v>0</v>
          </cell>
          <cell r="DV921">
            <v>0</v>
          </cell>
          <cell r="DW921">
            <v>0</v>
          </cell>
          <cell r="DX921">
            <v>0</v>
          </cell>
          <cell r="DY921" t="str">
            <v/>
          </cell>
          <cell r="DZ921" t="str">
            <v>pasiv</v>
          </cell>
          <cell r="EA921" t="e">
            <v>#DIV/0!</v>
          </cell>
        </row>
        <row r="922">
          <cell r="B922">
            <v>204318</v>
          </cell>
          <cell r="C922" t="str">
            <v>MOLLIS SALFET KUGU YASIL_27*30CM_80*24</v>
          </cell>
          <cell r="D922" t="str">
            <v>KOLI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O922">
            <v>0</v>
          </cell>
          <cell r="AP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0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0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0</v>
          </cell>
          <cell r="DI922">
            <v>0</v>
          </cell>
          <cell r="DJ922">
            <v>0</v>
          </cell>
          <cell r="DK922">
            <v>0</v>
          </cell>
          <cell r="DL922">
            <v>0</v>
          </cell>
          <cell r="DM922">
            <v>0</v>
          </cell>
          <cell r="DN922">
            <v>0</v>
          </cell>
          <cell r="DO922">
            <v>0</v>
          </cell>
          <cell r="DP922">
            <v>0</v>
          </cell>
          <cell r="DQ922">
            <v>0</v>
          </cell>
          <cell r="DR922">
            <v>0</v>
          </cell>
          <cell r="DS922">
            <v>0</v>
          </cell>
          <cell r="DT922">
            <v>0</v>
          </cell>
          <cell r="DU922">
            <v>0</v>
          </cell>
          <cell r="DV922">
            <v>0</v>
          </cell>
          <cell r="DW922">
            <v>0</v>
          </cell>
          <cell r="DX922">
            <v>0</v>
          </cell>
          <cell r="DY922" t="str">
            <v/>
          </cell>
          <cell r="DZ922" t="str">
            <v>pasiv</v>
          </cell>
          <cell r="EA922" t="e">
            <v>#DIV/0!</v>
          </cell>
        </row>
        <row r="923">
          <cell r="B923">
            <v>204352</v>
          </cell>
          <cell r="C923" t="str">
            <v>MOLLIS SALFET PEMBE_27*30CM_80*24</v>
          </cell>
          <cell r="D923" t="str">
            <v>KOLI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O923">
            <v>0</v>
          </cell>
          <cell r="AP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O923">
            <v>0</v>
          </cell>
          <cell r="CP923">
            <v>0</v>
          </cell>
          <cell r="CQ923">
            <v>0</v>
          </cell>
          <cell r="CR923">
            <v>0</v>
          </cell>
          <cell r="CS923">
            <v>0</v>
          </cell>
          <cell r="CT923">
            <v>0</v>
          </cell>
          <cell r="CU923">
            <v>0</v>
          </cell>
          <cell r="CV923">
            <v>0</v>
          </cell>
          <cell r="CW923">
            <v>0</v>
          </cell>
          <cell r="CX923">
            <v>0</v>
          </cell>
          <cell r="CY923">
            <v>0</v>
          </cell>
          <cell r="CZ923">
            <v>0</v>
          </cell>
          <cell r="DA923">
            <v>0</v>
          </cell>
          <cell r="DB923">
            <v>0</v>
          </cell>
          <cell r="DC923">
            <v>0</v>
          </cell>
          <cell r="DD923">
            <v>0</v>
          </cell>
          <cell r="DE923">
            <v>0</v>
          </cell>
          <cell r="DF923">
            <v>0</v>
          </cell>
          <cell r="DG923">
            <v>0</v>
          </cell>
          <cell r="DH923">
            <v>0</v>
          </cell>
          <cell r="DI923">
            <v>0</v>
          </cell>
          <cell r="DJ923">
            <v>0</v>
          </cell>
          <cell r="DK923">
            <v>0</v>
          </cell>
          <cell r="DL923">
            <v>0</v>
          </cell>
          <cell r="DM923">
            <v>0</v>
          </cell>
          <cell r="DN923">
            <v>0</v>
          </cell>
          <cell r="DO923">
            <v>0</v>
          </cell>
          <cell r="DP923">
            <v>0</v>
          </cell>
          <cell r="DQ923">
            <v>0</v>
          </cell>
          <cell r="DR923">
            <v>0</v>
          </cell>
          <cell r="DS923">
            <v>0</v>
          </cell>
          <cell r="DT923">
            <v>0</v>
          </cell>
          <cell r="DU923">
            <v>0</v>
          </cell>
          <cell r="DV923">
            <v>0</v>
          </cell>
          <cell r="DW923">
            <v>0</v>
          </cell>
          <cell r="DX923">
            <v>0</v>
          </cell>
          <cell r="DY923" t="str">
            <v/>
          </cell>
          <cell r="DZ923" t="str">
            <v>pasiv</v>
          </cell>
          <cell r="EA923" t="e">
            <v>#DIV/0!</v>
          </cell>
        </row>
        <row r="924">
          <cell r="B924">
            <v>305114</v>
          </cell>
          <cell r="C924" t="str">
            <v>ხელ-ცი-ჩვენი სუფრა-გედი-27*30_70*24</v>
          </cell>
          <cell r="D924" t="str">
            <v>KOLI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2</v>
          </cell>
          <cell r="T924">
            <v>45.04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2</v>
          </cell>
          <cell r="Z924">
            <v>45.04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1</v>
          </cell>
          <cell r="AH924">
            <v>25.68</v>
          </cell>
          <cell r="AI924">
            <v>3</v>
          </cell>
          <cell r="AJ924">
            <v>77.040000000000006</v>
          </cell>
          <cell r="AK924">
            <v>1</v>
          </cell>
          <cell r="AL924">
            <v>25.68</v>
          </cell>
          <cell r="AO924">
            <v>5</v>
          </cell>
          <cell r="AP924">
            <v>128.4</v>
          </cell>
          <cell r="AS924">
            <v>0</v>
          </cell>
          <cell r="AT924">
            <v>0</v>
          </cell>
          <cell r="AU924">
            <v>26</v>
          </cell>
          <cell r="AV924">
            <v>629.13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1</v>
          </cell>
          <cell r="BH924">
            <v>24.48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2</v>
          </cell>
          <cell r="BN924">
            <v>46.02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3</v>
          </cell>
          <cell r="BT924">
            <v>70.5</v>
          </cell>
          <cell r="BU924">
            <v>7</v>
          </cell>
          <cell r="BV924">
            <v>161.32</v>
          </cell>
          <cell r="BW924">
            <v>0</v>
          </cell>
          <cell r="BX924">
            <v>0</v>
          </cell>
          <cell r="BY924">
            <v>1</v>
          </cell>
          <cell r="BZ924">
            <v>23.01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8</v>
          </cell>
          <cell r="CJ924">
            <v>184.33</v>
          </cell>
          <cell r="CK924">
            <v>11</v>
          </cell>
          <cell r="CL924">
            <v>254.83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5</v>
          </cell>
          <cell r="CV924">
            <v>125.02</v>
          </cell>
          <cell r="CW924">
            <v>0</v>
          </cell>
          <cell r="CX924">
            <v>0</v>
          </cell>
          <cell r="CY924">
            <v>0</v>
          </cell>
          <cell r="CZ924">
            <v>0</v>
          </cell>
          <cell r="DA924">
            <v>1</v>
          </cell>
          <cell r="DB924">
            <v>25.68</v>
          </cell>
          <cell r="DC924">
            <v>0</v>
          </cell>
          <cell r="DD924">
            <v>0</v>
          </cell>
          <cell r="DE924">
            <v>1</v>
          </cell>
          <cell r="DF924">
            <v>25.68</v>
          </cell>
          <cell r="DG924">
            <v>0</v>
          </cell>
          <cell r="DH924">
            <v>0</v>
          </cell>
          <cell r="DI924">
            <v>1</v>
          </cell>
          <cell r="DJ924">
            <v>24.48</v>
          </cell>
          <cell r="DK924">
            <v>1</v>
          </cell>
          <cell r="DL924">
            <v>25.68</v>
          </cell>
          <cell r="DM924">
            <v>2</v>
          </cell>
          <cell r="DN924">
            <v>50.16</v>
          </cell>
          <cell r="DO924">
            <v>3</v>
          </cell>
          <cell r="DP924">
            <v>74.86</v>
          </cell>
          <cell r="DQ924">
            <v>1</v>
          </cell>
          <cell r="DR924">
            <v>24.48</v>
          </cell>
          <cell r="DS924">
            <v>1</v>
          </cell>
          <cell r="DT924">
            <v>25.68</v>
          </cell>
          <cell r="DU924">
            <v>5</v>
          </cell>
          <cell r="DV924">
            <v>125.02</v>
          </cell>
          <cell r="DW924">
            <v>26</v>
          </cell>
          <cell r="DX924">
            <v>629.13</v>
          </cell>
          <cell r="DY924" t="str">
            <v/>
          </cell>
          <cell r="DZ924">
            <v>0</v>
          </cell>
          <cell r="EA924">
            <v>24.197307692307692</v>
          </cell>
        </row>
        <row r="925">
          <cell r="B925">
            <v>309444</v>
          </cell>
          <cell r="C925" t="str">
            <v>ხელ-ცი-ჩვ.სუფრა-გედი-27*30_70*24_22ც+2ც</v>
          </cell>
          <cell r="D925" t="str">
            <v>KOLI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O925">
            <v>0</v>
          </cell>
          <cell r="AP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0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0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0</v>
          </cell>
          <cell r="DI925">
            <v>0</v>
          </cell>
          <cell r="DJ925">
            <v>0</v>
          </cell>
          <cell r="DK925">
            <v>0</v>
          </cell>
          <cell r="DL925">
            <v>0</v>
          </cell>
          <cell r="DM925">
            <v>0</v>
          </cell>
          <cell r="DN925">
            <v>0</v>
          </cell>
          <cell r="DO925">
            <v>0</v>
          </cell>
          <cell r="DP925">
            <v>0</v>
          </cell>
          <cell r="DQ925">
            <v>0</v>
          </cell>
          <cell r="DR925">
            <v>0</v>
          </cell>
          <cell r="DS925">
            <v>0</v>
          </cell>
          <cell r="DT925">
            <v>0</v>
          </cell>
          <cell r="DU925">
            <v>0</v>
          </cell>
          <cell r="DV925">
            <v>0</v>
          </cell>
          <cell r="DW925">
            <v>0</v>
          </cell>
          <cell r="DX925">
            <v>0</v>
          </cell>
          <cell r="DY925" t="str">
            <v/>
          </cell>
          <cell r="DZ925" t="str">
            <v>pasiv</v>
          </cell>
          <cell r="EA925" t="e">
            <v>#DIV/0!</v>
          </cell>
        </row>
        <row r="926">
          <cell r="B926">
            <v>309445</v>
          </cell>
          <cell r="C926" t="str">
            <v>ხელ-ცი-ჩვ.სუფრა-ვარდი-27*30_70*24_22ც+2ც</v>
          </cell>
          <cell r="D926" t="str">
            <v>KOLI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O926">
            <v>0</v>
          </cell>
          <cell r="AP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O926">
            <v>0</v>
          </cell>
          <cell r="CP926">
            <v>0</v>
          </cell>
          <cell r="CQ926">
            <v>0</v>
          </cell>
          <cell r="CR926">
            <v>0</v>
          </cell>
          <cell r="CS926">
            <v>0</v>
          </cell>
          <cell r="CT926">
            <v>0</v>
          </cell>
          <cell r="CU926">
            <v>0</v>
          </cell>
          <cell r="CV926">
            <v>0</v>
          </cell>
          <cell r="CW926">
            <v>0</v>
          </cell>
          <cell r="CX926">
            <v>0</v>
          </cell>
          <cell r="CY926">
            <v>0</v>
          </cell>
          <cell r="CZ926">
            <v>0</v>
          </cell>
          <cell r="DA926">
            <v>0</v>
          </cell>
          <cell r="DB926">
            <v>0</v>
          </cell>
          <cell r="DC926">
            <v>0</v>
          </cell>
          <cell r="DD926">
            <v>0</v>
          </cell>
          <cell r="DE926">
            <v>0</v>
          </cell>
          <cell r="DF926">
            <v>0</v>
          </cell>
          <cell r="DG926">
            <v>0</v>
          </cell>
          <cell r="DH926">
            <v>0</v>
          </cell>
          <cell r="DI926">
            <v>0</v>
          </cell>
          <cell r="DJ926">
            <v>0</v>
          </cell>
          <cell r="DK926">
            <v>0</v>
          </cell>
          <cell r="DL926">
            <v>0</v>
          </cell>
          <cell r="DM926">
            <v>0</v>
          </cell>
          <cell r="DN926">
            <v>0</v>
          </cell>
          <cell r="DO926">
            <v>0</v>
          </cell>
          <cell r="DP926">
            <v>0</v>
          </cell>
          <cell r="DQ926">
            <v>0</v>
          </cell>
          <cell r="DR926">
            <v>0</v>
          </cell>
          <cell r="DS926">
            <v>0</v>
          </cell>
          <cell r="DT926">
            <v>0</v>
          </cell>
          <cell r="DU926">
            <v>0</v>
          </cell>
          <cell r="DV926">
            <v>0</v>
          </cell>
          <cell r="DW926">
            <v>0</v>
          </cell>
          <cell r="DX926">
            <v>0</v>
          </cell>
          <cell r="DY926" t="str">
            <v/>
          </cell>
          <cell r="DZ926" t="str">
            <v>pasiv</v>
          </cell>
          <cell r="EA926" t="e">
            <v>#DIV/0!</v>
          </cell>
        </row>
        <row r="927">
          <cell r="B927">
            <v>309446</v>
          </cell>
          <cell r="C927" t="str">
            <v>ხელ-ცი-ჩვ.სუფრა-ფოთოლი-27*30_70*24_22ც+2ც</v>
          </cell>
          <cell r="D927" t="str">
            <v>KOLI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O927">
            <v>0</v>
          </cell>
          <cell r="AP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0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0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0</v>
          </cell>
          <cell r="DI927">
            <v>0</v>
          </cell>
          <cell r="DJ927">
            <v>0</v>
          </cell>
          <cell r="DK927">
            <v>0</v>
          </cell>
          <cell r="DL927">
            <v>0</v>
          </cell>
          <cell r="DM927">
            <v>0</v>
          </cell>
          <cell r="DN927">
            <v>0</v>
          </cell>
          <cell r="DO927">
            <v>0</v>
          </cell>
          <cell r="DP927">
            <v>0</v>
          </cell>
          <cell r="DQ927">
            <v>0</v>
          </cell>
          <cell r="DR927">
            <v>0</v>
          </cell>
          <cell r="DS927">
            <v>0</v>
          </cell>
          <cell r="DT927">
            <v>0</v>
          </cell>
          <cell r="DU927">
            <v>0</v>
          </cell>
          <cell r="DV927">
            <v>0</v>
          </cell>
          <cell r="DW927">
            <v>0</v>
          </cell>
          <cell r="DX927">
            <v>0</v>
          </cell>
          <cell r="DY927" t="str">
            <v/>
          </cell>
          <cell r="DZ927" t="str">
            <v>pasiv</v>
          </cell>
          <cell r="EA927" t="e">
            <v>#DIV/0!</v>
          </cell>
        </row>
        <row r="928">
          <cell r="B928">
            <v>309447</v>
          </cell>
          <cell r="C928" t="str">
            <v>ხელ-ცი-ჩვ.სუფრა-მარწყვი-27*30_70*24_22ც+2ც</v>
          </cell>
          <cell r="D928" t="str">
            <v>KOLI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O928">
            <v>0</v>
          </cell>
          <cell r="AP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O928">
            <v>0</v>
          </cell>
          <cell r="CP928">
            <v>0</v>
          </cell>
          <cell r="CQ928">
            <v>0</v>
          </cell>
          <cell r="CR928">
            <v>0</v>
          </cell>
          <cell r="CS928">
            <v>0</v>
          </cell>
          <cell r="CT928">
            <v>0</v>
          </cell>
          <cell r="CU928">
            <v>0</v>
          </cell>
          <cell r="CV928">
            <v>0</v>
          </cell>
          <cell r="CW928">
            <v>0</v>
          </cell>
          <cell r="CX928">
            <v>0</v>
          </cell>
          <cell r="CY928">
            <v>0</v>
          </cell>
          <cell r="CZ928">
            <v>0</v>
          </cell>
          <cell r="DA928">
            <v>0</v>
          </cell>
          <cell r="DB928">
            <v>0</v>
          </cell>
          <cell r="DC928">
            <v>0</v>
          </cell>
          <cell r="DD928">
            <v>0</v>
          </cell>
          <cell r="DE928">
            <v>0</v>
          </cell>
          <cell r="DF928">
            <v>0</v>
          </cell>
          <cell r="DG928">
            <v>0</v>
          </cell>
          <cell r="DH928">
            <v>0</v>
          </cell>
          <cell r="DI928">
            <v>0</v>
          </cell>
          <cell r="DJ928">
            <v>0</v>
          </cell>
          <cell r="DK928">
            <v>0</v>
          </cell>
          <cell r="DL928">
            <v>0</v>
          </cell>
          <cell r="DM928">
            <v>0</v>
          </cell>
          <cell r="DN928">
            <v>0</v>
          </cell>
          <cell r="DO928">
            <v>0</v>
          </cell>
          <cell r="DP928">
            <v>0</v>
          </cell>
          <cell r="DQ928">
            <v>0</v>
          </cell>
          <cell r="DR928">
            <v>0</v>
          </cell>
          <cell r="DS928">
            <v>0</v>
          </cell>
          <cell r="DT928">
            <v>0</v>
          </cell>
          <cell r="DU928">
            <v>0</v>
          </cell>
          <cell r="DV928">
            <v>0</v>
          </cell>
          <cell r="DW928">
            <v>0</v>
          </cell>
          <cell r="DX928">
            <v>0</v>
          </cell>
          <cell r="DY928" t="str">
            <v/>
          </cell>
          <cell r="DZ928" t="str">
            <v>pasiv</v>
          </cell>
          <cell r="EA928" t="e">
            <v>#DIV/0!</v>
          </cell>
        </row>
        <row r="929">
          <cell r="B929">
            <v>309448</v>
          </cell>
          <cell r="C929" t="str">
            <v>ხელ-ცი-ჩვ.სუფრა-თეთრი-27*30_70*24_22ც+2ც</v>
          </cell>
          <cell r="D929" t="str">
            <v>KOLI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O929">
            <v>0</v>
          </cell>
          <cell r="AP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0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0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0</v>
          </cell>
          <cell r="DI929">
            <v>0</v>
          </cell>
          <cell r="DJ929">
            <v>0</v>
          </cell>
          <cell r="DK929">
            <v>0</v>
          </cell>
          <cell r="DL929">
            <v>0</v>
          </cell>
          <cell r="DM929">
            <v>0</v>
          </cell>
          <cell r="DN929">
            <v>0</v>
          </cell>
          <cell r="DO929">
            <v>0</v>
          </cell>
          <cell r="DP929">
            <v>0</v>
          </cell>
          <cell r="DQ929">
            <v>0</v>
          </cell>
          <cell r="DR929">
            <v>0</v>
          </cell>
          <cell r="DS929">
            <v>0</v>
          </cell>
          <cell r="DT929">
            <v>0</v>
          </cell>
          <cell r="DU929">
            <v>0</v>
          </cell>
          <cell r="DV929">
            <v>0</v>
          </cell>
          <cell r="DW929">
            <v>0</v>
          </cell>
          <cell r="DX929">
            <v>0</v>
          </cell>
          <cell r="DY929" t="str">
            <v/>
          </cell>
          <cell r="DZ929" t="str">
            <v>pasiv</v>
          </cell>
          <cell r="EA929" t="e">
            <v>#DIV/0!</v>
          </cell>
        </row>
        <row r="930">
          <cell r="B930">
            <v>305115</v>
          </cell>
          <cell r="C930" t="str">
            <v>ხელ-ცი-ჩვენი სუფრა-ვარდი-27*30_70*24</v>
          </cell>
          <cell r="D930" t="str">
            <v>KOLI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2</v>
          </cell>
          <cell r="T930">
            <v>45.04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2</v>
          </cell>
          <cell r="Z930">
            <v>45.04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1</v>
          </cell>
          <cell r="AH930">
            <v>25.68</v>
          </cell>
          <cell r="AI930">
            <v>1</v>
          </cell>
          <cell r="AJ930">
            <v>25.68</v>
          </cell>
          <cell r="AK930">
            <v>1</v>
          </cell>
          <cell r="AL930">
            <v>25.68</v>
          </cell>
          <cell r="AO930">
            <v>3</v>
          </cell>
          <cell r="AP930">
            <v>77.039999999999992</v>
          </cell>
          <cell r="AS930">
            <v>0</v>
          </cell>
          <cell r="AT930">
            <v>0</v>
          </cell>
          <cell r="AU930">
            <v>40</v>
          </cell>
          <cell r="AV930">
            <v>982.14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2</v>
          </cell>
          <cell r="BH930">
            <v>49.43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4</v>
          </cell>
          <cell r="BN930">
            <v>97.38</v>
          </cell>
          <cell r="BO930">
            <v>1</v>
          </cell>
          <cell r="BP930">
            <v>25.68</v>
          </cell>
          <cell r="BQ930">
            <v>0</v>
          </cell>
          <cell r="BR930">
            <v>0</v>
          </cell>
          <cell r="BS930">
            <v>7</v>
          </cell>
          <cell r="BT930">
            <v>172.49</v>
          </cell>
          <cell r="BU930">
            <v>7</v>
          </cell>
          <cell r="BV930">
            <v>161.32</v>
          </cell>
          <cell r="BW930">
            <v>0</v>
          </cell>
          <cell r="BX930">
            <v>0</v>
          </cell>
          <cell r="BY930">
            <v>3</v>
          </cell>
          <cell r="BZ930">
            <v>71.97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10</v>
          </cell>
          <cell r="CJ930">
            <v>233.29</v>
          </cell>
          <cell r="CK930">
            <v>17</v>
          </cell>
          <cell r="CL930">
            <v>405.78</v>
          </cell>
          <cell r="CO930">
            <v>0</v>
          </cell>
          <cell r="CP930">
            <v>0</v>
          </cell>
          <cell r="CQ930">
            <v>0</v>
          </cell>
          <cell r="CR930">
            <v>0</v>
          </cell>
          <cell r="CS930">
            <v>0</v>
          </cell>
          <cell r="CT930">
            <v>0</v>
          </cell>
          <cell r="CU930">
            <v>15</v>
          </cell>
          <cell r="CV930">
            <v>379.64</v>
          </cell>
          <cell r="CW930">
            <v>0</v>
          </cell>
          <cell r="CX930">
            <v>0</v>
          </cell>
          <cell r="CY930">
            <v>0</v>
          </cell>
          <cell r="CZ930">
            <v>0</v>
          </cell>
          <cell r="DA930">
            <v>0</v>
          </cell>
          <cell r="DB930">
            <v>0</v>
          </cell>
          <cell r="DC930">
            <v>0</v>
          </cell>
          <cell r="DD930">
            <v>0</v>
          </cell>
          <cell r="DE930">
            <v>0</v>
          </cell>
          <cell r="DF930">
            <v>0</v>
          </cell>
          <cell r="DG930">
            <v>0</v>
          </cell>
          <cell r="DH930">
            <v>0</v>
          </cell>
          <cell r="DI930">
            <v>2</v>
          </cell>
          <cell r="DJ930">
            <v>50.16</v>
          </cell>
          <cell r="DK930">
            <v>1</v>
          </cell>
          <cell r="DL930">
            <v>24.48</v>
          </cell>
          <cell r="DM930">
            <v>3</v>
          </cell>
          <cell r="DN930">
            <v>74.64</v>
          </cell>
          <cell r="DO930">
            <v>5</v>
          </cell>
          <cell r="DP930">
            <v>122.84</v>
          </cell>
          <cell r="DQ930">
            <v>1</v>
          </cell>
          <cell r="DR930">
            <v>25.68</v>
          </cell>
          <cell r="DS930">
            <v>9</v>
          </cell>
          <cell r="DT930">
            <v>231.12</v>
          </cell>
          <cell r="DU930">
            <v>15</v>
          </cell>
          <cell r="DV930">
            <v>379.64</v>
          </cell>
          <cell r="DW930">
            <v>40</v>
          </cell>
          <cell r="DX930">
            <v>982.13999999999987</v>
          </cell>
          <cell r="DY930" t="str">
            <v/>
          </cell>
          <cell r="DZ930">
            <v>0</v>
          </cell>
          <cell r="EA930">
            <v>24.553499999999996</v>
          </cell>
        </row>
        <row r="931">
          <cell r="B931">
            <v>305116</v>
          </cell>
          <cell r="C931" t="str">
            <v>ხელ-ცი-ჩვენი სუფრა-ფოთოლი-27*30_70*24</v>
          </cell>
          <cell r="D931" t="str">
            <v>KOLI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O931">
            <v>0</v>
          </cell>
          <cell r="AP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  <cell r="DL931">
            <v>0</v>
          </cell>
          <cell r="DM931">
            <v>0</v>
          </cell>
          <cell r="DN931">
            <v>0</v>
          </cell>
          <cell r="DO931">
            <v>0</v>
          </cell>
          <cell r="DP931">
            <v>0</v>
          </cell>
          <cell r="DQ931">
            <v>0</v>
          </cell>
          <cell r="DR931">
            <v>0</v>
          </cell>
          <cell r="DS931">
            <v>0</v>
          </cell>
          <cell r="DT931">
            <v>0</v>
          </cell>
          <cell r="DU931">
            <v>0</v>
          </cell>
          <cell r="DV931">
            <v>0</v>
          </cell>
          <cell r="DW931">
            <v>0</v>
          </cell>
          <cell r="DX931">
            <v>0</v>
          </cell>
          <cell r="DY931" t="str">
            <v/>
          </cell>
          <cell r="DZ931" t="str">
            <v>pasiv</v>
          </cell>
          <cell r="EA931" t="e">
            <v>#DIV/0!</v>
          </cell>
        </row>
        <row r="932">
          <cell r="B932">
            <v>305117</v>
          </cell>
          <cell r="C932" t="str">
            <v>ხელ-ცი-ჩვენი სუფრა-მარწყვი-27*30_70*24</v>
          </cell>
          <cell r="D932" t="str">
            <v>KOLI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O932">
            <v>0</v>
          </cell>
          <cell r="AP932">
            <v>0</v>
          </cell>
          <cell r="AS932">
            <v>0</v>
          </cell>
          <cell r="AT932">
            <v>0</v>
          </cell>
          <cell r="AU932">
            <v>3</v>
          </cell>
          <cell r="AV932">
            <v>73.44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O932">
            <v>0</v>
          </cell>
          <cell r="CP932">
            <v>0</v>
          </cell>
          <cell r="CQ932">
            <v>0</v>
          </cell>
          <cell r="CR932">
            <v>0</v>
          </cell>
          <cell r="CS932">
            <v>0</v>
          </cell>
          <cell r="CT932">
            <v>0</v>
          </cell>
          <cell r="CU932">
            <v>0</v>
          </cell>
          <cell r="CV932">
            <v>0</v>
          </cell>
          <cell r="CW932">
            <v>0</v>
          </cell>
          <cell r="CX932">
            <v>0</v>
          </cell>
          <cell r="CY932">
            <v>0</v>
          </cell>
          <cell r="CZ932">
            <v>0</v>
          </cell>
          <cell r="DA932">
            <v>0</v>
          </cell>
          <cell r="DB932">
            <v>0</v>
          </cell>
          <cell r="DC932">
            <v>0</v>
          </cell>
          <cell r="DD932">
            <v>0</v>
          </cell>
          <cell r="DE932">
            <v>0</v>
          </cell>
          <cell r="DF932">
            <v>0</v>
          </cell>
          <cell r="DG932">
            <v>0</v>
          </cell>
          <cell r="DH932">
            <v>0</v>
          </cell>
          <cell r="DI932">
            <v>0</v>
          </cell>
          <cell r="DJ932">
            <v>0</v>
          </cell>
          <cell r="DK932">
            <v>3</v>
          </cell>
          <cell r="DL932">
            <v>73.44</v>
          </cell>
          <cell r="DM932">
            <v>3</v>
          </cell>
          <cell r="DN932">
            <v>73.44</v>
          </cell>
          <cell r="DO932">
            <v>0</v>
          </cell>
          <cell r="DP932">
            <v>0</v>
          </cell>
          <cell r="DQ932">
            <v>0</v>
          </cell>
          <cell r="DR932">
            <v>0</v>
          </cell>
          <cell r="DS932">
            <v>0</v>
          </cell>
          <cell r="DT932">
            <v>0</v>
          </cell>
          <cell r="DU932">
            <v>0</v>
          </cell>
          <cell r="DV932">
            <v>0</v>
          </cell>
          <cell r="DW932">
            <v>3</v>
          </cell>
          <cell r="DX932">
            <v>73.44</v>
          </cell>
          <cell r="DY932" t="str">
            <v/>
          </cell>
          <cell r="DZ932">
            <v>0</v>
          </cell>
          <cell r="EA932">
            <v>24.48</v>
          </cell>
        </row>
        <row r="933">
          <cell r="B933">
            <v>305118</v>
          </cell>
          <cell r="C933" t="str">
            <v>ხელ-ცი-ჩვენი სუფრა-თეთრი-27*30_70*24</v>
          </cell>
          <cell r="D933" t="str">
            <v>KOLI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O933">
            <v>0</v>
          </cell>
          <cell r="P933">
            <v>0</v>
          </cell>
          <cell r="Q933">
            <v>5</v>
          </cell>
          <cell r="R933">
            <v>118.73</v>
          </cell>
          <cell r="S933">
            <v>2</v>
          </cell>
          <cell r="T933">
            <v>45.04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7</v>
          </cell>
          <cell r="Z933">
            <v>163.77000000000001</v>
          </cell>
          <cell r="AA933">
            <v>0</v>
          </cell>
          <cell r="AB933">
            <v>0</v>
          </cell>
          <cell r="AC933">
            <v>3</v>
          </cell>
          <cell r="AD933">
            <v>77.040000000000006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O933">
            <v>3</v>
          </cell>
          <cell r="AP933">
            <v>77.040000000000006</v>
          </cell>
          <cell r="AS933">
            <v>0</v>
          </cell>
          <cell r="AT933">
            <v>0</v>
          </cell>
          <cell r="AU933">
            <v>34</v>
          </cell>
          <cell r="AV933">
            <v>821.75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1</v>
          </cell>
          <cell r="BH933">
            <v>23.75</v>
          </cell>
          <cell r="BI933">
            <v>0</v>
          </cell>
          <cell r="BJ933">
            <v>0</v>
          </cell>
          <cell r="BK933">
            <v>4</v>
          </cell>
          <cell r="BL933">
            <v>102.72</v>
          </cell>
          <cell r="BM933">
            <v>3</v>
          </cell>
          <cell r="BN933">
            <v>71.7</v>
          </cell>
          <cell r="BO933">
            <v>2</v>
          </cell>
          <cell r="BP933">
            <v>51.36</v>
          </cell>
          <cell r="BQ933">
            <v>0</v>
          </cell>
          <cell r="BR933">
            <v>0</v>
          </cell>
          <cell r="BS933">
            <v>10</v>
          </cell>
          <cell r="BT933">
            <v>249.53</v>
          </cell>
          <cell r="BU933">
            <v>7</v>
          </cell>
          <cell r="BV933">
            <v>161.32</v>
          </cell>
          <cell r="BW933">
            <v>3</v>
          </cell>
          <cell r="BX933">
            <v>72.709999999999994</v>
          </cell>
          <cell r="BY933">
            <v>1</v>
          </cell>
          <cell r="BZ933">
            <v>23.01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1</v>
          </cell>
          <cell r="CF933">
            <v>23.01</v>
          </cell>
          <cell r="CG933">
            <v>0</v>
          </cell>
          <cell r="CH933">
            <v>0</v>
          </cell>
          <cell r="CI933">
            <v>12</v>
          </cell>
          <cell r="CJ933">
            <v>280.05</v>
          </cell>
          <cell r="CK933">
            <v>22</v>
          </cell>
          <cell r="CL933">
            <v>529.58000000000004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S933">
            <v>0</v>
          </cell>
          <cell r="CT933">
            <v>0</v>
          </cell>
          <cell r="CU933">
            <v>0</v>
          </cell>
          <cell r="CV933">
            <v>0</v>
          </cell>
          <cell r="CW933">
            <v>0</v>
          </cell>
          <cell r="CX933">
            <v>0</v>
          </cell>
          <cell r="CY933">
            <v>2</v>
          </cell>
          <cell r="CZ933">
            <v>51.36</v>
          </cell>
          <cell r="DA933">
            <v>0</v>
          </cell>
          <cell r="DB933">
            <v>0</v>
          </cell>
          <cell r="DC933">
            <v>0</v>
          </cell>
          <cell r="DD933">
            <v>0</v>
          </cell>
          <cell r="DE933">
            <v>2</v>
          </cell>
          <cell r="DF933">
            <v>51.36</v>
          </cell>
          <cell r="DG933">
            <v>0</v>
          </cell>
          <cell r="DH933">
            <v>0</v>
          </cell>
          <cell r="DI933">
            <v>0</v>
          </cell>
          <cell r="DJ933">
            <v>0</v>
          </cell>
          <cell r="DK933">
            <v>0</v>
          </cell>
          <cell r="DL933">
            <v>0</v>
          </cell>
          <cell r="DM933">
            <v>0</v>
          </cell>
          <cell r="DN933">
            <v>0</v>
          </cell>
          <cell r="DO933">
            <v>0</v>
          </cell>
          <cell r="DP933">
            <v>0</v>
          </cell>
          <cell r="DQ933">
            <v>0</v>
          </cell>
          <cell r="DR933">
            <v>0</v>
          </cell>
          <cell r="DS933">
            <v>0</v>
          </cell>
          <cell r="DT933">
            <v>0</v>
          </cell>
          <cell r="DU933">
            <v>0</v>
          </cell>
          <cell r="DV933">
            <v>0</v>
          </cell>
          <cell r="DW933">
            <v>34</v>
          </cell>
          <cell r="DX933">
            <v>821.75</v>
          </cell>
          <cell r="DY933" t="str">
            <v/>
          </cell>
          <cell r="DZ933">
            <v>0</v>
          </cell>
          <cell r="EA933">
            <v>24.169117647058822</v>
          </cell>
        </row>
        <row r="934">
          <cell r="B934">
            <v>169491</v>
          </cell>
          <cell r="C934" t="str">
            <v>NOVRUZ BAYRAMINIZ MUBAREK_30*30 CM_80*24</v>
          </cell>
          <cell r="D934" t="str">
            <v>KOLI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O934">
            <v>0</v>
          </cell>
          <cell r="AP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O934">
            <v>0</v>
          </cell>
          <cell r="CP934">
            <v>0</v>
          </cell>
          <cell r="CQ934">
            <v>0</v>
          </cell>
          <cell r="CR934">
            <v>0</v>
          </cell>
          <cell r="CS934">
            <v>0</v>
          </cell>
          <cell r="CT934">
            <v>0</v>
          </cell>
          <cell r="CU934">
            <v>0</v>
          </cell>
          <cell r="CV934">
            <v>0</v>
          </cell>
          <cell r="CW934">
            <v>0</v>
          </cell>
          <cell r="CX934">
            <v>0</v>
          </cell>
          <cell r="CY934">
            <v>0</v>
          </cell>
          <cell r="CZ934">
            <v>0</v>
          </cell>
          <cell r="DA934">
            <v>0</v>
          </cell>
          <cell r="DB934">
            <v>0</v>
          </cell>
          <cell r="DC934">
            <v>0</v>
          </cell>
          <cell r="DD934">
            <v>0</v>
          </cell>
          <cell r="DE934">
            <v>0</v>
          </cell>
          <cell r="DF934">
            <v>0</v>
          </cell>
          <cell r="DG934">
            <v>0</v>
          </cell>
          <cell r="DH934">
            <v>0</v>
          </cell>
          <cell r="DI934">
            <v>0</v>
          </cell>
          <cell r="DJ934">
            <v>0</v>
          </cell>
          <cell r="DK934">
            <v>0</v>
          </cell>
          <cell r="DL934">
            <v>0</v>
          </cell>
          <cell r="DM934">
            <v>0</v>
          </cell>
          <cell r="DN934">
            <v>0</v>
          </cell>
          <cell r="DO934">
            <v>0</v>
          </cell>
          <cell r="DP934">
            <v>0</v>
          </cell>
          <cell r="DQ934">
            <v>0</v>
          </cell>
          <cell r="DR934">
            <v>0</v>
          </cell>
          <cell r="DS934">
            <v>0</v>
          </cell>
          <cell r="DT934">
            <v>0</v>
          </cell>
          <cell r="DU934">
            <v>0</v>
          </cell>
          <cell r="DV934">
            <v>0</v>
          </cell>
          <cell r="DW934">
            <v>0</v>
          </cell>
          <cell r="DX934">
            <v>0</v>
          </cell>
          <cell r="DY934" t="str">
            <v/>
          </cell>
          <cell r="DZ934" t="str">
            <v>pasiv</v>
          </cell>
          <cell r="EA934" t="e">
            <v>#DIV/0!</v>
          </cell>
        </row>
        <row r="935">
          <cell r="B935">
            <v>195993</v>
          </cell>
          <cell r="C935" t="str">
            <v>SUN PECETE ULDUZ_30*30CM_80*24</v>
          </cell>
          <cell r="D935" t="str">
            <v>KOLI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O935">
            <v>0</v>
          </cell>
          <cell r="AP935">
            <v>0</v>
          </cell>
          <cell r="AS935">
            <v>0</v>
          </cell>
          <cell r="AT935">
            <v>0</v>
          </cell>
          <cell r="AU935">
            <v>1</v>
          </cell>
          <cell r="AV935">
            <v>26.73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1</v>
          </cell>
          <cell r="CV935">
            <v>26.73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  <cell r="DL935">
            <v>0</v>
          </cell>
          <cell r="DM935">
            <v>0</v>
          </cell>
          <cell r="DN935">
            <v>0</v>
          </cell>
          <cell r="DO935">
            <v>0</v>
          </cell>
          <cell r="DP935">
            <v>0</v>
          </cell>
          <cell r="DQ935">
            <v>1</v>
          </cell>
          <cell r="DR935">
            <v>26.73</v>
          </cell>
          <cell r="DS935">
            <v>0</v>
          </cell>
          <cell r="DT935">
            <v>0</v>
          </cell>
          <cell r="DU935">
            <v>1</v>
          </cell>
          <cell r="DV935">
            <v>26.73</v>
          </cell>
          <cell r="DW935">
            <v>1</v>
          </cell>
          <cell r="DX935">
            <v>26.73</v>
          </cell>
          <cell r="DY935" t="str">
            <v/>
          </cell>
          <cell r="DZ935">
            <v>0</v>
          </cell>
          <cell r="EA935">
            <v>26.73</v>
          </cell>
        </row>
        <row r="936">
          <cell r="B936">
            <v>197175</v>
          </cell>
          <cell r="C936" t="str">
            <v>SUN QRM UREK SALFET_30*30_80*24</v>
          </cell>
          <cell r="D936" t="str">
            <v>KOLI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1</v>
          </cell>
          <cell r="AH936">
            <v>27.84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O936">
            <v>1</v>
          </cell>
          <cell r="AP936">
            <v>27.84</v>
          </cell>
          <cell r="AS936">
            <v>0</v>
          </cell>
          <cell r="AT936">
            <v>0</v>
          </cell>
          <cell r="AU936">
            <v>13</v>
          </cell>
          <cell r="AV936">
            <v>345.55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S936">
            <v>0</v>
          </cell>
          <cell r="CT936">
            <v>0</v>
          </cell>
          <cell r="CU936">
            <v>12</v>
          </cell>
          <cell r="CV936">
            <v>317.70999999999998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  <cell r="DL936">
            <v>0</v>
          </cell>
          <cell r="DM936">
            <v>0</v>
          </cell>
          <cell r="DN936">
            <v>0</v>
          </cell>
          <cell r="DO936">
            <v>12</v>
          </cell>
          <cell r="DP936">
            <v>317.70999999999998</v>
          </cell>
          <cell r="DQ936">
            <v>0</v>
          </cell>
          <cell r="DR936">
            <v>0</v>
          </cell>
          <cell r="DS936">
            <v>0</v>
          </cell>
          <cell r="DT936">
            <v>0</v>
          </cell>
          <cell r="DU936">
            <v>12</v>
          </cell>
          <cell r="DV936">
            <v>317.70999999999998</v>
          </cell>
          <cell r="DW936">
            <v>13</v>
          </cell>
          <cell r="DX936">
            <v>345.54999999999995</v>
          </cell>
          <cell r="DY936" t="str">
            <v/>
          </cell>
          <cell r="DZ936">
            <v>0</v>
          </cell>
          <cell r="EA936">
            <v>26.580769230769228</v>
          </cell>
        </row>
        <row r="937">
          <cell r="B937">
            <v>350497</v>
          </cell>
          <cell r="C937" t="str">
            <v>ხელ-ცი-დელფინი-თეთრი-27*30_60*24</v>
          </cell>
          <cell r="D937" t="str">
            <v>KOLI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O937">
            <v>0</v>
          </cell>
          <cell r="AP937">
            <v>0</v>
          </cell>
          <cell r="AS937">
            <v>0</v>
          </cell>
          <cell r="AT937">
            <v>0</v>
          </cell>
          <cell r="AU937">
            <v>38</v>
          </cell>
          <cell r="AV937">
            <v>807.31000000000097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1</v>
          </cell>
          <cell r="BH937">
            <v>22.32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6</v>
          </cell>
          <cell r="BP937">
            <v>133.91999999999999</v>
          </cell>
          <cell r="BQ937">
            <v>0</v>
          </cell>
          <cell r="BR937">
            <v>0</v>
          </cell>
          <cell r="BS937">
            <v>7</v>
          </cell>
          <cell r="BT937">
            <v>156.24</v>
          </cell>
          <cell r="BU937">
            <v>11</v>
          </cell>
          <cell r="BV937">
            <v>224.74</v>
          </cell>
          <cell r="BW937">
            <v>4</v>
          </cell>
          <cell r="BX937">
            <v>83.52</v>
          </cell>
          <cell r="BY937">
            <v>4</v>
          </cell>
          <cell r="BZ937">
            <v>79.989999999999995</v>
          </cell>
          <cell r="CA937">
            <v>1</v>
          </cell>
          <cell r="CB937">
            <v>22.32</v>
          </cell>
          <cell r="CC937">
            <v>0</v>
          </cell>
          <cell r="CD937">
            <v>0</v>
          </cell>
          <cell r="CE937">
            <v>1</v>
          </cell>
          <cell r="CF937">
            <v>19.22</v>
          </cell>
          <cell r="CG937">
            <v>0</v>
          </cell>
          <cell r="CH937">
            <v>0</v>
          </cell>
          <cell r="CI937">
            <v>21</v>
          </cell>
          <cell r="CJ937">
            <v>429.79</v>
          </cell>
          <cell r="CK937">
            <v>28</v>
          </cell>
          <cell r="CL937">
            <v>586.03</v>
          </cell>
          <cell r="CO937">
            <v>0</v>
          </cell>
          <cell r="CP937">
            <v>0</v>
          </cell>
          <cell r="CQ937">
            <v>0</v>
          </cell>
          <cell r="CR937">
            <v>0</v>
          </cell>
          <cell r="CS937">
            <v>0</v>
          </cell>
          <cell r="CT937">
            <v>0</v>
          </cell>
          <cell r="CU937">
            <v>7</v>
          </cell>
          <cell r="CV937">
            <v>156.24</v>
          </cell>
          <cell r="CW937">
            <v>0</v>
          </cell>
          <cell r="CX937">
            <v>0</v>
          </cell>
          <cell r="CY937">
            <v>0</v>
          </cell>
          <cell r="CZ937">
            <v>0</v>
          </cell>
          <cell r="DA937">
            <v>1</v>
          </cell>
          <cell r="DB937">
            <v>22.32</v>
          </cell>
          <cell r="DC937">
            <v>0</v>
          </cell>
          <cell r="DD937">
            <v>0</v>
          </cell>
          <cell r="DE937">
            <v>1</v>
          </cell>
          <cell r="DF937">
            <v>22.32</v>
          </cell>
          <cell r="DG937">
            <v>1</v>
          </cell>
          <cell r="DH937">
            <v>21.36</v>
          </cell>
          <cell r="DI937">
            <v>0</v>
          </cell>
          <cell r="DJ937">
            <v>0</v>
          </cell>
          <cell r="DK937">
            <v>1</v>
          </cell>
          <cell r="DL937">
            <v>21.36</v>
          </cell>
          <cell r="DM937">
            <v>2</v>
          </cell>
          <cell r="DN937">
            <v>42.72</v>
          </cell>
          <cell r="DO937">
            <v>3</v>
          </cell>
          <cell r="DP937">
            <v>66.959999999999994</v>
          </cell>
          <cell r="DQ937">
            <v>0</v>
          </cell>
          <cell r="DR937">
            <v>0</v>
          </cell>
          <cell r="DS937">
            <v>4</v>
          </cell>
          <cell r="DT937">
            <v>89.28</v>
          </cell>
          <cell r="DU937">
            <v>7</v>
          </cell>
          <cell r="DV937">
            <v>156.24</v>
          </cell>
          <cell r="DW937">
            <v>38</v>
          </cell>
          <cell r="DX937">
            <v>807.31</v>
          </cell>
          <cell r="DY937" t="str">
            <v/>
          </cell>
          <cell r="DZ937">
            <v>0</v>
          </cell>
          <cell r="EA937">
            <v>21.244999999999997</v>
          </cell>
        </row>
        <row r="938">
          <cell r="B938">
            <v>352429</v>
          </cell>
          <cell r="C938" t="str">
            <v>ხელ-ცი-დელფინი-თეთრი-27*30_60*24_22ც+2ც</v>
          </cell>
          <cell r="D938" t="str">
            <v>KOLI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O938">
            <v>0</v>
          </cell>
          <cell r="AP938">
            <v>0</v>
          </cell>
          <cell r="AS938">
            <v>0</v>
          </cell>
          <cell r="AT938">
            <v>0</v>
          </cell>
          <cell r="AU938">
            <v>1</v>
          </cell>
          <cell r="AV938">
            <v>18.989999999999998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1</v>
          </cell>
          <cell r="BH938">
            <v>18.989999999999998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1</v>
          </cell>
          <cell r="BT938">
            <v>18.989999999999998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1</v>
          </cell>
          <cell r="CL938">
            <v>18.989999999999998</v>
          </cell>
          <cell r="CO938">
            <v>0</v>
          </cell>
          <cell r="CP938">
            <v>0</v>
          </cell>
          <cell r="CQ938">
            <v>0</v>
          </cell>
          <cell r="CR938">
            <v>0</v>
          </cell>
          <cell r="CS938">
            <v>0</v>
          </cell>
          <cell r="CT938">
            <v>0</v>
          </cell>
          <cell r="CU938">
            <v>0</v>
          </cell>
          <cell r="CV938">
            <v>0</v>
          </cell>
          <cell r="CW938">
            <v>0</v>
          </cell>
          <cell r="CX938">
            <v>0</v>
          </cell>
          <cell r="CY938">
            <v>0</v>
          </cell>
          <cell r="CZ938">
            <v>0</v>
          </cell>
          <cell r="DA938">
            <v>0</v>
          </cell>
          <cell r="DB938">
            <v>0</v>
          </cell>
          <cell r="DC938">
            <v>0</v>
          </cell>
          <cell r="DD938">
            <v>0</v>
          </cell>
          <cell r="DE938">
            <v>0</v>
          </cell>
          <cell r="DF938">
            <v>0</v>
          </cell>
          <cell r="DG938">
            <v>0</v>
          </cell>
          <cell r="DH938">
            <v>0</v>
          </cell>
          <cell r="DI938">
            <v>0</v>
          </cell>
          <cell r="DJ938">
            <v>0</v>
          </cell>
          <cell r="DK938">
            <v>0</v>
          </cell>
          <cell r="DL938">
            <v>0</v>
          </cell>
          <cell r="DM938">
            <v>0</v>
          </cell>
          <cell r="DN938">
            <v>0</v>
          </cell>
          <cell r="DO938">
            <v>0</v>
          </cell>
          <cell r="DP938">
            <v>0</v>
          </cell>
          <cell r="DQ938">
            <v>0</v>
          </cell>
          <cell r="DR938">
            <v>0</v>
          </cell>
          <cell r="DS938">
            <v>0</v>
          </cell>
          <cell r="DT938">
            <v>0</v>
          </cell>
          <cell r="DU938">
            <v>0</v>
          </cell>
          <cell r="DV938">
            <v>0</v>
          </cell>
          <cell r="DW938">
            <v>1</v>
          </cell>
          <cell r="DX938">
            <v>18.989999999999998</v>
          </cell>
          <cell r="DY938" t="str">
            <v/>
          </cell>
          <cell r="DZ938">
            <v>0</v>
          </cell>
          <cell r="EA938">
            <v>18.989999999999998</v>
          </cell>
        </row>
        <row r="939">
          <cell r="B939">
            <v>138767</v>
          </cell>
          <cell r="C939" t="str">
            <v>VILMART PECETE_30*30 CM_80*24</v>
          </cell>
          <cell r="D939" t="str">
            <v>KOLI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O939">
            <v>0</v>
          </cell>
          <cell r="AP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S939">
            <v>0</v>
          </cell>
          <cell r="CT939">
            <v>0</v>
          </cell>
          <cell r="CU939">
            <v>0</v>
          </cell>
          <cell r="CV939">
            <v>0</v>
          </cell>
          <cell r="CW939">
            <v>0</v>
          </cell>
          <cell r="CX939">
            <v>0</v>
          </cell>
          <cell r="CY939">
            <v>0</v>
          </cell>
          <cell r="CZ939">
            <v>0</v>
          </cell>
          <cell r="DA939">
            <v>0</v>
          </cell>
          <cell r="DB939">
            <v>0</v>
          </cell>
          <cell r="DC939">
            <v>0</v>
          </cell>
          <cell r="DD939">
            <v>0</v>
          </cell>
          <cell r="DE939">
            <v>0</v>
          </cell>
          <cell r="DF939">
            <v>0</v>
          </cell>
          <cell r="DG939">
            <v>0</v>
          </cell>
          <cell r="DH939">
            <v>0</v>
          </cell>
          <cell r="DI939">
            <v>0</v>
          </cell>
          <cell r="DJ939">
            <v>0</v>
          </cell>
          <cell r="DK939">
            <v>0</v>
          </cell>
          <cell r="DL939">
            <v>0</v>
          </cell>
          <cell r="DM939">
            <v>0</v>
          </cell>
          <cell r="DN939">
            <v>0</v>
          </cell>
          <cell r="DO939">
            <v>0</v>
          </cell>
          <cell r="DP939">
            <v>0</v>
          </cell>
          <cell r="DQ939">
            <v>0</v>
          </cell>
          <cell r="DR939">
            <v>0</v>
          </cell>
          <cell r="DS939">
            <v>0</v>
          </cell>
          <cell r="DT939">
            <v>0</v>
          </cell>
          <cell r="DU939">
            <v>0</v>
          </cell>
          <cell r="DV939">
            <v>0</v>
          </cell>
          <cell r="DW939">
            <v>0</v>
          </cell>
          <cell r="DX939">
            <v>0</v>
          </cell>
          <cell r="DY939" t="str">
            <v/>
          </cell>
          <cell r="DZ939" t="str">
            <v>pasiv</v>
          </cell>
          <cell r="EA939" t="e">
            <v>#DIV/0!</v>
          </cell>
        </row>
        <row r="940">
          <cell r="B940">
            <v>346899</v>
          </cell>
          <cell r="C940" t="str">
            <v>ხელ-ცი-დელფინი-თეთრი-27*30_70_20ც+4ც</v>
          </cell>
          <cell r="D940" t="str">
            <v>KOLI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O940">
            <v>0</v>
          </cell>
          <cell r="AP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O940">
            <v>0</v>
          </cell>
          <cell r="CP940">
            <v>0</v>
          </cell>
          <cell r="CQ940">
            <v>0</v>
          </cell>
          <cell r="CR940">
            <v>0</v>
          </cell>
          <cell r="CS940">
            <v>0</v>
          </cell>
          <cell r="CT940">
            <v>0</v>
          </cell>
          <cell r="CU940">
            <v>0</v>
          </cell>
          <cell r="CV940">
            <v>0</v>
          </cell>
          <cell r="CW940">
            <v>0</v>
          </cell>
          <cell r="CX940">
            <v>0</v>
          </cell>
          <cell r="CY940">
            <v>0</v>
          </cell>
          <cell r="CZ940">
            <v>0</v>
          </cell>
          <cell r="DA940">
            <v>0</v>
          </cell>
          <cell r="DB940">
            <v>0</v>
          </cell>
          <cell r="DC940">
            <v>0</v>
          </cell>
          <cell r="DD940">
            <v>0</v>
          </cell>
          <cell r="DE940">
            <v>0</v>
          </cell>
          <cell r="DF940">
            <v>0</v>
          </cell>
          <cell r="DG940">
            <v>0</v>
          </cell>
          <cell r="DH940">
            <v>0</v>
          </cell>
          <cell r="DI940">
            <v>0</v>
          </cell>
          <cell r="DJ940">
            <v>0</v>
          </cell>
          <cell r="DK940">
            <v>0</v>
          </cell>
          <cell r="DL940">
            <v>0</v>
          </cell>
          <cell r="DM940">
            <v>0</v>
          </cell>
          <cell r="DN940">
            <v>0</v>
          </cell>
          <cell r="DO940">
            <v>0</v>
          </cell>
          <cell r="DP940">
            <v>0</v>
          </cell>
          <cell r="DQ940">
            <v>0</v>
          </cell>
          <cell r="DR940">
            <v>0</v>
          </cell>
          <cell r="DS940">
            <v>0</v>
          </cell>
          <cell r="DT940">
            <v>0</v>
          </cell>
          <cell r="DU940">
            <v>0</v>
          </cell>
          <cell r="DV940">
            <v>0</v>
          </cell>
          <cell r="DW940">
            <v>0</v>
          </cell>
          <cell r="DX940">
            <v>0</v>
          </cell>
          <cell r="DY940" t="str">
            <v/>
          </cell>
          <cell r="DZ940" t="str">
            <v>pasiv</v>
          </cell>
          <cell r="EA940" t="e">
            <v>#DIV/0!</v>
          </cell>
        </row>
        <row r="941">
          <cell r="B941">
            <v>111545</v>
          </cell>
          <cell r="C941" t="str">
            <v>CHVENI SUFRA SALFET_30*30 CM_100*24_TEK KAT</v>
          </cell>
          <cell r="D941" t="str">
            <v>KOLI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O941">
            <v>0</v>
          </cell>
          <cell r="AP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0</v>
          </cell>
          <cell r="CB941">
            <v>0</v>
          </cell>
          <cell r="CC941">
            <v>0</v>
          </cell>
          <cell r="CD941">
            <v>0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O941">
            <v>0</v>
          </cell>
          <cell r="CP941">
            <v>0</v>
          </cell>
          <cell r="CQ941">
            <v>0</v>
          </cell>
          <cell r="CR941">
            <v>0</v>
          </cell>
          <cell r="CS941">
            <v>0</v>
          </cell>
          <cell r="CT941">
            <v>0</v>
          </cell>
          <cell r="CU941">
            <v>0</v>
          </cell>
          <cell r="CV941">
            <v>0</v>
          </cell>
          <cell r="CW941">
            <v>0</v>
          </cell>
          <cell r="CX941">
            <v>0</v>
          </cell>
          <cell r="CY941">
            <v>0</v>
          </cell>
          <cell r="CZ941">
            <v>0</v>
          </cell>
          <cell r="DA941">
            <v>0</v>
          </cell>
          <cell r="DB941">
            <v>0</v>
          </cell>
          <cell r="DC941">
            <v>0</v>
          </cell>
          <cell r="DD941">
            <v>0</v>
          </cell>
          <cell r="DE941">
            <v>0</v>
          </cell>
          <cell r="DF941">
            <v>0</v>
          </cell>
          <cell r="DG941">
            <v>0</v>
          </cell>
          <cell r="DH941">
            <v>0</v>
          </cell>
          <cell r="DI941">
            <v>0</v>
          </cell>
          <cell r="DJ941">
            <v>0</v>
          </cell>
          <cell r="DK941">
            <v>0</v>
          </cell>
          <cell r="DL941">
            <v>0</v>
          </cell>
          <cell r="DM941">
            <v>0</v>
          </cell>
          <cell r="DN941">
            <v>0</v>
          </cell>
          <cell r="DO941">
            <v>0</v>
          </cell>
          <cell r="DP941">
            <v>0</v>
          </cell>
          <cell r="DQ941">
            <v>0</v>
          </cell>
          <cell r="DR941">
            <v>0</v>
          </cell>
          <cell r="DS941">
            <v>0</v>
          </cell>
          <cell r="DT941">
            <v>0</v>
          </cell>
          <cell r="DU941">
            <v>0</v>
          </cell>
          <cell r="DV941">
            <v>0</v>
          </cell>
          <cell r="DW941">
            <v>0</v>
          </cell>
          <cell r="DX941">
            <v>0</v>
          </cell>
          <cell r="DY941" t="str">
            <v/>
          </cell>
          <cell r="DZ941" t="str">
            <v>pasiv</v>
          </cell>
          <cell r="EA941" t="e">
            <v>#DIV/0!</v>
          </cell>
        </row>
        <row r="942">
          <cell r="B942">
            <v>90299</v>
          </cell>
          <cell r="C942" t="str">
            <v>CASINO IVERIA SALFET_30*30 CM_100*24</v>
          </cell>
          <cell r="D942" t="str">
            <v>KOLI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O942">
            <v>0</v>
          </cell>
          <cell r="AP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S942">
            <v>0</v>
          </cell>
          <cell r="CT942">
            <v>0</v>
          </cell>
          <cell r="CU942">
            <v>0</v>
          </cell>
          <cell r="CV942">
            <v>0</v>
          </cell>
          <cell r="CW942">
            <v>0</v>
          </cell>
          <cell r="CX942">
            <v>0</v>
          </cell>
          <cell r="CY942">
            <v>0</v>
          </cell>
          <cell r="CZ942">
            <v>0</v>
          </cell>
          <cell r="DA942">
            <v>0</v>
          </cell>
          <cell r="DB942">
            <v>0</v>
          </cell>
          <cell r="DC942">
            <v>0</v>
          </cell>
          <cell r="DD942">
            <v>0</v>
          </cell>
          <cell r="DE942">
            <v>0</v>
          </cell>
          <cell r="DF942">
            <v>0</v>
          </cell>
          <cell r="DG942">
            <v>0</v>
          </cell>
          <cell r="DH942">
            <v>0</v>
          </cell>
          <cell r="DI942">
            <v>0</v>
          </cell>
          <cell r="DJ942">
            <v>0</v>
          </cell>
          <cell r="DK942">
            <v>0</v>
          </cell>
          <cell r="DL942">
            <v>0</v>
          </cell>
          <cell r="DM942">
            <v>0</v>
          </cell>
          <cell r="DN942">
            <v>0</v>
          </cell>
          <cell r="DO942">
            <v>0</v>
          </cell>
          <cell r="DP942">
            <v>0</v>
          </cell>
          <cell r="DQ942">
            <v>0</v>
          </cell>
          <cell r="DR942">
            <v>0</v>
          </cell>
          <cell r="DS942">
            <v>0</v>
          </cell>
          <cell r="DT942">
            <v>0</v>
          </cell>
          <cell r="DU942">
            <v>0</v>
          </cell>
          <cell r="DV942">
            <v>0</v>
          </cell>
          <cell r="DW942">
            <v>0</v>
          </cell>
          <cell r="DX942">
            <v>0</v>
          </cell>
          <cell r="DY942" t="str">
            <v/>
          </cell>
          <cell r="DZ942" t="str">
            <v>pasiv</v>
          </cell>
          <cell r="EA942" t="e">
            <v>#DIV/0!</v>
          </cell>
        </row>
        <row r="943">
          <cell r="B943">
            <v>90234</v>
          </cell>
          <cell r="C943" t="str">
            <v>SUN YUMURTA BASKILI SALFET_30*30 CM_80*24</v>
          </cell>
          <cell r="D943" t="str">
            <v>KOLI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O943">
            <v>0</v>
          </cell>
          <cell r="AP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S943">
            <v>0</v>
          </cell>
          <cell r="CT943">
            <v>0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0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0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0</v>
          </cell>
          <cell r="DJ943">
            <v>0</v>
          </cell>
          <cell r="DK943">
            <v>0</v>
          </cell>
          <cell r="DL943">
            <v>0</v>
          </cell>
          <cell r="DM943">
            <v>0</v>
          </cell>
          <cell r="DN943">
            <v>0</v>
          </cell>
          <cell r="DO943">
            <v>0</v>
          </cell>
          <cell r="DP943">
            <v>0</v>
          </cell>
          <cell r="DQ943">
            <v>0</v>
          </cell>
          <cell r="DR943">
            <v>0</v>
          </cell>
          <cell r="DS943">
            <v>0</v>
          </cell>
          <cell r="DT943">
            <v>0</v>
          </cell>
          <cell r="DU943">
            <v>0</v>
          </cell>
          <cell r="DV943">
            <v>0</v>
          </cell>
          <cell r="DW943">
            <v>0</v>
          </cell>
          <cell r="DX943">
            <v>0</v>
          </cell>
          <cell r="DY943" t="str">
            <v/>
          </cell>
          <cell r="DZ943" t="str">
            <v>pasiv</v>
          </cell>
          <cell r="EA943" t="e">
            <v>#DIV/0!</v>
          </cell>
        </row>
        <row r="944">
          <cell r="B944">
            <v>121121</v>
          </cell>
          <cell r="C944" t="str">
            <v>SUN UREK SALFET_30*30 SM_80*24</v>
          </cell>
          <cell r="D944" t="str">
            <v>KOLI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O944">
            <v>0</v>
          </cell>
          <cell r="AP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O944">
            <v>0</v>
          </cell>
          <cell r="CP944">
            <v>0</v>
          </cell>
          <cell r="CQ944">
            <v>0</v>
          </cell>
          <cell r="CR944">
            <v>0</v>
          </cell>
          <cell r="CS944">
            <v>0</v>
          </cell>
          <cell r="CT944">
            <v>0</v>
          </cell>
          <cell r="CU944">
            <v>0</v>
          </cell>
          <cell r="CV944">
            <v>0</v>
          </cell>
          <cell r="CW944">
            <v>0</v>
          </cell>
          <cell r="CX944">
            <v>0</v>
          </cell>
          <cell r="CY944">
            <v>0</v>
          </cell>
          <cell r="CZ944">
            <v>0</v>
          </cell>
          <cell r="DA944">
            <v>0</v>
          </cell>
          <cell r="DB944">
            <v>0</v>
          </cell>
          <cell r="DC944">
            <v>0</v>
          </cell>
          <cell r="DD944">
            <v>0</v>
          </cell>
          <cell r="DE944">
            <v>0</v>
          </cell>
          <cell r="DF944">
            <v>0</v>
          </cell>
          <cell r="DG944">
            <v>0</v>
          </cell>
          <cell r="DH944">
            <v>0</v>
          </cell>
          <cell r="DI944">
            <v>0</v>
          </cell>
          <cell r="DJ944">
            <v>0</v>
          </cell>
          <cell r="DK944">
            <v>0</v>
          </cell>
          <cell r="DL944">
            <v>0</v>
          </cell>
          <cell r="DM944">
            <v>0</v>
          </cell>
          <cell r="DN944">
            <v>0</v>
          </cell>
          <cell r="DO944">
            <v>0</v>
          </cell>
          <cell r="DP944">
            <v>0</v>
          </cell>
          <cell r="DQ944">
            <v>0</v>
          </cell>
          <cell r="DR944">
            <v>0</v>
          </cell>
          <cell r="DS944">
            <v>0</v>
          </cell>
          <cell r="DT944">
            <v>0</v>
          </cell>
          <cell r="DU944">
            <v>0</v>
          </cell>
          <cell r="DV944">
            <v>0</v>
          </cell>
          <cell r="DW944">
            <v>0</v>
          </cell>
          <cell r="DX944">
            <v>0</v>
          </cell>
          <cell r="DY944" t="str">
            <v/>
          </cell>
          <cell r="DZ944" t="str">
            <v>pasiv</v>
          </cell>
          <cell r="EA944" t="e">
            <v>#DIV/0!</v>
          </cell>
        </row>
        <row r="945">
          <cell r="B945">
            <v>181065</v>
          </cell>
          <cell r="C945" t="str">
            <v>C.SUPRA SALFET_30*30CM_200*12</v>
          </cell>
          <cell r="D945" t="str">
            <v>KOLI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3</v>
          </cell>
          <cell r="AH945">
            <v>90.47</v>
          </cell>
          <cell r="AI945">
            <v>6</v>
          </cell>
          <cell r="AJ945">
            <v>190.8</v>
          </cell>
          <cell r="AK945">
            <v>3</v>
          </cell>
          <cell r="AL945">
            <v>95.4</v>
          </cell>
          <cell r="AO945">
            <v>12</v>
          </cell>
          <cell r="AP945">
            <v>376.66999999999996</v>
          </cell>
          <cell r="AS945">
            <v>0</v>
          </cell>
          <cell r="AT945">
            <v>0</v>
          </cell>
          <cell r="AU945">
            <v>128.083333333333</v>
          </cell>
          <cell r="AV945">
            <v>3725.75</v>
          </cell>
          <cell r="AW945">
            <v>0</v>
          </cell>
          <cell r="AX945">
            <v>0</v>
          </cell>
          <cell r="AY945">
            <v>3</v>
          </cell>
          <cell r="AZ945">
            <v>83.88</v>
          </cell>
          <cell r="BA945">
            <v>0</v>
          </cell>
          <cell r="BB945">
            <v>0</v>
          </cell>
          <cell r="BC945">
            <v>2</v>
          </cell>
          <cell r="BD945">
            <v>63.6</v>
          </cell>
          <cell r="BE945">
            <v>5</v>
          </cell>
          <cell r="BF945">
            <v>147.47999999999999</v>
          </cell>
          <cell r="BG945">
            <v>0.41666666666666702</v>
          </cell>
          <cell r="BH945">
            <v>13.25</v>
          </cell>
          <cell r="BI945">
            <v>0</v>
          </cell>
          <cell r="BJ945">
            <v>0</v>
          </cell>
          <cell r="BK945">
            <v>0.25</v>
          </cell>
          <cell r="BL945">
            <v>7.95</v>
          </cell>
          <cell r="BM945">
            <v>26</v>
          </cell>
          <cell r="BN945">
            <v>735.11</v>
          </cell>
          <cell r="BO945">
            <v>6.75</v>
          </cell>
          <cell r="BP945">
            <v>211.88</v>
          </cell>
          <cell r="BQ945">
            <v>0</v>
          </cell>
          <cell r="BR945">
            <v>0</v>
          </cell>
          <cell r="BS945">
            <v>33.4166666666667</v>
          </cell>
          <cell r="BT945">
            <v>968.19</v>
          </cell>
          <cell r="BU945">
            <v>9</v>
          </cell>
          <cell r="BV945">
            <v>257.94</v>
          </cell>
          <cell r="BW945">
            <v>1</v>
          </cell>
          <cell r="BX945">
            <v>29.33</v>
          </cell>
          <cell r="BY945">
            <v>11.1666666666667</v>
          </cell>
          <cell r="BZ945">
            <v>329.47</v>
          </cell>
          <cell r="CA945">
            <v>0.5</v>
          </cell>
          <cell r="CB945">
            <v>15.9</v>
          </cell>
          <cell r="CC945">
            <v>1</v>
          </cell>
          <cell r="CD945">
            <v>29.33</v>
          </cell>
          <cell r="CE945">
            <v>9</v>
          </cell>
          <cell r="CF945">
            <v>246.16</v>
          </cell>
          <cell r="CG945">
            <v>0</v>
          </cell>
          <cell r="CH945">
            <v>0</v>
          </cell>
          <cell r="CI945">
            <v>31.6666666666667</v>
          </cell>
          <cell r="CJ945">
            <v>908.13</v>
          </cell>
          <cell r="CK945">
            <v>65.0833333333334</v>
          </cell>
          <cell r="CL945">
            <v>1876.3200000000002</v>
          </cell>
          <cell r="CO945">
            <v>0</v>
          </cell>
          <cell r="CP945">
            <v>0</v>
          </cell>
          <cell r="CQ945">
            <v>0</v>
          </cell>
          <cell r="CR945">
            <v>0</v>
          </cell>
          <cell r="CS945">
            <v>0</v>
          </cell>
          <cell r="CT945">
            <v>0</v>
          </cell>
          <cell r="CU945">
            <v>8</v>
          </cell>
          <cell r="CV945">
            <v>254.4</v>
          </cell>
          <cell r="CW945">
            <v>0</v>
          </cell>
          <cell r="CX945">
            <v>0</v>
          </cell>
          <cell r="CY945">
            <v>36</v>
          </cell>
          <cell r="CZ945">
            <v>1010.4</v>
          </cell>
          <cell r="DA945">
            <v>0</v>
          </cell>
          <cell r="DB945">
            <v>0</v>
          </cell>
          <cell r="DC945">
            <v>0</v>
          </cell>
          <cell r="DD945">
            <v>0</v>
          </cell>
          <cell r="DE945">
            <v>36</v>
          </cell>
          <cell r="DF945">
            <v>1010.4</v>
          </cell>
          <cell r="DG945">
            <v>1</v>
          </cell>
          <cell r="DH945">
            <v>30.24</v>
          </cell>
          <cell r="DI945">
            <v>0</v>
          </cell>
          <cell r="DJ945">
            <v>0</v>
          </cell>
          <cell r="DK945">
            <v>1</v>
          </cell>
          <cell r="DL945">
            <v>30.24</v>
          </cell>
          <cell r="DM945">
            <v>2</v>
          </cell>
          <cell r="DN945">
            <v>60.48</v>
          </cell>
          <cell r="DO945">
            <v>1</v>
          </cell>
          <cell r="DP945">
            <v>31.8</v>
          </cell>
          <cell r="DQ945">
            <v>1</v>
          </cell>
          <cell r="DR945">
            <v>31.8</v>
          </cell>
          <cell r="DS945">
            <v>6</v>
          </cell>
          <cell r="DT945">
            <v>190.8</v>
          </cell>
          <cell r="DU945">
            <v>8</v>
          </cell>
          <cell r="DV945">
            <v>254.4</v>
          </cell>
          <cell r="DW945">
            <v>128.0833333333334</v>
          </cell>
          <cell r="DX945">
            <v>3725.7500000000005</v>
          </cell>
          <cell r="DY945" t="str">
            <v/>
          </cell>
          <cell r="DZ945">
            <v>0</v>
          </cell>
          <cell r="EA945">
            <v>29.088484059856853</v>
          </cell>
        </row>
        <row r="946">
          <cell r="B946">
            <v>112073</v>
          </cell>
          <cell r="C946" t="str">
            <v>SUN KUGU PECETE _27*30 CM_70*24_SUPER SOFT</v>
          </cell>
          <cell r="D946" t="str">
            <v>KOLI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O946">
            <v>0</v>
          </cell>
          <cell r="AP946">
            <v>0</v>
          </cell>
          <cell r="AS946">
            <v>0</v>
          </cell>
          <cell r="AT946">
            <v>0</v>
          </cell>
          <cell r="AU946">
            <v>4</v>
          </cell>
          <cell r="AV946">
            <v>92.04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  <cell r="BZ946">
            <v>0</v>
          </cell>
          <cell r="CA946">
            <v>0</v>
          </cell>
          <cell r="CB946">
            <v>0</v>
          </cell>
          <cell r="CC946">
            <v>0</v>
          </cell>
          <cell r="CD946">
            <v>0</v>
          </cell>
          <cell r="CE946">
            <v>4</v>
          </cell>
          <cell r="CF946">
            <v>92.04</v>
          </cell>
          <cell r="CG946">
            <v>0</v>
          </cell>
          <cell r="CH946">
            <v>0</v>
          </cell>
          <cell r="CI946">
            <v>4</v>
          </cell>
          <cell r="CJ946">
            <v>92.04</v>
          </cell>
          <cell r="CK946">
            <v>4</v>
          </cell>
          <cell r="CL946">
            <v>92.04</v>
          </cell>
          <cell r="CO946">
            <v>0</v>
          </cell>
          <cell r="CP946">
            <v>0</v>
          </cell>
          <cell r="CQ946">
            <v>0</v>
          </cell>
          <cell r="CR946">
            <v>0</v>
          </cell>
          <cell r="CS946">
            <v>0</v>
          </cell>
          <cell r="CT946">
            <v>0</v>
          </cell>
          <cell r="CU946">
            <v>0</v>
          </cell>
          <cell r="CV946">
            <v>0</v>
          </cell>
          <cell r="CW946">
            <v>0</v>
          </cell>
          <cell r="CX946">
            <v>0</v>
          </cell>
          <cell r="CY946">
            <v>0</v>
          </cell>
          <cell r="CZ946">
            <v>0</v>
          </cell>
          <cell r="DA946">
            <v>0</v>
          </cell>
          <cell r="DB946">
            <v>0</v>
          </cell>
          <cell r="DC946">
            <v>0</v>
          </cell>
          <cell r="DD946">
            <v>0</v>
          </cell>
          <cell r="DE946">
            <v>0</v>
          </cell>
          <cell r="DF946">
            <v>0</v>
          </cell>
          <cell r="DG946">
            <v>0</v>
          </cell>
          <cell r="DH946">
            <v>0</v>
          </cell>
          <cell r="DI946">
            <v>0</v>
          </cell>
          <cell r="DJ946">
            <v>0</v>
          </cell>
          <cell r="DK946">
            <v>0</v>
          </cell>
          <cell r="DL946">
            <v>0</v>
          </cell>
          <cell r="DM946">
            <v>0</v>
          </cell>
          <cell r="DN946">
            <v>0</v>
          </cell>
          <cell r="DO946">
            <v>0</v>
          </cell>
          <cell r="DP946">
            <v>0</v>
          </cell>
          <cell r="DQ946">
            <v>0</v>
          </cell>
          <cell r="DR946">
            <v>0</v>
          </cell>
          <cell r="DS946">
            <v>0</v>
          </cell>
          <cell r="DT946">
            <v>0</v>
          </cell>
          <cell r="DU946">
            <v>0</v>
          </cell>
          <cell r="DV946">
            <v>0</v>
          </cell>
          <cell r="DW946">
            <v>4</v>
          </cell>
          <cell r="DX946">
            <v>92.04</v>
          </cell>
          <cell r="DY946" t="str">
            <v/>
          </cell>
          <cell r="DZ946">
            <v>0</v>
          </cell>
          <cell r="EA946">
            <v>23.01</v>
          </cell>
        </row>
        <row r="947">
          <cell r="B947">
            <v>275204</v>
          </cell>
          <cell r="C947" t="str">
            <v>SUN SUPER SOFT PECETE_27*30 CM_70*24_TEK KAT</v>
          </cell>
          <cell r="D947" t="str">
            <v>KOLI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O947">
            <v>0</v>
          </cell>
          <cell r="AP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O947">
            <v>0</v>
          </cell>
          <cell r="CP947">
            <v>0</v>
          </cell>
          <cell r="CQ947">
            <v>0</v>
          </cell>
          <cell r="CR947">
            <v>0</v>
          </cell>
          <cell r="CS947">
            <v>0</v>
          </cell>
          <cell r="CT947">
            <v>0</v>
          </cell>
          <cell r="CU947">
            <v>0</v>
          </cell>
          <cell r="CV947">
            <v>0</v>
          </cell>
          <cell r="CW947">
            <v>0</v>
          </cell>
          <cell r="CX947">
            <v>0</v>
          </cell>
          <cell r="CY947">
            <v>0</v>
          </cell>
          <cell r="CZ947">
            <v>0</v>
          </cell>
          <cell r="DA947">
            <v>0</v>
          </cell>
          <cell r="DB947">
            <v>0</v>
          </cell>
          <cell r="DC947">
            <v>0</v>
          </cell>
          <cell r="DD947">
            <v>0</v>
          </cell>
          <cell r="DE947">
            <v>0</v>
          </cell>
          <cell r="DF947">
            <v>0</v>
          </cell>
          <cell r="DG947">
            <v>0</v>
          </cell>
          <cell r="DH947">
            <v>0</v>
          </cell>
          <cell r="DI947">
            <v>0</v>
          </cell>
          <cell r="DJ947">
            <v>0</v>
          </cell>
          <cell r="DK947">
            <v>0</v>
          </cell>
          <cell r="DL947">
            <v>0</v>
          </cell>
          <cell r="DM947">
            <v>0</v>
          </cell>
          <cell r="DN947">
            <v>0</v>
          </cell>
          <cell r="DO947">
            <v>0</v>
          </cell>
          <cell r="DP947">
            <v>0</v>
          </cell>
          <cell r="DQ947">
            <v>0</v>
          </cell>
          <cell r="DR947">
            <v>0</v>
          </cell>
          <cell r="DS947">
            <v>0</v>
          </cell>
          <cell r="DT947">
            <v>0</v>
          </cell>
          <cell r="DU947">
            <v>0</v>
          </cell>
          <cell r="DV947">
            <v>0</v>
          </cell>
          <cell r="DW947">
            <v>0</v>
          </cell>
          <cell r="DX947">
            <v>0</v>
          </cell>
          <cell r="DY947" t="str">
            <v/>
          </cell>
          <cell r="DZ947" t="str">
            <v>pasiv</v>
          </cell>
          <cell r="EA947" t="e">
            <v>#DIV/0!</v>
          </cell>
        </row>
        <row r="948">
          <cell r="B948">
            <v>116953</v>
          </cell>
          <cell r="C948" t="str">
            <v>SUN SUPER SOFT SALFET_30*30 CM_65*24_CIFT KAT</v>
          </cell>
          <cell r="D948" t="str">
            <v>KOLI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O948">
            <v>0</v>
          </cell>
          <cell r="AP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  <cell r="DL948">
            <v>0</v>
          </cell>
          <cell r="DM948">
            <v>0</v>
          </cell>
          <cell r="DN948">
            <v>0</v>
          </cell>
          <cell r="DO948">
            <v>0</v>
          </cell>
          <cell r="DP948">
            <v>0</v>
          </cell>
          <cell r="DQ948">
            <v>0</v>
          </cell>
          <cell r="DR948">
            <v>0</v>
          </cell>
          <cell r="DS948">
            <v>0</v>
          </cell>
          <cell r="DT948">
            <v>0</v>
          </cell>
          <cell r="DU948">
            <v>0</v>
          </cell>
          <cell r="DV948">
            <v>0</v>
          </cell>
          <cell r="DW948">
            <v>0</v>
          </cell>
          <cell r="DX948">
            <v>0</v>
          </cell>
          <cell r="DY948" t="str">
            <v/>
          </cell>
          <cell r="DZ948" t="str">
            <v>pasiv</v>
          </cell>
          <cell r="EA948" t="e">
            <v>#DIV/0!</v>
          </cell>
        </row>
        <row r="949">
          <cell r="B949">
            <v>21672</v>
          </cell>
          <cell r="C949" t="str">
            <v xml:space="preserve">ARIZALI PECETE/30 CM/100*24 </v>
          </cell>
          <cell r="D949" t="str">
            <v>KOLI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5</v>
          </cell>
          <cell r="AF949">
            <v>106.04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O949">
            <v>5</v>
          </cell>
          <cell r="AP949">
            <v>106.04</v>
          </cell>
          <cell r="AS949">
            <v>0</v>
          </cell>
          <cell r="AT949">
            <v>0</v>
          </cell>
          <cell r="AU949">
            <v>5</v>
          </cell>
          <cell r="AV949">
            <v>106.04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S949">
            <v>0</v>
          </cell>
          <cell r="CT949">
            <v>0</v>
          </cell>
          <cell r="CU949">
            <v>0</v>
          </cell>
          <cell r="CV949">
            <v>0</v>
          </cell>
          <cell r="CW949">
            <v>0</v>
          </cell>
          <cell r="CX949">
            <v>0</v>
          </cell>
          <cell r="CY949">
            <v>0</v>
          </cell>
          <cell r="CZ949">
            <v>0</v>
          </cell>
          <cell r="DA949">
            <v>0</v>
          </cell>
          <cell r="DB949">
            <v>0</v>
          </cell>
          <cell r="DC949">
            <v>0</v>
          </cell>
          <cell r="DD949">
            <v>0</v>
          </cell>
          <cell r="DE949">
            <v>0</v>
          </cell>
          <cell r="DF949">
            <v>0</v>
          </cell>
          <cell r="DG949">
            <v>0</v>
          </cell>
          <cell r="DH949">
            <v>0</v>
          </cell>
          <cell r="DI949">
            <v>0</v>
          </cell>
          <cell r="DJ949">
            <v>0</v>
          </cell>
          <cell r="DK949">
            <v>0</v>
          </cell>
          <cell r="DL949">
            <v>0</v>
          </cell>
          <cell r="DM949">
            <v>0</v>
          </cell>
          <cell r="DN949">
            <v>0</v>
          </cell>
          <cell r="DO949">
            <v>0</v>
          </cell>
          <cell r="DP949">
            <v>0</v>
          </cell>
          <cell r="DQ949">
            <v>0</v>
          </cell>
          <cell r="DR949">
            <v>0</v>
          </cell>
          <cell r="DS949">
            <v>0</v>
          </cell>
          <cell r="DT949">
            <v>0</v>
          </cell>
          <cell r="DU949">
            <v>0</v>
          </cell>
          <cell r="DV949">
            <v>0</v>
          </cell>
          <cell r="DW949">
            <v>5</v>
          </cell>
          <cell r="DX949">
            <v>106.04</v>
          </cell>
          <cell r="DY949" t="str">
            <v/>
          </cell>
          <cell r="DZ949">
            <v>0</v>
          </cell>
          <cell r="EA949">
            <v>21.208000000000002</v>
          </cell>
        </row>
        <row r="950">
          <cell r="A950">
            <v>999</v>
          </cell>
          <cell r="C950" t="str">
            <v>30 LIK PECETE TOPLAM</v>
          </cell>
          <cell r="D950" t="str">
            <v>KOLI</v>
          </cell>
          <cell r="E950">
            <v>0</v>
          </cell>
          <cell r="F950">
            <v>0</v>
          </cell>
          <cell r="G950">
            <v>9</v>
          </cell>
          <cell r="H950">
            <v>247.22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O950">
            <v>9</v>
          </cell>
          <cell r="P950">
            <v>247.22</v>
          </cell>
          <cell r="Q950">
            <v>5</v>
          </cell>
          <cell r="R950">
            <v>118.73</v>
          </cell>
          <cell r="S950">
            <v>40</v>
          </cell>
          <cell r="T950">
            <v>1005.8599999999999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45</v>
          </cell>
          <cell r="Z950">
            <v>1124.5899999999999</v>
          </cell>
          <cell r="AA950">
            <v>0</v>
          </cell>
          <cell r="AB950">
            <v>0</v>
          </cell>
          <cell r="AC950">
            <v>3</v>
          </cell>
          <cell r="AD950">
            <v>77.040000000000006</v>
          </cell>
          <cell r="AE950">
            <v>5</v>
          </cell>
          <cell r="AF950">
            <v>106.04</v>
          </cell>
          <cell r="AG950">
            <v>12</v>
          </cell>
          <cell r="AH950">
            <v>341.63</v>
          </cell>
          <cell r="AI950">
            <v>14</v>
          </cell>
          <cell r="AJ950">
            <v>407.53000000000003</v>
          </cell>
          <cell r="AK950">
            <v>6</v>
          </cell>
          <cell r="AL950">
            <v>174.6</v>
          </cell>
          <cell r="AO950">
            <v>40</v>
          </cell>
          <cell r="AP950">
            <v>1106.8399999999999</v>
          </cell>
          <cell r="AS950">
            <v>0</v>
          </cell>
          <cell r="AT950">
            <v>0</v>
          </cell>
          <cell r="AU950">
            <v>444.08333333333303</v>
          </cell>
          <cell r="AV950">
            <v>11805.150000000003</v>
          </cell>
          <cell r="AW950">
            <v>0</v>
          </cell>
          <cell r="AX950">
            <v>0</v>
          </cell>
          <cell r="AY950">
            <v>5</v>
          </cell>
          <cell r="AZ950">
            <v>142.44</v>
          </cell>
          <cell r="BA950">
            <v>0</v>
          </cell>
          <cell r="BB950">
            <v>0</v>
          </cell>
          <cell r="BC950">
            <v>2</v>
          </cell>
          <cell r="BD950">
            <v>63.6</v>
          </cell>
          <cell r="BE950">
            <v>7</v>
          </cell>
          <cell r="BF950">
            <v>206.04</v>
          </cell>
          <cell r="BG950">
            <v>9.4166666666666679</v>
          </cell>
          <cell r="BH950">
            <v>240.06</v>
          </cell>
          <cell r="BI950">
            <v>1</v>
          </cell>
          <cell r="BJ950">
            <v>29.28</v>
          </cell>
          <cell r="BK950">
            <v>8.25</v>
          </cell>
          <cell r="BL950">
            <v>227.79</v>
          </cell>
          <cell r="BM950">
            <v>41</v>
          </cell>
          <cell r="BN950">
            <v>1127.0899999999999</v>
          </cell>
          <cell r="BO950">
            <v>30.75</v>
          </cell>
          <cell r="BP950">
            <v>832.78</v>
          </cell>
          <cell r="BQ950">
            <v>0</v>
          </cell>
          <cell r="BR950">
            <v>0</v>
          </cell>
          <cell r="BS950">
            <v>90.4166666666667</v>
          </cell>
          <cell r="BT950">
            <v>2457</v>
          </cell>
          <cell r="BU950">
            <v>41</v>
          </cell>
          <cell r="BV950">
            <v>966.6400000000001</v>
          </cell>
          <cell r="BW950">
            <v>8</v>
          </cell>
          <cell r="BX950">
            <v>185.56</v>
          </cell>
          <cell r="BY950">
            <v>23.1666666666667</v>
          </cell>
          <cell r="BZ950">
            <v>607.96</v>
          </cell>
          <cell r="CA950">
            <v>2.5</v>
          </cell>
          <cell r="CB950">
            <v>67.5</v>
          </cell>
          <cell r="CC950">
            <v>1</v>
          </cell>
          <cell r="CD950">
            <v>29.33</v>
          </cell>
          <cell r="CE950">
            <v>22</v>
          </cell>
          <cell r="CF950">
            <v>566.5</v>
          </cell>
          <cell r="CG950">
            <v>0</v>
          </cell>
          <cell r="CH950">
            <v>0</v>
          </cell>
          <cell r="CI950">
            <v>97.6666666666667</v>
          </cell>
          <cell r="CJ950">
            <v>2423.4899999999998</v>
          </cell>
          <cell r="CK950">
            <v>188.0833333333334</v>
          </cell>
          <cell r="CL950">
            <v>4880.4900000000007</v>
          </cell>
          <cell r="CO950">
            <v>0</v>
          </cell>
          <cell r="CP950">
            <v>0</v>
          </cell>
          <cell r="CQ950">
            <v>0</v>
          </cell>
          <cell r="CR950">
            <v>0</v>
          </cell>
          <cell r="CS950">
            <v>0</v>
          </cell>
          <cell r="CT950">
            <v>0</v>
          </cell>
          <cell r="CU950">
            <v>72</v>
          </cell>
          <cell r="CV950">
            <v>1922.53</v>
          </cell>
          <cell r="CW950">
            <v>0</v>
          </cell>
          <cell r="CX950">
            <v>0</v>
          </cell>
          <cell r="CY950">
            <v>56</v>
          </cell>
          <cell r="CZ950">
            <v>1588.8</v>
          </cell>
          <cell r="DA950">
            <v>3</v>
          </cell>
          <cell r="DB950">
            <v>77.28</v>
          </cell>
          <cell r="DC950">
            <v>1</v>
          </cell>
          <cell r="DD950">
            <v>29.28</v>
          </cell>
          <cell r="DE950">
            <v>60</v>
          </cell>
          <cell r="DF950">
            <v>1695.3600000000001</v>
          </cell>
          <cell r="DG950">
            <v>10</v>
          </cell>
          <cell r="DH950">
            <v>285.84000000000003</v>
          </cell>
          <cell r="DI950">
            <v>4</v>
          </cell>
          <cell r="DJ950">
            <v>103.92</v>
          </cell>
          <cell r="DK950">
            <v>9</v>
          </cell>
          <cell r="DL950">
            <v>232.32</v>
          </cell>
          <cell r="DM950">
            <v>23</v>
          </cell>
          <cell r="DN950">
            <v>622.07999999999993</v>
          </cell>
          <cell r="DO950">
            <v>39</v>
          </cell>
          <cell r="DP950">
            <v>1017.1600000000001</v>
          </cell>
          <cell r="DQ950">
            <v>6</v>
          </cell>
          <cell r="DR950">
            <v>164.97</v>
          </cell>
          <cell r="DS950">
            <v>27</v>
          </cell>
          <cell r="DT950">
            <v>740.40000000000009</v>
          </cell>
          <cell r="DU950">
            <v>72</v>
          </cell>
          <cell r="DV950">
            <v>1922.53</v>
          </cell>
          <cell r="DW950">
            <v>444.08333333333337</v>
          </cell>
          <cell r="DX950">
            <v>11805.150000000001</v>
          </cell>
          <cell r="DY950" t="str">
            <v/>
          </cell>
          <cell r="DZ950">
            <v>0</v>
          </cell>
          <cell r="EA950">
            <v>26.583186338900358</v>
          </cell>
        </row>
        <row r="951">
          <cell r="C951" t="str">
            <v>PECETE TOPLAM</v>
          </cell>
          <cell r="D951" t="str">
            <v>KOLI</v>
          </cell>
          <cell r="E951">
            <v>36</v>
          </cell>
          <cell r="F951">
            <v>596.62</v>
          </cell>
          <cell r="G951">
            <v>45</v>
          </cell>
          <cell r="H951">
            <v>824.45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O951">
            <v>81</v>
          </cell>
          <cell r="P951">
            <v>1421.0700000000002</v>
          </cell>
          <cell r="Q951">
            <v>20</v>
          </cell>
          <cell r="R951">
            <v>356.18</v>
          </cell>
          <cell r="S951">
            <v>50</v>
          </cell>
          <cell r="T951">
            <v>1186.1599999999999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70</v>
          </cell>
          <cell r="Z951">
            <v>1542.34</v>
          </cell>
          <cell r="AA951">
            <v>0</v>
          </cell>
          <cell r="AB951">
            <v>0</v>
          </cell>
          <cell r="AC951">
            <v>9</v>
          </cell>
          <cell r="AD951">
            <v>179.68</v>
          </cell>
          <cell r="AE951">
            <v>5</v>
          </cell>
          <cell r="AF951">
            <v>106.04</v>
          </cell>
          <cell r="AG951">
            <v>16</v>
          </cell>
          <cell r="AH951">
            <v>417.75</v>
          </cell>
          <cell r="AI951">
            <v>22</v>
          </cell>
          <cell r="AJ951">
            <v>540.25</v>
          </cell>
          <cell r="AK951">
            <v>13</v>
          </cell>
          <cell r="AL951">
            <v>294.32</v>
          </cell>
          <cell r="AO951">
            <v>65</v>
          </cell>
          <cell r="AP951">
            <v>1538.04</v>
          </cell>
          <cell r="AS951">
            <v>0</v>
          </cell>
          <cell r="AT951">
            <v>0</v>
          </cell>
          <cell r="AU951">
            <v>1141.583333333333</v>
          </cell>
          <cell r="AV951">
            <v>24338.510000000002</v>
          </cell>
          <cell r="AW951">
            <v>0</v>
          </cell>
          <cell r="AX951">
            <v>0</v>
          </cell>
          <cell r="AY951">
            <v>6</v>
          </cell>
          <cell r="AZ951">
            <v>160.32</v>
          </cell>
          <cell r="BA951">
            <v>0</v>
          </cell>
          <cell r="BB951">
            <v>0</v>
          </cell>
          <cell r="BC951">
            <v>30</v>
          </cell>
          <cell r="BD951">
            <v>556.65000000000009</v>
          </cell>
          <cell r="BE951">
            <v>36</v>
          </cell>
          <cell r="BF951">
            <v>716.97</v>
          </cell>
          <cell r="BG951">
            <v>10.416666666666668</v>
          </cell>
          <cell r="BH951">
            <v>257.94</v>
          </cell>
          <cell r="BI951">
            <v>2</v>
          </cell>
          <cell r="BJ951">
            <v>46.400000000000006</v>
          </cell>
          <cell r="BK951">
            <v>14.5</v>
          </cell>
          <cell r="BL951">
            <v>337.8</v>
          </cell>
          <cell r="BM951">
            <v>46</v>
          </cell>
          <cell r="BN951">
            <v>1224.22</v>
          </cell>
          <cell r="BO951">
            <v>150.875</v>
          </cell>
          <cell r="BP951">
            <v>3171.3100000000004</v>
          </cell>
          <cell r="BQ951">
            <v>0</v>
          </cell>
          <cell r="BR951">
            <v>0</v>
          </cell>
          <cell r="BS951">
            <v>223.79166666666669</v>
          </cell>
          <cell r="BT951">
            <v>5037.67</v>
          </cell>
          <cell r="BU951">
            <v>67</v>
          </cell>
          <cell r="BV951">
            <v>1415.3300000000002</v>
          </cell>
          <cell r="BW951">
            <v>13</v>
          </cell>
          <cell r="BX951">
            <v>282.45999999999998</v>
          </cell>
          <cell r="BY951">
            <v>33.0416666666667</v>
          </cell>
          <cell r="BZ951">
            <v>780.28</v>
          </cell>
          <cell r="CA951">
            <v>3.75</v>
          </cell>
          <cell r="CB951">
            <v>91.2</v>
          </cell>
          <cell r="CC951">
            <v>6</v>
          </cell>
          <cell r="CD951">
            <v>120.77</v>
          </cell>
          <cell r="CE951">
            <v>62</v>
          </cell>
          <cell r="CF951">
            <v>1245.8500000000001</v>
          </cell>
          <cell r="CG951">
            <v>40</v>
          </cell>
          <cell r="CH951">
            <v>724.42</v>
          </cell>
          <cell r="CI951">
            <v>224.79166666666669</v>
          </cell>
          <cell r="CJ951">
            <v>4660.3099999999995</v>
          </cell>
          <cell r="CK951">
            <v>448.58333333333337</v>
          </cell>
          <cell r="CL951">
            <v>9697.9800000000014</v>
          </cell>
          <cell r="CO951">
            <v>0</v>
          </cell>
          <cell r="CP951">
            <v>0</v>
          </cell>
          <cell r="CQ951">
            <v>0</v>
          </cell>
          <cell r="CR951">
            <v>0</v>
          </cell>
          <cell r="CS951">
            <v>0</v>
          </cell>
          <cell r="CT951">
            <v>0</v>
          </cell>
          <cell r="CU951">
            <v>145</v>
          </cell>
          <cell r="CV951">
            <v>3216.83</v>
          </cell>
          <cell r="CW951">
            <v>0</v>
          </cell>
          <cell r="CX951">
            <v>0</v>
          </cell>
          <cell r="CY951">
            <v>255</v>
          </cell>
          <cell r="CZ951">
            <v>5217.4800000000005</v>
          </cell>
          <cell r="DA951">
            <v>14</v>
          </cell>
          <cell r="DB951">
            <v>280.92</v>
          </cell>
          <cell r="DC951">
            <v>3</v>
          </cell>
          <cell r="DD951">
            <v>65.599999999999994</v>
          </cell>
          <cell r="DE951">
            <v>272</v>
          </cell>
          <cell r="DF951">
            <v>5564</v>
          </cell>
          <cell r="DG951">
            <v>11</v>
          </cell>
          <cell r="DH951">
            <v>305.04000000000002</v>
          </cell>
          <cell r="DI951">
            <v>4</v>
          </cell>
          <cell r="DJ951">
            <v>103.92</v>
          </cell>
          <cell r="DK951">
            <v>9</v>
          </cell>
          <cell r="DL951">
            <v>232.32</v>
          </cell>
          <cell r="DM951">
            <v>24</v>
          </cell>
          <cell r="DN951">
            <v>641.28</v>
          </cell>
          <cell r="DO951">
            <v>74</v>
          </cell>
          <cell r="DP951">
            <v>1644.15</v>
          </cell>
          <cell r="DQ951">
            <v>25</v>
          </cell>
          <cell r="DR951">
            <v>483.31999999999994</v>
          </cell>
          <cell r="DS951">
            <v>46</v>
          </cell>
          <cell r="DT951">
            <v>1089.3600000000001</v>
          </cell>
          <cell r="DU951">
            <v>145</v>
          </cell>
          <cell r="DV951">
            <v>3216.83</v>
          </cell>
          <cell r="DW951">
            <v>1141.5833333333335</v>
          </cell>
          <cell r="DX951">
            <v>24338.510000000006</v>
          </cell>
          <cell r="DY951" t="str">
            <v/>
          </cell>
          <cell r="DZ951">
            <v>0</v>
          </cell>
          <cell r="EA951">
            <v>21.319959121103732</v>
          </cell>
        </row>
        <row r="952">
          <cell r="B952">
            <v>226399</v>
          </cell>
          <cell r="C952" t="str">
            <v>SUN T.KGZ_2*24_EKONOMIK</v>
          </cell>
          <cell r="D952" t="str">
            <v>KOLI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O952">
            <v>0</v>
          </cell>
          <cell r="AP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S952">
            <v>0</v>
          </cell>
          <cell r="CT952">
            <v>0</v>
          </cell>
          <cell r="CU952">
            <v>0</v>
          </cell>
          <cell r="CV952">
            <v>0</v>
          </cell>
          <cell r="CW952">
            <v>0</v>
          </cell>
          <cell r="CX952">
            <v>0</v>
          </cell>
          <cell r="CY952">
            <v>0</v>
          </cell>
          <cell r="CZ952">
            <v>0</v>
          </cell>
          <cell r="DA952">
            <v>0</v>
          </cell>
          <cell r="DB952">
            <v>0</v>
          </cell>
          <cell r="DC952">
            <v>0</v>
          </cell>
          <cell r="DD952">
            <v>0</v>
          </cell>
          <cell r="DE952">
            <v>0</v>
          </cell>
          <cell r="DF952">
            <v>0</v>
          </cell>
          <cell r="DG952">
            <v>0</v>
          </cell>
          <cell r="DH952">
            <v>0</v>
          </cell>
          <cell r="DI952">
            <v>0</v>
          </cell>
          <cell r="DJ952">
            <v>0</v>
          </cell>
          <cell r="DK952">
            <v>0</v>
          </cell>
          <cell r="DL952">
            <v>0</v>
          </cell>
          <cell r="DM952">
            <v>0</v>
          </cell>
          <cell r="DN952">
            <v>0</v>
          </cell>
          <cell r="DO952">
            <v>0</v>
          </cell>
          <cell r="DP952">
            <v>0</v>
          </cell>
          <cell r="DQ952">
            <v>0</v>
          </cell>
          <cell r="DR952">
            <v>0</v>
          </cell>
          <cell r="DS952">
            <v>0</v>
          </cell>
          <cell r="DT952">
            <v>0</v>
          </cell>
          <cell r="DU952">
            <v>0</v>
          </cell>
          <cell r="DV952">
            <v>0</v>
          </cell>
          <cell r="DW952">
            <v>0</v>
          </cell>
          <cell r="DX952">
            <v>0</v>
          </cell>
          <cell r="DY952" t="str">
            <v/>
          </cell>
          <cell r="DZ952" t="str">
            <v>pasiv</v>
          </cell>
          <cell r="EA952" t="e">
            <v>#DIV/0!</v>
          </cell>
        </row>
        <row r="953">
          <cell r="B953">
            <v>296352</v>
          </cell>
          <cell r="C953" t="str">
            <v>ტუალეტის ქაღალდი-მოლისი-1*40</v>
          </cell>
          <cell r="D953" t="str">
            <v>KOLI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O953">
            <v>0</v>
          </cell>
          <cell r="AP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  <cell r="DL953">
            <v>0</v>
          </cell>
          <cell r="DM953">
            <v>0</v>
          </cell>
          <cell r="DN953">
            <v>0</v>
          </cell>
          <cell r="DO953">
            <v>0</v>
          </cell>
          <cell r="DP953">
            <v>0</v>
          </cell>
          <cell r="DQ953">
            <v>0</v>
          </cell>
          <cell r="DR953">
            <v>0</v>
          </cell>
          <cell r="DS953">
            <v>0</v>
          </cell>
          <cell r="DT953">
            <v>0</v>
          </cell>
          <cell r="DU953">
            <v>0</v>
          </cell>
          <cell r="DV953">
            <v>0</v>
          </cell>
          <cell r="DW953">
            <v>0</v>
          </cell>
          <cell r="DX953">
            <v>0</v>
          </cell>
          <cell r="DY953" t="str">
            <v/>
          </cell>
          <cell r="DZ953" t="str">
            <v>pasiv</v>
          </cell>
          <cell r="EA953" t="e">
            <v>#DIV/0!</v>
          </cell>
        </row>
        <row r="954">
          <cell r="B954">
            <v>224294</v>
          </cell>
          <cell r="C954" t="str">
            <v>ტუალეტის-ქაღალდი-სან ეკონომიკ-4*12</v>
          </cell>
          <cell r="D954" t="str">
            <v>KOLI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O954">
            <v>0</v>
          </cell>
          <cell r="AP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O954">
            <v>0</v>
          </cell>
          <cell r="CP954">
            <v>0</v>
          </cell>
          <cell r="CQ954">
            <v>0</v>
          </cell>
          <cell r="CR954">
            <v>0</v>
          </cell>
          <cell r="CS954">
            <v>0</v>
          </cell>
          <cell r="CT954">
            <v>0</v>
          </cell>
          <cell r="CU954">
            <v>0</v>
          </cell>
          <cell r="CV954">
            <v>0</v>
          </cell>
          <cell r="CW954">
            <v>0</v>
          </cell>
          <cell r="CX954">
            <v>0</v>
          </cell>
          <cell r="CY954">
            <v>0</v>
          </cell>
          <cell r="CZ954">
            <v>0</v>
          </cell>
          <cell r="DA954">
            <v>0</v>
          </cell>
          <cell r="DB954">
            <v>0</v>
          </cell>
          <cell r="DC954">
            <v>0</v>
          </cell>
          <cell r="DD954">
            <v>0</v>
          </cell>
          <cell r="DE954">
            <v>0</v>
          </cell>
          <cell r="DF954">
            <v>0</v>
          </cell>
          <cell r="DG954">
            <v>0</v>
          </cell>
          <cell r="DH954">
            <v>0</v>
          </cell>
          <cell r="DI954">
            <v>0</v>
          </cell>
          <cell r="DJ954">
            <v>0</v>
          </cell>
          <cell r="DK954">
            <v>0</v>
          </cell>
          <cell r="DL954">
            <v>0</v>
          </cell>
          <cell r="DM954">
            <v>0</v>
          </cell>
          <cell r="DN954">
            <v>0</v>
          </cell>
          <cell r="DO954">
            <v>0</v>
          </cell>
          <cell r="DP954">
            <v>0</v>
          </cell>
          <cell r="DQ954">
            <v>0</v>
          </cell>
          <cell r="DR954">
            <v>0</v>
          </cell>
          <cell r="DS954">
            <v>0</v>
          </cell>
          <cell r="DT954">
            <v>0</v>
          </cell>
          <cell r="DU954">
            <v>0</v>
          </cell>
          <cell r="DV954">
            <v>0</v>
          </cell>
          <cell r="DW954">
            <v>0</v>
          </cell>
          <cell r="DX954">
            <v>0</v>
          </cell>
          <cell r="DY954" t="str">
            <v/>
          </cell>
          <cell r="DZ954" t="str">
            <v>pasiv</v>
          </cell>
          <cell r="EA954" t="e">
            <v>#DIV/0!</v>
          </cell>
        </row>
        <row r="955">
          <cell r="B955">
            <v>226402</v>
          </cell>
          <cell r="C955" t="str">
            <v>SUN T.KGZ_8*6_EKONOMIK</v>
          </cell>
          <cell r="D955" t="str">
            <v>KOLI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O955">
            <v>0</v>
          </cell>
          <cell r="AP955">
            <v>0</v>
          </cell>
          <cell r="AS955">
            <v>0</v>
          </cell>
          <cell r="AT955">
            <v>0</v>
          </cell>
          <cell r="AU955">
            <v>0.16666666666666699</v>
          </cell>
          <cell r="AV955">
            <v>8.77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0.16666666666666699</v>
          </cell>
          <cell r="BP955">
            <v>8.77</v>
          </cell>
          <cell r="BQ955">
            <v>0</v>
          </cell>
          <cell r="BR955">
            <v>0</v>
          </cell>
          <cell r="BS955">
            <v>0.16666666666666699</v>
          </cell>
          <cell r="BT955">
            <v>8.77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0.16666666666666699</v>
          </cell>
          <cell r="CL955">
            <v>8.77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  <cell r="DL955">
            <v>0</v>
          </cell>
          <cell r="DM955">
            <v>0</v>
          </cell>
          <cell r="DN955">
            <v>0</v>
          </cell>
          <cell r="DO955">
            <v>0</v>
          </cell>
          <cell r="DP955">
            <v>0</v>
          </cell>
          <cell r="DQ955">
            <v>0</v>
          </cell>
          <cell r="DR955">
            <v>0</v>
          </cell>
          <cell r="DS955">
            <v>0</v>
          </cell>
          <cell r="DT955">
            <v>0</v>
          </cell>
          <cell r="DU955">
            <v>0</v>
          </cell>
          <cell r="DV955">
            <v>0</v>
          </cell>
          <cell r="DW955">
            <v>0.16666666666666699</v>
          </cell>
          <cell r="DX955">
            <v>8.77</v>
          </cell>
          <cell r="DY955" t="str">
            <v/>
          </cell>
          <cell r="DZ955">
            <v>0</v>
          </cell>
          <cell r="EA955">
            <v>52.619999999999898</v>
          </cell>
        </row>
        <row r="956">
          <cell r="B956">
            <v>275217</v>
          </cell>
          <cell r="C956" t="str">
            <v>ტუალეტის-ქაღალდი-პაპი-1*40</v>
          </cell>
          <cell r="D956" t="str">
            <v>KOLI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</v>
          </cell>
          <cell r="AD956">
            <v>21.2</v>
          </cell>
          <cell r="AE956">
            <v>0</v>
          </cell>
          <cell r="AF956">
            <v>0</v>
          </cell>
          <cell r="AG956">
            <v>1</v>
          </cell>
          <cell r="AH956">
            <v>21.2</v>
          </cell>
          <cell r="AI956">
            <v>2</v>
          </cell>
          <cell r="AJ956">
            <v>42.4</v>
          </cell>
          <cell r="AK956">
            <v>1</v>
          </cell>
          <cell r="AL956">
            <v>21.2</v>
          </cell>
          <cell r="AO956">
            <v>5</v>
          </cell>
          <cell r="AP956">
            <v>106</v>
          </cell>
          <cell r="AS956">
            <v>0</v>
          </cell>
          <cell r="AT956">
            <v>0</v>
          </cell>
          <cell r="AU956">
            <v>86</v>
          </cell>
          <cell r="AV956">
            <v>1791.4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5</v>
          </cell>
          <cell r="BD956">
            <v>94</v>
          </cell>
          <cell r="BE956">
            <v>5</v>
          </cell>
          <cell r="BF956">
            <v>94</v>
          </cell>
          <cell r="BG956">
            <v>12</v>
          </cell>
          <cell r="BH956">
            <v>254.4</v>
          </cell>
          <cell r="BI956">
            <v>0</v>
          </cell>
          <cell r="BJ956">
            <v>0</v>
          </cell>
          <cell r="BK956">
            <v>3</v>
          </cell>
          <cell r="BL956">
            <v>63.6</v>
          </cell>
          <cell r="BM956">
            <v>5</v>
          </cell>
          <cell r="BN956">
            <v>104.8</v>
          </cell>
          <cell r="BO956">
            <v>14</v>
          </cell>
          <cell r="BP956">
            <v>295.60000000000002</v>
          </cell>
          <cell r="BQ956">
            <v>0</v>
          </cell>
          <cell r="BR956">
            <v>0</v>
          </cell>
          <cell r="BS956">
            <v>35</v>
          </cell>
          <cell r="BT956">
            <v>739.6</v>
          </cell>
          <cell r="BU956">
            <v>1</v>
          </cell>
          <cell r="BV956">
            <v>19.399999999999999</v>
          </cell>
          <cell r="BW956">
            <v>1</v>
          </cell>
          <cell r="BX956">
            <v>19.399999999999999</v>
          </cell>
          <cell r="BY956">
            <v>8</v>
          </cell>
          <cell r="BZ956">
            <v>158.19999999999999</v>
          </cell>
          <cell r="CA956">
            <v>1</v>
          </cell>
          <cell r="CB956">
            <v>21.2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11</v>
          </cell>
          <cell r="CJ956">
            <v>218.2</v>
          </cell>
          <cell r="CK956">
            <v>46</v>
          </cell>
          <cell r="CL956">
            <v>957.8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25</v>
          </cell>
          <cell r="CV956">
            <v>528.79999999999995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4</v>
          </cell>
          <cell r="DH956">
            <v>84.8</v>
          </cell>
          <cell r="DI956">
            <v>0</v>
          </cell>
          <cell r="DJ956">
            <v>0</v>
          </cell>
          <cell r="DK956">
            <v>1</v>
          </cell>
          <cell r="DL956">
            <v>20</v>
          </cell>
          <cell r="DM956">
            <v>5</v>
          </cell>
          <cell r="DN956">
            <v>104.8</v>
          </cell>
          <cell r="DO956">
            <v>8</v>
          </cell>
          <cell r="DP956">
            <v>169.6</v>
          </cell>
          <cell r="DQ956">
            <v>1</v>
          </cell>
          <cell r="DR956">
            <v>20</v>
          </cell>
          <cell r="DS956">
            <v>16</v>
          </cell>
          <cell r="DT956">
            <v>339.2</v>
          </cell>
          <cell r="DU956">
            <v>25</v>
          </cell>
          <cell r="DV956">
            <v>528.79999999999995</v>
          </cell>
          <cell r="DW956">
            <v>86</v>
          </cell>
          <cell r="DX956">
            <v>1791.3999999999999</v>
          </cell>
          <cell r="DY956" t="str">
            <v/>
          </cell>
          <cell r="DZ956">
            <v>0</v>
          </cell>
          <cell r="EA956">
            <v>20.830232558139532</v>
          </cell>
        </row>
        <row r="957">
          <cell r="B957">
            <v>157986</v>
          </cell>
          <cell r="C957" t="str">
            <v>SUN Q.DESMAL_22*20CM_70*24_QARA</v>
          </cell>
          <cell r="D957" t="str">
            <v>KOLI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O957">
            <v>0</v>
          </cell>
          <cell r="AP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S957">
            <v>0</v>
          </cell>
          <cell r="CT957">
            <v>0</v>
          </cell>
          <cell r="CU957">
            <v>0</v>
          </cell>
          <cell r="CV957">
            <v>0</v>
          </cell>
          <cell r="CW957">
            <v>0</v>
          </cell>
          <cell r="CX957">
            <v>0</v>
          </cell>
          <cell r="CY957">
            <v>0</v>
          </cell>
          <cell r="CZ957">
            <v>0</v>
          </cell>
          <cell r="DA957">
            <v>0</v>
          </cell>
          <cell r="DB957">
            <v>0</v>
          </cell>
          <cell r="DC957">
            <v>0</v>
          </cell>
          <cell r="DD957">
            <v>0</v>
          </cell>
          <cell r="DE957">
            <v>0</v>
          </cell>
          <cell r="DF957">
            <v>0</v>
          </cell>
          <cell r="DG957">
            <v>0</v>
          </cell>
          <cell r="DH957">
            <v>0</v>
          </cell>
          <cell r="DI957">
            <v>0</v>
          </cell>
          <cell r="DJ957">
            <v>0</v>
          </cell>
          <cell r="DK957">
            <v>0</v>
          </cell>
          <cell r="DL957">
            <v>0</v>
          </cell>
          <cell r="DM957">
            <v>0</v>
          </cell>
          <cell r="DN957">
            <v>0</v>
          </cell>
          <cell r="DO957">
            <v>0</v>
          </cell>
          <cell r="DP957">
            <v>0</v>
          </cell>
          <cell r="DQ957">
            <v>0</v>
          </cell>
          <cell r="DR957">
            <v>0</v>
          </cell>
          <cell r="DS957">
            <v>0</v>
          </cell>
          <cell r="DT957">
            <v>0</v>
          </cell>
          <cell r="DU957">
            <v>0</v>
          </cell>
          <cell r="DV957">
            <v>0</v>
          </cell>
          <cell r="DW957">
            <v>0</v>
          </cell>
          <cell r="DX957">
            <v>0</v>
          </cell>
          <cell r="DY957" t="str">
            <v/>
          </cell>
          <cell r="DZ957" t="str">
            <v>pasiv</v>
          </cell>
          <cell r="EA957" t="e">
            <v>#DIV/0!</v>
          </cell>
        </row>
        <row r="958">
          <cell r="A958">
            <v>23</v>
          </cell>
          <cell r="C958" t="str">
            <v>TUV. KAGIDI</v>
          </cell>
          <cell r="D958" t="str">
            <v>KOLI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1</v>
          </cell>
          <cell r="AD958">
            <v>21.2</v>
          </cell>
          <cell r="AE958">
            <v>0</v>
          </cell>
          <cell r="AF958">
            <v>0</v>
          </cell>
          <cell r="AG958">
            <v>1</v>
          </cell>
          <cell r="AH958">
            <v>21.2</v>
          </cell>
          <cell r="AI958">
            <v>2</v>
          </cell>
          <cell r="AJ958">
            <v>42.4</v>
          </cell>
          <cell r="AK958">
            <v>1</v>
          </cell>
          <cell r="AL958">
            <v>21.2</v>
          </cell>
          <cell r="AO958">
            <v>5</v>
          </cell>
          <cell r="AP958">
            <v>106</v>
          </cell>
          <cell r="AS958">
            <v>0</v>
          </cell>
          <cell r="AT958">
            <v>0</v>
          </cell>
          <cell r="AU958">
            <v>86.166666666666671</v>
          </cell>
          <cell r="AV958">
            <v>1800.17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5</v>
          </cell>
          <cell r="BD958">
            <v>94</v>
          </cell>
          <cell r="BE958">
            <v>5</v>
          </cell>
          <cell r="BF958">
            <v>94</v>
          </cell>
          <cell r="BG958">
            <v>12</v>
          </cell>
          <cell r="BH958">
            <v>254.4</v>
          </cell>
          <cell r="BI958">
            <v>0</v>
          </cell>
          <cell r="BJ958">
            <v>0</v>
          </cell>
          <cell r="BK958">
            <v>3</v>
          </cell>
          <cell r="BL958">
            <v>63.6</v>
          </cell>
          <cell r="BM958">
            <v>5</v>
          </cell>
          <cell r="BN958">
            <v>104.8</v>
          </cell>
          <cell r="BO958">
            <v>14.166666666666668</v>
          </cell>
          <cell r="BP958">
            <v>304.37</v>
          </cell>
          <cell r="BQ958">
            <v>0</v>
          </cell>
          <cell r="BR958">
            <v>0</v>
          </cell>
          <cell r="BS958">
            <v>35.166666666666664</v>
          </cell>
          <cell r="BT958">
            <v>748.37</v>
          </cell>
          <cell r="BU958">
            <v>1</v>
          </cell>
          <cell r="BV958">
            <v>19.399999999999999</v>
          </cell>
          <cell r="BW958">
            <v>1</v>
          </cell>
          <cell r="BX958">
            <v>19.399999999999999</v>
          </cell>
          <cell r="BY958">
            <v>8</v>
          </cell>
          <cell r="BZ958">
            <v>158.19999999999999</v>
          </cell>
          <cell r="CA958">
            <v>1</v>
          </cell>
          <cell r="CB958">
            <v>21.2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11</v>
          </cell>
          <cell r="CJ958">
            <v>218.2</v>
          </cell>
          <cell r="CK958">
            <v>46.166666666666664</v>
          </cell>
          <cell r="CL958">
            <v>966.56999999999994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25</v>
          </cell>
          <cell r="CV958">
            <v>528.79999999999995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4</v>
          </cell>
          <cell r="DH958">
            <v>84.8</v>
          </cell>
          <cell r="DI958">
            <v>0</v>
          </cell>
          <cell r="DJ958">
            <v>0</v>
          </cell>
          <cell r="DK958">
            <v>1</v>
          </cell>
          <cell r="DL958">
            <v>20</v>
          </cell>
          <cell r="DM958">
            <v>5</v>
          </cell>
          <cell r="DN958">
            <v>104.8</v>
          </cell>
          <cell r="DO958">
            <v>8</v>
          </cell>
          <cell r="DP958">
            <v>169.6</v>
          </cell>
          <cell r="DQ958">
            <v>1</v>
          </cell>
          <cell r="DR958">
            <v>20</v>
          </cell>
          <cell r="DS958">
            <v>16</v>
          </cell>
          <cell r="DT958">
            <v>339.2</v>
          </cell>
          <cell r="DU958">
            <v>25</v>
          </cell>
          <cell r="DV958">
            <v>528.79999999999995</v>
          </cell>
          <cell r="DW958">
            <v>86.166666666666671</v>
          </cell>
          <cell r="DX958">
            <v>1800.1699999999998</v>
          </cell>
          <cell r="DY958" t="str">
            <v>Hedef</v>
          </cell>
          <cell r="DZ958">
            <v>0</v>
          </cell>
          <cell r="EA958">
            <v>20.891721470019338</v>
          </cell>
        </row>
        <row r="959">
          <cell r="B959">
            <v>275912</v>
          </cell>
          <cell r="C959" t="str">
            <v>სამზარეულოს ხელს_1*12_80მ _ჩვ.სუფრა_ორფ</v>
          </cell>
          <cell r="D959" t="str">
            <v>KOLI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O959">
            <v>0</v>
          </cell>
          <cell r="AP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  <cell r="DL959">
            <v>0</v>
          </cell>
          <cell r="DM959">
            <v>0</v>
          </cell>
          <cell r="DN959">
            <v>0</v>
          </cell>
          <cell r="DO959">
            <v>0</v>
          </cell>
          <cell r="DP959">
            <v>0</v>
          </cell>
          <cell r="DQ959">
            <v>0</v>
          </cell>
          <cell r="DR959">
            <v>0</v>
          </cell>
          <cell r="DS959">
            <v>0</v>
          </cell>
          <cell r="DT959">
            <v>0</v>
          </cell>
          <cell r="DU959">
            <v>0</v>
          </cell>
          <cell r="DV959">
            <v>0</v>
          </cell>
          <cell r="DW959">
            <v>0</v>
          </cell>
          <cell r="DX959">
            <v>0</v>
          </cell>
          <cell r="DY959" t="str">
            <v/>
          </cell>
          <cell r="DZ959" t="str">
            <v>pasiv</v>
          </cell>
          <cell r="EA959" t="e">
            <v>#DIV/0!</v>
          </cell>
        </row>
        <row r="960">
          <cell r="A960">
            <v>24</v>
          </cell>
          <cell r="C960" t="str">
            <v>HAVLU</v>
          </cell>
          <cell r="D960" t="str">
            <v>KOLI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O960">
            <v>0</v>
          </cell>
          <cell r="AP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S960">
            <v>0</v>
          </cell>
          <cell r="CT960">
            <v>0</v>
          </cell>
          <cell r="CU960">
            <v>0</v>
          </cell>
          <cell r="CV960">
            <v>0</v>
          </cell>
          <cell r="CW960">
            <v>0</v>
          </cell>
          <cell r="CX960">
            <v>0</v>
          </cell>
          <cell r="CY960">
            <v>0</v>
          </cell>
          <cell r="CZ960">
            <v>0</v>
          </cell>
          <cell r="DA960">
            <v>0</v>
          </cell>
          <cell r="DB960">
            <v>0</v>
          </cell>
          <cell r="DC960">
            <v>0</v>
          </cell>
          <cell r="DD960">
            <v>0</v>
          </cell>
          <cell r="DE960">
            <v>0</v>
          </cell>
          <cell r="DF960">
            <v>0</v>
          </cell>
          <cell r="DG960">
            <v>0</v>
          </cell>
          <cell r="DH960">
            <v>0</v>
          </cell>
          <cell r="DI960">
            <v>0</v>
          </cell>
          <cell r="DJ960">
            <v>0</v>
          </cell>
          <cell r="DK960">
            <v>0</v>
          </cell>
          <cell r="DL960">
            <v>0</v>
          </cell>
          <cell r="DM960">
            <v>0</v>
          </cell>
          <cell r="DN960">
            <v>0</v>
          </cell>
          <cell r="DO960">
            <v>0</v>
          </cell>
          <cell r="DP960">
            <v>0</v>
          </cell>
          <cell r="DQ960">
            <v>0</v>
          </cell>
          <cell r="DR960">
            <v>0</v>
          </cell>
          <cell r="DS960">
            <v>0</v>
          </cell>
          <cell r="DT960">
            <v>0</v>
          </cell>
          <cell r="DU960">
            <v>0</v>
          </cell>
          <cell r="DV960">
            <v>0</v>
          </cell>
          <cell r="DW960">
            <v>0</v>
          </cell>
          <cell r="DX960">
            <v>0</v>
          </cell>
          <cell r="DY960" t="str">
            <v>Hedef</v>
          </cell>
          <cell r="DZ960" t="str">
            <v>pasiv</v>
          </cell>
          <cell r="EA960" t="e">
            <v>#DIV/0!</v>
          </cell>
        </row>
        <row r="961">
          <cell r="A961">
            <v>1</v>
          </cell>
          <cell r="B961">
            <v>111003</v>
          </cell>
          <cell r="C961" t="str">
            <v>DISPENSER SALFET_250*32</v>
          </cell>
          <cell r="D961" t="str">
            <v>KOLI</v>
          </cell>
          <cell r="E961">
            <v>0</v>
          </cell>
          <cell r="F961">
            <v>0</v>
          </cell>
          <cell r="G961">
            <v>0.5</v>
          </cell>
          <cell r="H961">
            <v>29.02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O961">
            <v>0.5</v>
          </cell>
          <cell r="P961">
            <v>29.02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O961">
            <v>0</v>
          </cell>
          <cell r="AP961">
            <v>0</v>
          </cell>
          <cell r="AS961">
            <v>0</v>
          </cell>
          <cell r="AT961">
            <v>0</v>
          </cell>
          <cell r="AU961">
            <v>5.09375</v>
          </cell>
          <cell r="AV961">
            <v>297.33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1.59375</v>
          </cell>
          <cell r="CD961">
            <v>93.57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1.59375</v>
          </cell>
          <cell r="CJ961">
            <v>93.57</v>
          </cell>
          <cell r="CK961">
            <v>1.59375</v>
          </cell>
          <cell r="CL961">
            <v>93.57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S961">
            <v>0</v>
          </cell>
          <cell r="CT961">
            <v>0</v>
          </cell>
          <cell r="CU961">
            <v>3</v>
          </cell>
          <cell r="CV961">
            <v>174.74</v>
          </cell>
          <cell r="CW961">
            <v>0</v>
          </cell>
          <cell r="CX961">
            <v>0</v>
          </cell>
          <cell r="CY961">
            <v>0</v>
          </cell>
          <cell r="CZ961">
            <v>0</v>
          </cell>
          <cell r="DA961">
            <v>0</v>
          </cell>
          <cell r="DB961">
            <v>0</v>
          </cell>
          <cell r="DC961">
            <v>0</v>
          </cell>
          <cell r="DD961">
            <v>0</v>
          </cell>
          <cell r="DE961">
            <v>0</v>
          </cell>
          <cell r="DF961">
            <v>0</v>
          </cell>
          <cell r="DG961">
            <v>0</v>
          </cell>
          <cell r="DH961">
            <v>0</v>
          </cell>
          <cell r="DI961">
            <v>0</v>
          </cell>
          <cell r="DJ961">
            <v>0</v>
          </cell>
          <cell r="DK961">
            <v>0</v>
          </cell>
          <cell r="DL961">
            <v>0</v>
          </cell>
          <cell r="DM961">
            <v>0</v>
          </cell>
          <cell r="DN961">
            <v>0</v>
          </cell>
          <cell r="DO961">
            <v>3</v>
          </cell>
          <cell r="DP961">
            <v>174.74</v>
          </cell>
          <cell r="DQ961">
            <v>0</v>
          </cell>
          <cell r="DR961">
            <v>0</v>
          </cell>
          <cell r="DS961">
            <v>0</v>
          </cell>
          <cell r="DT961">
            <v>0</v>
          </cell>
          <cell r="DU961">
            <v>3</v>
          </cell>
          <cell r="DV961">
            <v>174.74</v>
          </cell>
          <cell r="DW961">
            <v>5.09375</v>
          </cell>
          <cell r="DX961">
            <v>297.33</v>
          </cell>
          <cell r="DY961" t="str">
            <v>Hedef</v>
          </cell>
          <cell r="DZ961">
            <v>0</v>
          </cell>
          <cell r="EA961">
            <v>58.371533742331287</v>
          </cell>
        </row>
        <row r="962">
          <cell r="B962">
            <v>141082</v>
          </cell>
          <cell r="C962" t="str">
            <v>SUN DISPENS.DESMAL_21.5*22SM_200*16_YN</v>
          </cell>
          <cell r="D962" t="str">
            <v>KOLI</v>
          </cell>
          <cell r="E962">
            <v>0</v>
          </cell>
          <cell r="F962">
            <v>0</v>
          </cell>
          <cell r="G962">
            <v>0.5</v>
          </cell>
          <cell r="H962">
            <v>20.18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O962">
            <v>0.5</v>
          </cell>
          <cell r="P962">
            <v>20.18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O962">
            <v>0</v>
          </cell>
          <cell r="AP962">
            <v>0</v>
          </cell>
          <cell r="AS962">
            <v>0</v>
          </cell>
          <cell r="AT962">
            <v>0</v>
          </cell>
          <cell r="AU962">
            <v>8</v>
          </cell>
          <cell r="AV962">
            <v>329.27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1</v>
          </cell>
          <cell r="BL962">
            <v>41.6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1</v>
          </cell>
          <cell r="BT962">
            <v>41.6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1.5</v>
          </cell>
          <cell r="CD962">
            <v>61.15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1.5</v>
          </cell>
          <cell r="CJ962">
            <v>61.15</v>
          </cell>
          <cell r="CK962">
            <v>2.5</v>
          </cell>
          <cell r="CL962">
            <v>102.75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5</v>
          </cell>
          <cell r="CV962">
            <v>206.34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  <cell r="DL962">
            <v>0</v>
          </cell>
          <cell r="DM962">
            <v>0</v>
          </cell>
          <cell r="DN962">
            <v>0</v>
          </cell>
          <cell r="DO962">
            <v>3</v>
          </cell>
          <cell r="DP962">
            <v>123.14</v>
          </cell>
          <cell r="DQ962">
            <v>2</v>
          </cell>
          <cell r="DR962">
            <v>83.2</v>
          </cell>
          <cell r="DS962">
            <v>0</v>
          </cell>
          <cell r="DT962">
            <v>0</v>
          </cell>
          <cell r="DU962">
            <v>5</v>
          </cell>
          <cell r="DV962">
            <v>206.34</v>
          </cell>
          <cell r="DW962">
            <v>8</v>
          </cell>
          <cell r="DX962">
            <v>329.27000000000004</v>
          </cell>
          <cell r="DY962" t="str">
            <v/>
          </cell>
          <cell r="DZ962">
            <v>0</v>
          </cell>
          <cell r="EA962">
            <v>41.158750000000005</v>
          </cell>
        </row>
        <row r="963">
          <cell r="B963">
            <v>353234</v>
          </cell>
          <cell r="C963" t="str">
            <v>ტუალეტის-ქაღალდი-პაპი მეგა_1*24</v>
          </cell>
          <cell r="D963" t="str">
            <v>KOLI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O963">
            <v>0</v>
          </cell>
          <cell r="AP963">
            <v>0</v>
          </cell>
          <cell r="AS963">
            <v>0</v>
          </cell>
          <cell r="AT963">
            <v>0</v>
          </cell>
          <cell r="AU963">
            <v>58</v>
          </cell>
          <cell r="AV963">
            <v>1184.78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5</v>
          </cell>
          <cell r="BD963">
            <v>93.6</v>
          </cell>
          <cell r="BE963">
            <v>5</v>
          </cell>
          <cell r="BF963">
            <v>93.6</v>
          </cell>
          <cell r="BG963">
            <v>4</v>
          </cell>
          <cell r="BH963">
            <v>83.52</v>
          </cell>
          <cell r="BI963">
            <v>0</v>
          </cell>
          <cell r="BJ963">
            <v>0</v>
          </cell>
          <cell r="BK963">
            <v>3</v>
          </cell>
          <cell r="BL963">
            <v>62.64</v>
          </cell>
          <cell r="BM963">
            <v>2</v>
          </cell>
          <cell r="BN963">
            <v>41.76</v>
          </cell>
          <cell r="BO963">
            <v>19</v>
          </cell>
          <cell r="BP963">
            <v>396.72</v>
          </cell>
          <cell r="BQ963">
            <v>0</v>
          </cell>
          <cell r="BR963">
            <v>0</v>
          </cell>
          <cell r="BS963">
            <v>29</v>
          </cell>
          <cell r="BT963">
            <v>605.52</v>
          </cell>
          <cell r="BU963">
            <v>0</v>
          </cell>
          <cell r="BV963">
            <v>0</v>
          </cell>
          <cell r="BW963">
            <v>1</v>
          </cell>
          <cell r="BX963">
            <v>19.32</v>
          </cell>
          <cell r="BY963">
            <v>8</v>
          </cell>
          <cell r="BZ963">
            <v>156.26</v>
          </cell>
          <cell r="CA963">
            <v>2</v>
          </cell>
          <cell r="CB963">
            <v>41.76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11</v>
          </cell>
          <cell r="CJ963">
            <v>217.34</v>
          </cell>
          <cell r="CK963">
            <v>40</v>
          </cell>
          <cell r="CL963">
            <v>822.86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13</v>
          </cell>
          <cell r="CV963">
            <v>268.32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0</v>
          </cell>
          <cell r="DD963">
            <v>0</v>
          </cell>
          <cell r="DE963">
            <v>0</v>
          </cell>
          <cell r="DF963">
            <v>0</v>
          </cell>
          <cell r="DG963">
            <v>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  <cell r="DL963">
            <v>0</v>
          </cell>
          <cell r="DM963">
            <v>0</v>
          </cell>
          <cell r="DN963">
            <v>0</v>
          </cell>
          <cell r="DO963">
            <v>4</v>
          </cell>
          <cell r="DP963">
            <v>80.400000000000006</v>
          </cell>
          <cell r="DQ963">
            <v>0</v>
          </cell>
          <cell r="DR963">
            <v>0</v>
          </cell>
          <cell r="DS963">
            <v>9</v>
          </cell>
          <cell r="DT963">
            <v>187.92</v>
          </cell>
          <cell r="DU963">
            <v>13</v>
          </cell>
          <cell r="DV963">
            <v>268.32</v>
          </cell>
          <cell r="DW963">
            <v>58</v>
          </cell>
          <cell r="DX963">
            <v>1184.78</v>
          </cell>
          <cell r="DY963" t="str">
            <v/>
          </cell>
          <cell r="DZ963">
            <v>0</v>
          </cell>
          <cell r="EA963">
            <v>20.427241379310345</v>
          </cell>
        </row>
        <row r="964">
          <cell r="B964">
            <v>133895</v>
          </cell>
          <cell r="C964" t="str">
            <v>ხელს-სან- 22*20სმ-70*24-(კ.ყუთში)</v>
          </cell>
          <cell r="D964" t="str">
            <v>KOLI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O964">
            <v>0</v>
          </cell>
          <cell r="AP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S964">
            <v>0</v>
          </cell>
          <cell r="CT964">
            <v>0</v>
          </cell>
          <cell r="CU964">
            <v>0</v>
          </cell>
          <cell r="CV964">
            <v>0</v>
          </cell>
          <cell r="CW964">
            <v>0</v>
          </cell>
          <cell r="CX964">
            <v>0</v>
          </cell>
          <cell r="CY964">
            <v>0</v>
          </cell>
          <cell r="CZ964">
            <v>0</v>
          </cell>
          <cell r="DA964">
            <v>0</v>
          </cell>
          <cell r="DB964">
            <v>0</v>
          </cell>
          <cell r="DC964">
            <v>0</v>
          </cell>
          <cell r="DD964">
            <v>0</v>
          </cell>
          <cell r="DE964">
            <v>0</v>
          </cell>
          <cell r="DF964">
            <v>0</v>
          </cell>
          <cell r="DG964">
            <v>0</v>
          </cell>
          <cell r="DH964">
            <v>0</v>
          </cell>
          <cell r="DI964">
            <v>0</v>
          </cell>
          <cell r="DJ964">
            <v>0</v>
          </cell>
          <cell r="DK964">
            <v>0</v>
          </cell>
          <cell r="DL964">
            <v>0</v>
          </cell>
          <cell r="DM964">
            <v>0</v>
          </cell>
          <cell r="DN964">
            <v>0</v>
          </cell>
          <cell r="DO964">
            <v>0</v>
          </cell>
          <cell r="DP964">
            <v>0</v>
          </cell>
          <cell r="DQ964">
            <v>0</v>
          </cell>
          <cell r="DR964">
            <v>0</v>
          </cell>
          <cell r="DS964">
            <v>0</v>
          </cell>
          <cell r="DT964">
            <v>0</v>
          </cell>
          <cell r="DU964">
            <v>0</v>
          </cell>
          <cell r="DV964">
            <v>0</v>
          </cell>
          <cell r="DW964">
            <v>0</v>
          </cell>
          <cell r="DX964">
            <v>0</v>
          </cell>
          <cell r="DY964" t="str">
            <v/>
          </cell>
          <cell r="DZ964" t="str">
            <v>pasiv</v>
          </cell>
          <cell r="EA964" t="e">
            <v>#DIV/0!</v>
          </cell>
        </row>
        <row r="965">
          <cell r="A965">
            <v>26</v>
          </cell>
          <cell r="B965">
            <v>0</v>
          </cell>
          <cell r="C965" t="str">
            <v>MENDIL</v>
          </cell>
          <cell r="D965" t="str">
            <v>KOLI</v>
          </cell>
          <cell r="E965">
            <v>0</v>
          </cell>
          <cell r="F965">
            <v>0</v>
          </cell>
          <cell r="G965">
            <v>1</v>
          </cell>
          <cell r="H965">
            <v>49.2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O965">
            <v>1</v>
          </cell>
          <cell r="P965">
            <v>49.2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O965">
            <v>0</v>
          </cell>
          <cell r="AP965">
            <v>0</v>
          </cell>
          <cell r="AS965">
            <v>0</v>
          </cell>
          <cell r="AT965">
            <v>0</v>
          </cell>
          <cell r="AU965">
            <v>71.09375</v>
          </cell>
          <cell r="AV965">
            <v>1811.3799999999999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5</v>
          </cell>
          <cell r="BD965">
            <v>93.6</v>
          </cell>
          <cell r="BE965">
            <v>5</v>
          </cell>
          <cell r="BF965">
            <v>93.6</v>
          </cell>
          <cell r="BG965">
            <v>4</v>
          </cell>
          <cell r="BH965">
            <v>83.52</v>
          </cell>
          <cell r="BI965">
            <v>0</v>
          </cell>
          <cell r="BJ965">
            <v>0</v>
          </cell>
          <cell r="BK965">
            <v>4</v>
          </cell>
          <cell r="BL965">
            <v>104.24000000000001</v>
          </cell>
          <cell r="BM965">
            <v>2</v>
          </cell>
          <cell r="BN965">
            <v>41.76</v>
          </cell>
          <cell r="BO965">
            <v>19</v>
          </cell>
          <cell r="BP965">
            <v>396.72</v>
          </cell>
          <cell r="BQ965">
            <v>0</v>
          </cell>
          <cell r="BR965">
            <v>0</v>
          </cell>
          <cell r="BS965">
            <v>30</v>
          </cell>
          <cell r="BT965">
            <v>647.12</v>
          </cell>
          <cell r="BU965">
            <v>0</v>
          </cell>
          <cell r="BV965">
            <v>0</v>
          </cell>
          <cell r="BW965">
            <v>1</v>
          </cell>
          <cell r="BX965">
            <v>19.32</v>
          </cell>
          <cell r="BY965">
            <v>8</v>
          </cell>
          <cell r="BZ965">
            <v>156.26</v>
          </cell>
          <cell r="CA965">
            <v>2</v>
          </cell>
          <cell r="CB965">
            <v>41.76</v>
          </cell>
          <cell r="CC965">
            <v>3.09375</v>
          </cell>
          <cell r="CD965">
            <v>154.72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14.09375</v>
          </cell>
          <cell r="CJ965">
            <v>372.06</v>
          </cell>
          <cell r="CK965">
            <v>44.09375</v>
          </cell>
          <cell r="CL965">
            <v>1019.1800000000001</v>
          </cell>
          <cell r="CO965">
            <v>0</v>
          </cell>
          <cell r="CP965">
            <v>0</v>
          </cell>
          <cell r="CQ965">
            <v>0</v>
          </cell>
          <cell r="CR965">
            <v>0</v>
          </cell>
          <cell r="CS965">
            <v>0</v>
          </cell>
          <cell r="CT965">
            <v>0</v>
          </cell>
          <cell r="CU965">
            <v>21</v>
          </cell>
          <cell r="CV965">
            <v>649.40000000000009</v>
          </cell>
          <cell r="CW965">
            <v>0</v>
          </cell>
          <cell r="CX965">
            <v>0</v>
          </cell>
          <cell r="CY965">
            <v>0</v>
          </cell>
          <cell r="CZ965">
            <v>0</v>
          </cell>
          <cell r="DA965">
            <v>0</v>
          </cell>
          <cell r="DB965">
            <v>0</v>
          </cell>
          <cell r="DC965">
            <v>0</v>
          </cell>
          <cell r="DD965">
            <v>0</v>
          </cell>
          <cell r="DE965">
            <v>0</v>
          </cell>
          <cell r="DF965">
            <v>0</v>
          </cell>
          <cell r="DG965">
            <v>0</v>
          </cell>
          <cell r="DH965">
            <v>0</v>
          </cell>
          <cell r="DI965">
            <v>0</v>
          </cell>
          <cell r="DJ965">
            <v>0</v>
          </cell>
          <cell r="DK965">
            <v>0</v>
          </cell>
          <cell r="DL965">
            <v>0</v>
          </cell>
          <cell r="DM965">
            <v>0</v>
          </cell>
          <cell r="DN965">
            <v>0</v>
          </cell>
          <cell r="DO965">
            <v>10</v>
          </cell>
          <cell r="DP965">
            <v>378.28</v>
          </cell>
          <cell r="DQ965">
            <v>2</v>
          </cell>
          <cell r="DR965">
            <v>83.2</v>
          </cell>
          <cell r="DS965">
            <v>9</v>
          </cell>
          <cell r="DT965">
            <v>187.92</v>
          </cell>
          <cell r="DU965">
            <v>21</v>
          </cell>
          <cell r="DV965">
            <v>649.40000000000009</v>
          </cell>
          <cell r="DW965">
            <v>71.09375</v>
          </cell>
          <cell r="DX965">
            <v>1811.38</v>
          </cell>
          <cell r="DY965" t="str">
            <v>Hedef</v>
          </cell>
          <cell r="DZ965">
            <v>0</v>
          </cell>
          <cell r="EA965">
            <v>25.478751648351651</v>
          </cell>
        </row>
        <row r="966">
          <cell r="B966">
            <v>356535</v>
          </cell>
          <cell r="C966" t="str">
            <v>ტუალეტის ქაღალდი-დელფინი_4*12</v>
          </cell>
          <cell r="D966" t="str">
            <v>KOLI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O966">
            <v>0</v>
          </cell>
          <cell r="AP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O966">
            <v>0</v>
          </cell>
          <cell r="CP966">
            <v>0</v>
          </cell>
          <cell r="CQ966">
            <v>0</v>
          </cell>
          <cell r="CR966">
            <v>0</v>
          </cell>
          <cell r="CS966">
            <v>0</v>
          </cell>
          <cell r="CT966">
            <v>0</v>
          </cell>
          <cell r="CU966">
            <v>0</v>
          </cell>
          <cell r="CV966">
            <v>0</v>
          </cell>
          <cell r="CW966">
            <v>0</v>
          </cell>
          <cell r="CX966">
            <v>0</v>
          </cell>
          <cell r="CY966">
            <v>0</v>
          </cell>
          <cell r="CZ966">
            <v>0</v>
          </cell>
          <cell r="DA966">
            <v>0</v>
          </cell>
          <cell r="DB966">
            <v>0</v>
          </cell>
          <cell r="DC966">
            <v>0</v>
          </cell>
          <cell r="DD966">
            <v>0</v>
          </cell>
          <cell r="DE966">
            <v>0</v>
          </cell>
          <cell r="DF966">
            <v>0</v>
          </cell>
          <cell r="DG966">
            <v>0</v>
          </cell>
          <cell r="DH966">
            <v>0</v>
          </cell>
          <cell r="DI966">
            <v>0</v>
          </cell>
          <cell r="DJ966">
            <v>0</v>
          </cell>
          <cell r="DK966">
            <v>0</v>
          </cell>
          <cell r="DL966">
            <v>0</v>
          </cell>
          <cell r="DM966">
            <v>0</v>
          </cell>
          <cell r="DN966">
            <v>0</v>
          </cell>
          <cell r="DO966">
            <v>0</v>
          </cell>
          <cell r="DP966">
            <v>0</v>
          </cell>
          <cell r="DQ966">
            <v>0</v>
          </cell>
          <cell r="DR966">
            <v>0</v>
          </cell>
          <cell r="DS966">
            <v>0</v>
          </cell>
          <cell r="DT966">
            <v>0</v>
          </cell>
          <cell r="DU966">
            <v>0</v>
          </cell>
          <cell r="DV966">
            <v>0</v>
          </cell>
          <cell r="DW966">
            <v>0</v>
          </cell>
          <cell r="DX966">
            <v>0</v>
          </cell>
          <cell r="DY966" t="str">
            <v/>
          </cell>
          <cell r="DZ966" t="str">
            <v>pasiv</v>
          </cell>
          <cell r="EA966" t="e">
            <v>#DIV/0!</v>
          </cell>
        </row>
        <row r="967">
          <cell r="A967">
            <v>3</v>
          </cell>
          <cell r="B967">
            <v>381174</v>
          </cell>
          <cell r="C967" t="str">
            <v>ტუალეტის ქაღალდი-დელფინი_32_90ც+6ც</v>
          </cell>
          <cell r="D967" t="str">
            <v>TON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3</v>
          </cell>
          <cell r="AL967">
            <v>76.5</v>
          </cell>
          <cell r="AO967">
            <v>3</v>
          </cell>
          <cell r="AP967">
            <v>76.5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6</v>
          </cell>
          <cell r="AV967">
            <v>153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3</v>
          </cell>
          <cell r="BL967">
            <v>76.5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3</v>
          </cell>
          <cell r="BT967">
            <v>76.5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3</v>
          </cell>
          <cell r="CL967">
            <v>76.5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0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0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  <cell r="DL967">
            <v>0</v>
          </cell>
          <cell r="DM967">
            <v>0</v>
          </cell>
          <cell r="DN967">
            <v>0</v>
          </cell>
          <cell r="DO967">
            <v>0</v>
          </cell>
          <cell r="DP967">
            <v>0</v>
          </cell>
          <cell r="DQ967">
            <v>0</v>
          </cell>
          <cell r="DR967">
            <v>0</v>
          </cell>
          <cell r="DS967">
            <v>0</v>
          </cell>
          <cell r="DT967">
            <v>0</v>
          </cell>
          <cell r="DU967">
            <v>0</v>
          </cell>
          <cell r="DV967">
            <v>0</v>
          </cell>
          <cell r="DW967">
            <v>6</v>
          </cell>
          <cell r="DX967">
            <v>153</v>
          </cell>
          <cell r="DY967" t="str">
            <v>Hedef</v>
          </cell>
          <cell r="DZ967">
            <v>0</v>
          </cell>
          <cell r="EA967">
            <v>25.5</v>
          </cell>
        </row>
        <row r="968">
          <cell r="A968">
            <v>3</v>
          </cell>
          <cell r="B968">
            <v>381023</v>
          </cell>
          <cell r="C968" t="str">
            <v>ტუალეტის ქაღალდი-დელფინი_32*3_TR</v>
          </cell>
          <cell r="D968" t="str">
            <v>TON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6</v>
          </cell>
          <cell r="T968">
            <v>132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6</v>
          </cell>
          <cell r="Z968">
            <v>132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24.999999999999993</v>
          </cell>
          <cell r="AV968">
            <v>555.20000000000005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6</v>
          </cell>
          <cell r="BD968">
            <v>132</v>
          </cell>
          <cell r="BE968">
            <v>6</v>
          </cell>
          <cell r="BF968">
            <v>132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0.99999999999999889</v>
          </cell>
          <cell r="BP968">
            <v>27.2</v>
          </cell>
          <cell r="BQ968">
            <v>0</v>
          </cell>
          <cell r="BR968">
            <v>0</v>
          </cell>
          <cell r="BS968">
            <v>0.99999999999999889</v>
          </cell>
          <cell r="BT968">
            <v>27.2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0.99999999999999889</v>
          </cell>
          <cell r="CL968">
            <v>27.2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0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0</v>
          </cell>
          <cell r="DD968">
            <v>0</v>
          </cell>
          <cell r="DE968">
            <v>0</v>
          </cell>
          <cell r="DF968">
            <v>0</v>
          </cell>
          <cell r="DG968">
            <v>12</v>
          </cell>
          <cell r="DH968">
            <v>264</v>
          </cell>
          <cell r="DI968">
            <v>0</v>
          </cell>
          <cell r="DJ968">
            <v>0</v>
          </cell>
          <cell r="DK968">
            <v>0</v>
          </cell>
          <cell r="DL968">
            <v>0</v>
          </cell>
          <cell r="DM968">
            <v>12</v>
          </cell>
          <cell r="DN968">
            <v>264</v>
          </cell>
          <cell r="DO968">
            <v>0</v>
          </cell>
          <cell r="DP968">
            <v>0</v>
          </cell>
          <cell r="DQ968">
            <v>0</v>
          </cell>
          <cell r="DR968">
            <v>0</v>
          </cell>
          <cell r="DS968">
            <v>0</v>
          </cell>
          <cell r="DT968">
            <v>0</v>
          </cell>
          <cell r="DU968">
            <v>0</v>
          </cell>
          <cell r="DV968">
            <v>0</v>
          </cell>
          <cell r="DW968">
            <v>25</v>
          </cell>
          <cell r="DX968">
            <v>555.20000000000005</v>
          </cell>
          <cell r="DY968" t="str">
            <v>Hedef</v>
          </cell>
          <cell r="DZ968">
            <v>0</v>
          </cell>
          <cell r="EA968">
            <v>22.208000000000002</v>
          </cell>
        </row>
        <row r="969">
          <cell r="B969">
            <v>375376</v>
          </cell>
          <cell r="C969" t="str">
            <v>ტუალეტის ქაღალდი-დელფინი_4*12_TR</v>
          </cell>
          <cell r="D969" t="str">
            <v>KOLI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O969">
            <v>0</v>
          </cell>
          <cell r="AP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  <cell r="DL969">
            <v>0</v>
          </cell>
          <cell r="DM969">
            <v>0</v>
          </cell>
          <cell r="DN969">
            <v>0</v>
          </cell>
          <cell r="DO969">
            <v>0</v>
          </cell>
          <cell r="DP969">
            <v>0</v>
          </cell>
          <cell r="DQ969">
            <v>0</v>
          </cell>
          <cell r="DR969">
            <v>0</v>
          </cell>
          <cell r="DS969">
            <v>0</v>
          </cell>
          <cell r="DT969">
            <v>0</v>
          </cell>
          <cell r="DU969">
            <v>0</v>
          </cell>
          <cell r="DV969">
            <v>0</v>
          </cell>
          <cell r="DW969">
            <v>0</v>
          </cell>
          <cell r="DX969">
            <v>0</v>
          </cell>
          <cell r="DY969" t="str">
            <v/>
          </cell>
          <cell r="DZ969" t="str">
            <v>pasiv</v>
          </cell>
          <cell r="EA969" t="e">
            <v>#DIV/0!</v>
          </cell>
        </row>
        <row r="970">
          <cell r="B970">
            <v>379934</v>
          </cell>
          <cell r="C970" t="str">
            <v>ტუალეტის ქაღალდი-დელფინი_11ც+1ც</v>
          </cell>
          <cell r="D970" t="str">
            <v>KOLI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O970">
            <v>0</v>
          </cell>
          <cell r="AP970">
            <v>0</v>
          </cell>
          <cell r="AS970">
            <v>0</v>
          </cell>
          <cell r="AT970">
            <v>0</v>
          </cell>
          <cell r="AU970">
            <v>8</v>
          </cell>
          <cell r="AV970">
            <v>307.27999999999997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2</v>
          </cell>
          <cell r="BN970">
            <v>76.819999999999993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2</v>
          </cell>
          <cell r="BT970">
            <v>76.819999999999993</v>
          </cell>
          <cell r="BU970">
            <v>0</v>
          </cell>
          <cell r="BV970">
            <v>0</v>
          </cell>
          <cell r="BW970">
            <v>3</v>
          </cell>
          <cell r="BX970">
            <v>117.61</v>
          </cell>
          <cell r="BY970">
            <v>1</v>
          </cell>
          <cell r="BZ970">
            <v>37.22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4</v>
          </cell>
          <cell r="CJ970">
            <v>154.83000000000001</v>
          </cell>
          <cell r="CK970">
            <v>6</v>
          </cell>
          <cell r="CL970">
            <v>231.65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S970">
            <v>0</v>
          </cell>
          <cell r="CT970">
            <v>0</v>
          </cell>
          <cell r="CU970">
            <v>2</v>
          </cell>
          <cell r="CV970">
            <v>75.63</v>
          </cell>
          <cell r="CW970">
            <v>0</v>
          </cell>
          <cell r="CX970">
            <v>0</v>
          </cell>
          <cell r="CY970">
            <v>0</v>
          </cell>
          <cell r="CZ970">
            <v>0</v>
          </cell>
          <cell r="DA970">
            <v>0</v>
          </cell>
          <cell r="DB970">
            <v>0</v>
          </cell>
          <cell r="DC970">
            <v>0</v>
          </cell>
          <cell r="DD970">
            <v>0</v>
          </cell>
          <cell r="DE970">
            <v>0</v>
          </cell>
          <cell r="DF970">
            <v>0</v>
          </cell>
          <cell r="DG970">
            <v>0</v>
          </cell>
          <cell r="DH970">
            <v>0</v>
          </cell>
          <cell r="DI970">
            <v>0</v>
          </cell>
          <cell r="DJ970">
            <v>0</v>
          </cell>
          <cell r="DK970">
            <v>0</v>
          </cell>
          <cell r="DL970">
            <v>0</v>
          </cell>
          <cell r="DM970">
            <v>0</v>
          </cell>
          <cell r="DN970">
            <v>0</v>
          </cell>
          <cell r="DO970">
            <v>2</v>
          </cell>
          <cell r="DP970">
            <v>75.63</v>
          </cell>
          <cell r="DQ970">
            <v>0</v>
          </cell>
          <cell r="DR970">
            <v>0</v>
          </cell>
          <cell r="DS970">
            <v>0</v>
          </cell>
          <cell r="DT970">
            <v>0</v>
          </cell>
          <cell r="DU970">
            <v>2</v>
          </cell>
          <cell r="DV970">
            <v>75.63</v>
          </cell>
          <cell r="DW970">
            <v>8</v>
          </cell>
          <cell r="DX970">
            <v>307.27999999999997</v>
          </cell>
          <cell r="DY970" t="str">
            <v/>
          </cell>
          <cell r="DZ970">
            <v>0</v>
          </cell>
          <cell r="EA970">
            <v>38.409999999999997</v>
          </cell>
        </row>
        <row r="971">
          <cell r="A971">
            <v>33</v>
          </cell>
          <cell r="C971" t="str">
            <v>YERLI URETIM TUV KAGIZI</v>
          </cell>
          <cell r="D971" t="str">
            <v>KOLI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6</v>
          </cell>
          <cell r="T971">
            <v>132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6</v>
          </cell>
          <cell r="Z971">
            <v>132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3</v>
          </cell>
          <cell r="AL971">
            <v>76.5</v>
          </cell>
          <cell r="AM971">
            <v>0</v>
          </cell>
          <cell r="AN971">
            <v>0</v>
          </cell>
          <cell r="AO971">
            <v>3</v>
          </cell>
          <cell r="AP971">
            <v>76.5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38.999999999999993</v>
          </cell>
          <cell r="AV971">
            <v>1015.48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6</v>
          </cell>
          <cell r="BD971">
            <v>132</v>
          </cell>
          <cell r="BE971">
            <v>6</v>
          </cell>
          <cell r="BF971">
            <v>132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3</v>
          </cell>
          <cell r="BL971">
            <v>76.5</v>
          </cell>
          <cell r="BM971">
            <v>2</v>
          </cell>
          <cell r="BN971">
            <v>76.819999999999993</v>
          </cell>
          <cell r="BO971">
            <v>0.99999999999999889</v>
          </cell>
          <cell r="BP971">
            <v>27.2</v>
          </cell>
          <cell r="BQ971">
            <v>0</v>
          </cell>
          <cell r="BR971">
            <v>0</v>
          </cell>
          <cell r="BS971">
            <v>5.9999999999999991</v>
          </cell>
          <cell r="BT971">
            <v>180.51999999999998</v>
          </cell>
          <cell r="BU971">
            <v>0</v>
          </cell>
          <cell r="BV971">
            <v>0</v>
          </cell>
          <cell r="BW971">
            <v>3</v>
          </cell>
          <cell r="BX971">
            <v>117.61</v>
          </cell>
          <cell r="BY971">
            <v>1</v>
          </cell>
          <cell r="BZ971">
            <v>37.22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4</v>
          </cell>
          <cell r="CJ971">
            <v>154.83000000000001</v>
          </cell>
          <cell r="CK971">
            <v>10</v>
          </cell>
          <cell r="CL971">
            <v>335.35</v>
          </cell>
          <cell r="CM971">
            <v>0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S971">
            <v>0</v>
          </cell>
          <cell r="CT971">
            <v>0</v>
          </cell>
          <cell r="CU971">
            <v>2</v>
          </cell>
          <cell r="CV971">
            <v>75.63</v>
          </cell>
          <cell r="CW971">
            <v>0</v>
          </cell>
          <cell r="CX971">
            <v>0</v>
          </cell>
          <cell r="CY971">
            <v>0</v>
          </cell>
          <cell r="CZ971">
            <v>0</v>
          </cell>
          <cell r="DA971">
            <v>0</v>
          </cell>
          <cell r="DB971">
            <v>0</v>
          </cell>
          <cell r="DC971">
            <v>0</v>
          </cell>
          <cell r="DD971">
            <v>0</v>
          </cell>
          <cell r="DE971">
            <v>0</v>
          </cell>
          <cell r="DF971">
            <v>0</v>
          </cell>
          <cell r="DG971">
            <v>12</v>
          </cell>
          <cell r="DH971">
            <v>264</v>
          </cell>
          <cell r="DI971">
            <v>0</v>
          </cell>
          <cell r="DJ971">
            <v>0</v>
          </cell>
          <cell r="DK971">
            <v>0</v>
          </cell>
          <cell r="DL971">
            <v>0</v>
          </cell>
          <cell r="DM971">
            <v>12</v>
          </cell>
          <cell r="DN971">
            <v>264</v>
          </cell>
          <cell r="DO971">
            <v>2</v>
          </cell>
          <cell r="DP971">
            <v>75.63</v>
          </cell>
          <cell r="DQ971">
            <v>0</v>
          </cell>
          <cell r="DR971">
            <v>0</v>
          </cell>
          <cell r="DS971">
            <v>0</v>
          </cell>
          <cell r="DT971">
            <v>0</v>
          </cell>
          <cell r="DU971">
            <v>2</v>
          </cell>
          <cell r="DV971">
            <v>75.63</v>
          </cell>
          <cell r="DW971">
            <v>39</v>
          </cell>
          <cell r="DX971">
            <v>1015.48</v>
          </cell>
          <cell r="DY971" t="str">
            <v>Hedef</v>
          </cell>
          <cell r="DZ971">
            <v>0</v>
          </cell>
          <cell r="EA971">
            <v>26.037948717948719</v>
          </cell>
        </row>
        <row r="972">
          <cell r="C972" t="str">
            <v>დისპ.სამზარეულოს-თეთრი</v>
          </cell>
          <cell r="D972" t="str">
            <v>KOLI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O972">
            <v>0</v>
          </cell>
          <cell r="AP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S972">
            <v>0</v>
          </cell>
          <cell r="CT972">
            <v>0</v>
          </cell>
          <cell r="CU972">
            <v>0</v>
          </cell>
          <cell r="CV972">
            <v>0</v>
          </cell>
          <cell r="CW972">
            <v>0</v>
          </cell>
          <cell r="CX972">
            <v>0</v>
          </cell>
          <cell r="CY972">
            <v>0</v>
          </cell>
          <cell r="CZ972">
            <v>0</v>
          </cell>
          <cell r="DA972">
            <v>0</v>
          </cell>
          <cell r="DB972">
            <v>0</v>
          </cell>
          <cell r="DC972">
            <v>0</v>
          </cell>
          <cell r="DD972">
            <v>0</v>
          </cell>
          <cell r="DE972">
            <v>0</v>
          </cell>
          <cell r="DF972">
            <v>0</v>
          </cell>
          <cell r="DG972">
            <v>0</v>
          </cell>
          <cell r="DH972">
            <v>0</v>
          </cell>
          <cell r="DI972">
            <v>0</v>
          </cell>
          <cell r="DJ972">
            <v>0</v>
          </cell>
          <cell r="DK972">
            <v>0</v>
          </cell>
          <cell r="DL972">
            <v>0</v>
          </cell>
          <cell r="DM972">
            <v>0</v>
          </cell>
          <cell r="DN972">
            <v>0</v>
          </cell>
          <cell r="DO972">
            <v>0</v>
          </cell>
          <cell r="DP972">
            <v>0</v>
          </cell>
          <cell r="DQ972">
            <v>0</v>
          </cell>
          <cell r="DR972">
            <v>0</v>
          </cell>
          <cell r="DS972">
            <v>0</v>
          </cell>
          <cell r="DT972">
            <v>0</v>
          </cell>
          <cell r="DU972">
            <v>0</v>
          </cell>
          <cell r="DV972">
            <v>0</v>
          </cell>
          <cell r="DW972">
            <v>0</v>
          </cell>
          <cell r="DX972">
            <v>0</v>
          </cell>
          <cell r="DY972" t="str">
            <v/>
          </cell>
          <cell r="DZ972" t="str">
            <v>pasiv</v>
          </cell>
          <cell r="EA972" t="e">
            <v>#DIV/0!</v>
          </cell>
        </row>
        <row r="973">
          <cell r="C973" t="str">
            <v>დისპ.მაგიდის-შავი-მსუბუქი</v>
          </cell>
          <cell r="D973" t="str">
            <v>KOLI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O973">
            <v>0</v>
          </cell>
          <cell r="AP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S973">
            <v>0</v>
          </cell>
          <cell r="CT973">
            <v>0</v>
          </cell>
          <cell r="CU973">
            <v>0</v>
          </cell>
          <cell r="CV973">
            <v>0</v>
          </cell>
          <cell r="CW973">
            <v>0</v>
          </cell>
          <cell r="CX973">
            <v>0</v>
          </cell>
          <cell r="CY973">
            <v>0</v>
          </cell>
          <cell r="CZ973">
            <v>0</v>
          </cell>
          <cell r="DA973">
            <v>0</v>
          </cell>
          <cell r="DB973">
            <v>0</v>
          </cell>
          <cell r="DC973">
            <v>0</v>
          </cell>
          <cell r="DD973">
            <v>0</v>
          </cell>
          <cell r="DE973">
            <v>0</v>
          </cell>
          <cell r="DF973">
            <v>0</v>
          </cell>
          <cell r="DG973">
            <v>0</v>
          </cell>
          <cell r="DH973">
            <v>0</v>
          </cell>
          <cell r="DI973">
            <v>0</v>
          </cell>
          <cell r="DJ973">
            <v>0</v>
          </cell>
          <cell r="DK973">
            <v>0</v>
          </cell>
          <cell r="DL973">
            <v>0</v>
          </cell>
          <cell r="DM973">
            <v>0</v>
          </cell>
          <cell r="DN973">
            <v>0</v>
          </cell>
          <cell r="DO973">
            <v>0</v>
          </cell>
          <cell r="DP973">
            <v>0</v>
          </cell>
          <cell r="DQ973">
            <v>0</v>
          </cell>
          <cell r="DR973">
            <v>0</v>
          </cell>
          <cell r="DS973">
            <v>0</v>
          </cell>
          <cell r="DT973">
            <v>0</v>
          </cell>
          <cell r="DU973">
            <v>0</v>
          </cell>
          <cell r="DV973">
            <v>0</v>
          </cell>
          <cell r="DW973">
            <v>0</v>
          </cell>
          <cell r="DX973">
            <v>0</v>
          </cell>
          <cell r="DY973" t="str">
            <v/>
          </cell>
          <cell r="DZ973" t="str">
            <v>pasiv</v>
          </cell>
          <cell r="EA973" t="e">
            <v>#DIV/0!</v>
          </cell>
        </row>
        <row r="974">
          <cell r="B974">
            <v>333491</v>
          </cell>
          <cell r="C974" t="str">
            <v>მაგიდის დისპენსერი-ფირუზისფერი_200*32</v>
          </cell>
          <cell r="D974" t="str">
            <v>KOLI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O974">
            <v>0</v>
          </cell>
          <cell r="AP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S974">
            <v>0</v>
          </cell>
          <cell r="CT974">
            <v>0</v>
          </cell>
          <cell r="CU974">
            <v>0</v>
          </cell>
          <cell r="CV974">
            <v>0</v>
          </cell>
          <cell r="CW974">
            <v>0</v>
          </cell>
          <cell r="CX974">
            <v>0</v>
          </cell>
          <cell r="CY974">
            <v>0</v>
          </cell>
          <cell r="CZ974">
            <v>0</v>
          </cell>
          <cell r="DA974">
            <v>0</v>
          </cell>
          <cell r="DB974">
            <v>0</v>
          </cell>
          <cell r="DC974">
            <v>0</v>
          </cell>
          <cell r="DD974">
            <v>0</v>
          </cell>
          <cell r="DE974">
            <v>0</v>
          </cell>
          <cell r="DF974">
            <v>0</v>
          </cell>
          <cell r="DG974">
            <v>0</v>
          </cell>
          <cell r="DH974">
            <v>0</v>
          </cell>
          <cell r="DI974">
            <v>0</v>
          </cell>
          <cell r="DJ974">
            <v>0</v>
          </cell>
          <cell r="DK974">
            <v>0</v>
          </cell>
          <cell r="DL974">
            <v>0</v>
          </cell>
          <cell r="DM974">
            <v>0</v>
          </cell>
          <cell r="DN974">
            <v>0</v>
          </cell>
          <cell r="DO974">
            <v>0</v>
          </cell>
          <cell r="DP974">
            <v>0</v>
          </cell>
          <cell r="DQ974">
            <v>0</v>
          </cell>
          <cell r="DR974">
            <v>0</v>
          </cell>
          <cell r="DS974">
            <v>0</v>
          </cell>
          <cell r="DT974">
            <v>0</v>
          </cell>
          <cell r="DU974">
            <v>0</v>
          </cell>
          <cell r="DV974">
            <v>0</v>
          </cell>
          <cell r="DW974">
            <v>0</v>
          </cell>
          <cell r="DX974">
            <v>0</v>
          </cell>
          <cell r="DY974" t="str">
            <v/>
          </cell>
          <cell r="DZ974" t="str">
            <v>pasiv</v>
          </cell>
          <cell r="EA974" t="e">
            <v>#DIV/0!</v>
          </cell>
        </row>
        <row r="975">
          <cell r="B975">
            <v>142366</v>
          </cell>
          <cell r="C975" t="str">
            <v>CHVENI SUPRA DISPENSER SALFET_150*36</v>
          </cell>
          <cell r="D975" t="str">
            <v>KOLI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O975">
            <v>0</v>
          </cell>
          <cell r="AP975">
            <v>0</v>
          </cell>
          <cell r="AS975">
            <v>0</v>
          </cell>
          <cell r="AT975">
            <v>0</v>
          </cell>
          <cell r="AU975">
            <v>1</v>
          </cell>
          <cell r="AV975">
            <v>46.8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1</v>
          </cell>
          <cell r="BN975">
            <v>46.8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1</v>
          </cell>
          <cell r="BT975">
            <v>46.8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1</v>
          </cell>
          <cell r="CL975">
            <v>46.8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S975">
            <v>0</v>
          </cell>
          <cell r="CT975">
            <v>0</v>
          </cell>
          <cell r="CU975">
            <v>0</v>
          </cell>
          <cell r="CV975">
            <v>0</v>
          </cell>
          <cell r="CW975">
            <v>0</v>
          </cell>
          <cell r="CX975">
            <v>0</v>
          </cell>
          <cell r="CY975">
            <v>0</v>
          </cell>
          <cell r="CZ975">
            <v>0</v>
          </cell>
          <cell r="DA975">
            <v>0</v>
          </cell>
          <cell r="DB975">
            <v>0</v>
          </cell>
          <cell r="DC975">
            <v>0</v>
          </cell>
          <cell r="DD975">
            <v>0</v>
          </cell>
          <cell r="DE975">
            <v>0</v>
          </cell>
          <cell r="DF975">
            <v>0</v>
          </cell>
          <cell r="DG975">
            <v>0</v>
          </cell>
          <cell r="DH975">
            <v>0</v>
          </cell>
          <cell r="DI975">
            <v>0</v>
          </cell>
          <cell r="DJ975">
            <v>0</v>
          </cell>
          <cell r="DK975">
            <v>0</v>
          </cell>
          <cell r="DL975">
            <v>0</v>
          </cell>
          <cell r="DM975">
            <v>0</v>
          </cell>
          <cell r="DN975">
            <v>0</v>
          </cell>
          <cell r="DO975">
            <v>0</v>
          </cell>
          <cell r="DP975">
            <v>0</v>
          </cell>
          <cell r="DQ975">
            <v>0</v>
          </cell>
          <cell r="DR975">
            <v>0</v>
          </cell>
          <cell r="DS975">
            <v>0</v>
          </cell>
          <cell r="DT975">
            <v>0</v>
          </cell>
          <cell r="DU975">
            <v>0</v>
          </cell>
          <cell r="DV975">
            <v>0</v>
          </cell>
          <cell r="DW975">
            <v>1</v>
          </cell>
          <cell r="DX975">
            <v>46.8</v>
          </cell>
          <cell r="DY975" t="str">
            <v/>
          </cell>
          <cell r="DZ975">
            <v>0</v>
          </cell>
          <cell r="EA975">
            <v>46.8</v>
          </cell>
        </row>
        <row r="976">
          <cell r="B976">
            <v>240254</v>
          </cell>
          <cell r="C976" t="str">
            <v>ხელსახოცი-სან დისპ_250*40_ეკონომიკ</v>
          </cell>
          <cell r="D976" t="str">
            <v>KOLI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O976">
            <v>0</v>
          </cell>
          <cell r="AP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  <cell r="DL976">
            <v>0</v>
          </cell>
          <cell r="DM976">
            <v>0</v>
          </cell>
          <cell r="DN976">
            <v>0</v>
          </cell>
          <cell r="DO976">
            <v>0</v>
          </cell>
          <cell r="DP976">
            <v>0</v>
          </cell>
          <cell r="DQ976">
            <v>0</v>
          </cell>
          <cell r="DR976">
            <v>0</v>
          </cell>
          <cell r="DS976">
            <v>0</v>
          </cell>
          <cell r="DT976">
            <v>0</v>
          </cell>
          <cell r="DU976">
            <v>0</v>
          </cell>
          <cell r="DV976">
            <v>0</v>
          </cell>
          <cell r="DW976">
            <v>0</v>
          </cell>
          <cell r="DX976">
            <v>0</v>
          </cell>
          <cell r="DY976" t="str">
            <v/>
          </cell>
          <cell r="DZ976" t="str">
            <v>pasiv</v>
          </cell>
          <cell r="EA976" t="e">
            <v>#DIV/0!</v>
          </cell>
        </row>
        <row r="977">
          <cell r="A977">
            <v>25</v>
          </cell>
          <cell r="B977">
            <v>0</v>
          </cell>
          <cell r="C977" t="str">
            <v>DISPENSER</v>
          </cell>
          <cell r="D977" t="str">
            <v>KOLI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O977">
            <v>0</v>
          </cell>
          <cell r="AP977">
            <v>0</v>
          </cell>
          <cell r="AS977">
            <v>0</v>
          </cell>
          <cell r="AT977">
            <v>0</v>
          </cell>
          <cell r="AU977">
            <v>1</v>
          </cell>
          <cell r="AV977">
            <v>46.8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1</v>
          </cell>
          <cell r="BN977">
            <v>46.8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1</v>
          </cell>
          <cell r="BT977">
            <v>46.8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1</v>
          </cell>
          <cell r="CL977">
            <v>46.8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S977">
            <v>0</v>
          </cell>
          <cell r="CT977">
            <v>0</v>
          </cell>
          <cell r="CU977">
            <v>0</v>
          </cell>
          <cell r="CV977">
            <v>0</v>
          </cell>
          <cell r="CW977">
            <v>0</v>
          </cell>
          <cell r="CX977">
            <v>0</v>
          </cell>
          <cell r="CY977">
            <v>0</v>
          </cell>
          <cell r="CZ977">
            <v>0</v>
          </cell>
          <cell r="DA977">
            <v>0</v>
          </cell>
          <cell r="DB977">
            <v>0</v>
          </cell>
          <cell r="DC977">
            <v>0</v>
          </cell>
          <cell r="DD977">
            <v>0</v>
          </cell>
          <cell r="DE977">
            <v>0</v>
          </cell>
          <cell r="DF977">
            <v>0</v>
          </cell>
          <cell r="DG977">
            <v>0</v>
          </cell>
          <cell r="DH977">
            <v>0</v>
          </cell>
          <cell r="DI977">
            <v>0</v>
          </cell>
          <cell r="DJ977">
            <v>0</v>
          </cell>
          <cell r="DK977">
            <v>0</v>
          </cell>
          <cell r="DL977">
            <v>0</v>
          </cell>
          <cell r="DM977">
            <v>0</v>
          </cell>
          <cell r="DN977">
            <v>0</v>
          </cell>
          <cell r="DO977">
            <v>0</v>
          </cell>
          <cell r="DP977">
            <v>0</v>
          </cell>
          <cell r="DQ977">
            <v>0</v>
          </cell>
          <cell r="DR977">
            <v>0</v>
          </cell>
          <cell r="DS977">
            <v>0</v>
          </cell>
          <cell r="DT977">
            <v>0</v>
          </cell>
          <cell r="DU977">
            <v>0</v>
          </cell>
          <cell r="DV977">
            <v>0</v>
          </cell>
          <cell r="DW977">
            <v>1</v>
          </cell>
          <cell r="DX977">
            <v>46.8</v>
          </cell>
          <cell r="DY977" t="str">
            <v>Hedef</v>
          </cell>
          <cell r="DZ977">
            <v>0</v>
          </cell>
          <cell r="EA977">
            <v>46.8</v>
          </cell>
        </row>
        <row r="978">
          <cell r="A978">
            <v>888</v>
          </cell>
          <cell r="C978" t="str">
            <v>Temizlik Kagidlari</v>
          </cell>
          <cell r="D978" t="str">
            <v>KOLI</v>
          </cell>
          <cell r="E978">
            <v>0</v>
          </cell>
          <cell r="F978">
            <v>0</v>
          </cell>
          <cell r="G978">
            <v>1</v>
          </cell>
          <cell r="H978">
            <v>49.2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1</v>
          </cell>
          <cell r="P978">
            <v>49.2</v>
          </cell>
          <cell r="Q978">
            <v>0</v>
          </cell>
          <cell r="R978">
            <v>0</v>
          </cell>
          <cell r="S978">
            <v>6</v>
          </cell>
          <cell r="T978">
            <v>132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6</v>
          </cell>
          <cell r="Z978">
            <v>132</v>
          </cell>
          <cell r="AA978">
            <v>0</v>
          </cell>
          <cell r="AB978">
            <v>0</v>
          </cell>
          <cell r="AC978">
            <v>1</v>
          </cell>
          <cell r="AD978">
            <v>21.2</v>
          </cell>
          <cell r="AE978">
            <v>0</v>
          </cell>
          <cell r="AF978">
            <v>0</v>
          </cell>
          <cell r="AG978">
            <v>1</v>
          </cell>
          <cell r="AH978">
            <v>21.2</v>
          </cell>
          <cell r="AI978">
            <v>2</v>
          </cell>
          <cell r="AJ978">
            <v>42.4</v>
          </cell>
          <cell r="AK978">
            <v>4</v>
          </cell>
          <cell r="AL978">
            <v>97.7</v>
          </cell>
          <cell r="AM978">
            <v>0</v>
          </cell>
          <cell r="AN978">
            <v>0</v>
          </cell>
          <cell r="AO978">
            <v>8</v>
          </cell>
          <cell r="AP978">
            <v>182.5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197.26041666666669</v>
          </cell>
          <cell r="AV978">
            <v>4673.83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16</v>
          </cell>
          <cell r="BD978">
            <v>319.60000000000002</v>
          </cell>
          <cell r="BE978">
            <v>16</v>
          </cell>
          <cell r="BF978">
            <v>319.60000000000002</v>
          </cell>
          <cell r="BG978">
            <v>16</v>
          </cell>
          <cell r="BH978">
            <v>337.92</v>
          </cell>
          <cell r="BI978">
            <v>0</v>
          </cell>
          <cell r="BJ978">
            <v>0</v>
          </cell>
          <cell r="BK978">
            <v>10</v>
          </cell>
          <cell r="BL978">
            <v>244.34</v>
          </cell>
          <cell r="BM978">
            <v>10</v>
          </cell>
          <cell r="BN978">
            <v>270.18</v>
          </cell>
          <cell r="BO978">
            <v>34.166666666666671</v>
          </cell>
          <cell r="BP978">
            <v>728.29000000000008</v>
          </cell>
          <cell r="BQ978">
            <v>0</v>
          </cell>
          <cell r="BR978">
            <v>0</v>
          </cell>
          <cell r="BS978">
            <v>72.166666666666657</v>
          </cell>
          <cell r="BT978">
            <v>1622.81</v>
          </cell>
          <cell r="BU978">
            <v>1</v>
          </cell>
          <cell r="BV978">
            <v>19.399999999999999</v>
          </cell>
          <cell r="BW978">
            <v>5</v>
          </cell>
          <cell r="BX978">
            <v>156.32999999999998</v>
          </cell>
          <cell r="BY978">
            <v>17</v>
          </cell>
          <cell r="BZ978">
            <v>351.67999999999995</v>
          </cell>
          <cell r="CA978">
            <v>3</v>
          </cell>
          <cell r="CB978">
            <v>62.959999999999994</v>
          </cell>
          <cell r="CC978">
            <v>3.09375</v>
          </cell>
          <cell r="CD978">
            <v>154.72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29.09375</v>
          </cell>
          <cell r="CJ978">
            <v>745.09</v>
          </cell>
          <cell r="CK978">
            <v>101.26041666666666</v>
          </cell>
          <cell r="CL978">
            <v>2367.9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0</v>
          </cell>
          <cell r="CU978">
            <v>48</v>
          </cell>
          <cell r="CV978">
            <v>1253.83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0</v>
          </cell>
          <cell r="DG978">
            <v>16</v>
          </cell>
          <cell r="DH978">
            <v>348.8</v>
          </cell>
          <cell r="DI978">
            <v>0</v>
          </cell>
          <cell r="DJ978">
            <v>0</v>
          </cell>
          <cell r="DK978">
            <v>1</v>
          </cell>
          <cell r="DL978">
            <v>20</v>
          </cell>
          <cell r="DM978">
            <v>17</v>
          </cell>
          <cell r="DN978">
            <v>368.8</v>
          </cell>
          <cell r="DO978">
            <v>20</v>
          </cell>
          <cell r="DP978">
            <v>623.51</v>
          </cell>
          <cell r="DQ978">
            <v>3</v>
          </cell>
          <cell r="DR978">
            <v>103.2</v>
          </cell>
          <cell r="DS978">
            <v>25</v>
          </cell>
          <cell r="DT978">
            <v>527.12</v>
          </cell>
          <cell r="DU978">
            <v>48</v>
          </cell>
          <cell r="DV978">
            <v>1253.83</v>
          </cell>
          <cell r="DW978">
            <v>197.26041666666669</v>
          </cell>
          <cell r="DX978">
            <v>4673.83</v>
          </cell>
          <cell r="DY978" t="str">
            <v/>
          </cell>
          <cell r="DZ978">
            <v>0</v>
          </cell>
          <cell r="EA978">
            <v>23.693704388234671</v>
          </cell>
        </row>
        <row r="979">
          <cell r="C979" t="str">
            <v>KAGIT TOPLAMI</v>
          </cell>
          <cell r="D979" t="str">
            <v>KOLI</v>
          </cell>
          <cell r="E979">
            <v>36</v>
          </cell>
          <cell r="F979">
            <v>596.62</v>
          </cell>
          <cell r="G979">
            <v>46</v>
          </cell>
          <cell r="H979">
            <v>873.65000000000009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O979">
            <v>82</v>
          </cell>
          <cell r="P979">
            <v>1470.2700000000002</v>
          </cell>
          <cell r="Q979">
            <v>20</v>
          </cell>
          <cell r="R979">
            <v>356.18</v>
          </cell>
          <cell r="S979">
            <v>50</v>
          </cell>
          <cell r="T979">
            <v>1186.1599999999999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70</v>
          </cell>
          <cell r="Z979">
            <v>1542.34</v>
          </cell>
          <cell r="AA979">
            <v>0</v>
          </cell>
          <cell r="AB979">
            <v>0</v>
          </cell>
          <cell r="AC979">
            <v>10</v>
          </cell>
          <cell r="AD979">
            <v>200.88</v>
          </cell>
          <cell r="AE979">
            <v>5</v>
          </cell>
          <cell r="AF979">
            <v>106.04</v>
          </cell>
          <cell r="AG979">
            <v>17</v>
          </cell>
          <cell r="AH979">
            <v>438.95</v>
          </cell>
          <cell r="AI979">
            <v>24</v>
          </cell>
          <cell r="AJ979">
            <v>582.65</v>
          </cell>
          <cell r="AK979">
            <v>14</v>
          </cell>
          <cell r="AL979">
            <v>315.52</v>
          </cell>
          <cell r="AO979">
            <v>70</v>
          </cell>
          <cell r="AP979">
            <v>1644.04</v>
          </cell>
          <cell r="AS979">
            <v>0</v>
          </cell>
          <cell r="AT979">
            <v>0</v>
          </cell>
          <cell r="AU979">
            <v>1299.8437499999998</v>
          </cell>
          <cell r="AV979">
            <v>27996.860000000004</v>
          </cell>
          <cell r="AW979">
            <v>0</v>
          </cell>
          <cell r="AX979">
            <v>0</v>
          </cell>
          <cell r="AY979">
            <v>6</v>
          </cell>
          <cell r="AZ979">
            <v>160.32</v>
          </cell>
          <cell r="BA979">
            <v>0</v>
          </cell>
          <cell r="BB979">
            <v>0</v>
          </cell>
          <cell r="BC979">
            <v>40</v>
          </cell>
          <cell r="BD979">
            <v>744.25000000000011</v>
          </cell>
          <cell r="BE979">
            <v>46</v>
          </cell>
          <cell r="BF979">
            <v>904.57</v>
          </cell>
          <cell r="BG979">
            <v>26.416666666666668</v>
          </cell>
          <cell r="BH979">
            <v>595.86</v>
          </cell>
          <cell r="BI979">
            <v>2</v>
          </cell>
          <cell r="BJ979">
            <v>46.400000000000006</v>
          </cell>
          <cell r="BK979">
            <v>21.5</v>
          </cell>
          <cell r="BL979">
            <v>505.64000000000004</v>
          </cell>
          <cell r="BM979">
            <v>54</v>
          </cell>
          <cell r="BN979">
            <v>1417.58</v>
          </cell>
          <cell r="BO979">
            <v>184.04166666666666</v>
          </cell>
          <cell r="BP979">
            <v>3872.4000000000005</v>
          </cell>
          <cell r="BQ979">
            <v>0</v>
          </cell>
          <cell r="BR979">
            <v>0</v>
          </cell>
          <cell r="BS979">
            <v>289.95833333333337</v>
          </cell>
          <cell r="BT979">
            <v>6479.96</v>
          </cell>
          <cell r="BU979">
            <v>68</v>
          </cell>
          <cell r="BV979">
            <v>1434.7300000000002</v>
          </cell>
          <cell r="BW979">
            <v>15</v>
          </cell>
          <cell r="BX979">
            <v>321.17999999999995</v>
          </cell>
          <cell r="BY979">
            <v>49.0416666666667</v>
          </cell>
          <cell r="BZ979">
            <v>1094.74</v>
          </cell>
          <cell r="CA979">
            <v>6.75</v>
          </cell>
          <cell r="CB979">
            <v>154.16</v>
          </cell>
          <cell r="CC979">
            <v>9.09375</v>
          </cell>
          <cell r="CD979">
            <v>275.49</v>
          </cell>
          <cell r="CE979">
            <v>62</v>
          </cell>
          <cell r="CF979">
            <v>1245.8500000000001</v>
          </cell>
          <cell r="CG979">
            <v>40</v>
          </cell>
          <cell r="CH979">
            <v>724.42</v>
          </cell>
          <cell r="CI979">
            <v>249.88541666666669</v>
          </cell>
          <cell r="CJ979">
            <v>5250.57</v>
          </cell>
          <cell r="CK979">
            <v>539.84375</v>
          </cell>
          <cell r="CL979">
            <v>11730.530000000002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191</v>
          </cell>
          <cell r="CV979">
            <v>4395.0300000000007</v>
          </cell>
          <cell r="CW979">
            <v>0</v>
          </cell>
          <cell r="CX979">
            <v>0</v>
          </cell>
          <cell r="CY979">
            <v>255</v>
          </cell>
          <cell r="CZ979">
            <v>5217.4800000000005</v>
          </cell>
          <cell r="DA979">
            <v>14</v>
          </cell>
          <cell r="DB979">
            <v>280.92</v>
          </cell>
          <cell r="DC979">
            <v>3</v>
          </cell>
          <cell r="DD979">
            <v>65.599999999999994</v>
          </cell>
          <cell r="DE979">
            <v>272</v>
          </cell>
          <cell r="DF979">
            <v>5564</v>
          </cell>
          <cell r="DG979">
            <v>15</v>
          </cell>
          <cell r="DH979">
            <v>389.84000000000003</v>
          </cell>
          <cell r="DI979">
            <v>4</v>
          </cell>
          <cell r="DJ979">
            <v>103.92</v>
          </cell>
          <cell r="DK979">
            <v>10</v>
          </cell>
          <cell r="DL979">
            <v>252.32</v>
          </cell>
          <cell r="DM979">
            <v>29</v>
          </cell>
          <cell r="DN979">
            <v>746.07999999999993</v>
          </cell>
          <cell r="DO979">
            <v>92</v>
          </cell>
          <cell r="DP979">
            <v>2192.0299999999997</v>
          </cell>
          <cell r="DQ979">
            <v>28</v>
          </cell>
          <cell r="DR979">
            <v>586.52</v>
          </cell>
          <cell r="DS979">
            <v>71</v>
          </cell>
          <cell r="DT979">
            <v>1616.4800000000002</v>
          </cell>
          <cell r="DU979">
            <v>191</v>
          </cell>
          <cell r="DV979">
            <v>4395.0300000000007</v>
          </cell>
          <cell r="DW979">
            <v>1299.8437500000002</v>
          </cell>
          <cell r="DX979">
            <v>27996.860000000008</v>
          </cell>
          <cell r="DY979" t="str">
            <v/>
          </cell>
          <cell r="DZ979">
            <v>0</v>
          </cell>
          <cell r="EA979">
            <v>21.538634932083184</v>
          </cell>
        </row>
        <row r="980">
          <cell r="B980">
            <v>15687</v>
          </cell>
          <cell r="C980" t="str">
            <v>AURA PECETE 30*30 CM 50*24</v>
          </cell>
          <cell r="D980" t="str">
            <v>KOLI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O980">
            <v>0</v>
          </cell>
          <cell r="AP980">
            <v>0</v>
          </cell>
          <cell r="AS980">
            <v>0</v>
          </cell>
          <cell r="AT980">
            <v>0</v>
          </cell>
          <cell r="AU980">
            <v>8.6666666666666696</v>
          </cell>
          <cell r="AV980">
            <v>322.88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0.29166666666666702</v>
          </cell>
          <cell r="BH980">
            <v>11.06</v>
          </cell>
          <cell r="BI980">
            <v>0</v>
          </cell>
          <cell r="BJ980">
            <v>0</v>
          </cell>
          <cell r="BK980">
            <v>0.83333333333333304</v>
          </cell>
          <cell r="BL980">
            <v>31.6</v>
          </cell>
          <cell r="BM980">
            <v>0.20833333333333301</v>
          </cell>
          <cell r="BN980">
            <v>7.9</v>
          </cell>
          <cell r="BO980">
            <v>1</v>
          </cell>
          <cell r="BP980">
            <v>37.92</v>
          </cell>
          <cell r="BQ980">
            <v>0</v>
          </cell>
          <cell r="BR980">
            <v>0</v>
          </cell>
          <cell r="BS980">
            <v>2.3333333333333299</v>
          </cell>
          <cell r="BT980">
            <v>88.48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0.20833333333333301</v>
          </cell>
          <cell r="BZ980">
            <v>7.9</v>
          </cell>
          <cell r="CA980">
            <v>0.125</v>
          </cell>
          <cell r="CB980">
            <v>4.74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0.33333333333333298</v>
          </cell>
          <cell r="CJ980">
            <v>12.64</v>
          </cell>
          <cell r="CK980">
            <v>2.666666666666663</v>
          </cell>
          <cell r="CL980">
            <v>101.12</v>
          </cell>
          <cell r="CO980">
            <v>0</v>
          </cell>
          <cell r="CP980">
            <v>0</v>
          </cell>
          <cell r="CQ980">
            <v>0</v>
          </cell>
          <cell r="CR980">
            <v>0</v>
          </cell>
          <cell r="CS980">
            <v>0</v>
          </cell>
          <cell r="CT980">
            <v>0</v>
          </cell>
          <cell r="CU980">
            <v>5</v>
          </cell>
          <cell r="CV980">
            <v>183.84</v>
          </cell>
          <cell r="CW980">
            <v>0</v>
          </cell>
          <cell r="CX980">
            <v>0</v>
          </cell>
          <cell r="CY980">
            <v>1</v>
          </cell>
          <cell r="CZ980">
            <v>37.92</v>
          </cell>
          <cell r="DA980">
            <v>0</v>
          </cell>
          <cell r="DB980">
            <v>0</v>
          </cell>
          <cell r="DC980">
            <v>0</v>
          </cell>
          <cell r="DD980">
            <v>0</v>
          </cell>
          <cell r="DE980">
            <v>1</v>
          </cell>
          <cell r="DF980">
            <v>37.92</v>
          </cell>
          <cell r="DG980">
            <v>0</v>
          </cell>
          <cell r="DH980">
            <v>0</v>
          </cell>
          <cell r="DI980">
            <v>0</v>
          </cell>
          <cell r="DJ980">
            <v>0</v>
          </cell>
          <cell r="DK980">
            <v>0</v>
          </cell>
          <cell r="DL980">
            <v>0</v>
          </cell>
          <cell r="DM980">
            <v>0</v>
          </cell>
          <cell r="DN980">
            <v>0</v>
          </cell>
          <cell r="DO980">
            <v>0</v>
          </cell>
          <cell r="DP980">
            <v>0</v>
          </cell>
          <cell r="DQ980">
            <v>0</v>
          </cell>
          <cell r="DR980">
            <v>0</v>
          </cell>
          <cell r="DS980">
            <v>5</v>
          </cell>
          <cell r="DT980">
            <v>183.84</v>
          </cell>
          <cell r="DU980">
            <v>5</v>
          </cell>
          <cell r="DV980">
            <v>183.84</v>
          </cell>
          <cell r="DW980">
            <v>8.6666666666666625</v>
          </cell>
          <cell r="DX980">
            <v>322.88</v>
          </cell>
          <cell r="DY980" t="str">
            <v/>
          </cell>
          <cell r="DZ980">
            <v>0</v>
          </cell>
          <cell r="EA980">
            <v>37.255384615384635</v>
          </cell>
        </row>
        <row r="981">
          <cell r="B981">
            <v>21619</v>
          </cell>
          <cell r="C981" t="str">
            <v>AURA KIRMIZI PECETE_33*33 CM_20*12</v>
          </cell>
          <cell r="D981" t="str">
            <v>KOLI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O981">
            <v>0</v>
          </cell>
          <cell r="AP981">
            <v>0</v>
          </cell>
          <cell r="AS981">
            <v>0</v>
          </cell>
          <cell r="AT981">
            <v>0</v>
          </cell>
          <cell r="AU981">
            <v>6.25</v>
          </cell>
          <cell r="AV981">
            <v>268.16000000000003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1.75</v>
          </cell>
          <cell r="BP981">
            <v>78.33</v>
          </cell>
          <cell r="BQ981">
            <v>0</v>
          </cell>
          <cell r="BR981">
            <v>0</v>
          </cell>
          <cell r="BS981">
            <v>1.75</v>
          </cell>
          <cell r="BT981">
            <v>78.33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1.75</v>
          </cell>
          <cell r="CL981">
            <v>78.33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S981">
            <v>0</v>
          </cell>
          <cell r="CT981">
            <v>0</v>
          </cell>
          <cell r="CU981">
            <v>3.5</v>
          </cell>
          <cell r="CV981">
            <v>145.07</v>
          </cell>
          <cell r="CW981">
            <v>0</v>
          </cell>
          <cell r="CX981">
            <v>0</v>
          </cell>
          <cell r="CY981">
            <v>1</v>
          </cell>
          <cell r="CZ981">
            <v>44.76</v>
          </cell>
          <cell r="DA981">
            <v>0</v>
          </cell>
          <cell r="DB981">
            <v>0</v>
          </cell>
          <cell r="DC981">
            <v>0</v>
          </cell>
          <cell r="DD981">
            <v>0</v>
          </cell>
          <cell r="DE981">
            <v>1</v>
          </cell>
          <cell r="DF981">
            <v>44.76</v>
          </cell>
          <cell r="DG981">
            <v>0</v>
          </cell>
          <cell r="DH981">
            <v>0</v>
          </cell>
          <cell r="DI981">
            <v>0</v>
          </cell>
          <cell r="DJ981">
            <v>0</v>
          </cell>
          <cell r="DK981">
            <v>0</v>
          </cell>
          <cell r="DL981">
            <v>0</v>
          </cell>
          <cell r="DM981">
            <v>0</v>
          </cell>
          <cell r="DN981">
            <v>0</v>
          </cell>
          <cell r="DO981">
            <v>2.5</v>
          </cell>
          <cell r="DP981">
            <v>102.47</v>
          </cell>
          <cell r="DQ981">
            <v>0</v>
          </cell>
          <cell r="DR981">
            <v>0</v>
          </cell>
          <cell r="DS981">
            <v>1</v>
          </cell>
          <cell r="DT981">
            <v>42.6</v>
          </cell>
          <cell r="DU981">
            <v>3.5</v>
          </cell>
          <cell r="DV981">
            <v>145.07</v>
          </cell>
          <cell r="DW981">
            <v>6.25</v>
          </cell>
          <cell r="DX981">
            <v>268.15999999999997</v>
          </cell>
          <cell r="DY981" t="str">
            <v/>
          </cell>
          <cell r="DZ981">
            <v>0</v>
          </cell>
          <cell r="EA981">
            <v>42.905599999999993</v>
          </cell>
        </row>
        <row r="982">
          <cell r="B982">
            <v>21622</v>
          </cell>
          <cell r="C982" t="str">
            <v>AURA SARI PECETE_33*33 CM_20*12</v>
          </cell>
          <cell r="D982" t="str">
            <v>KOLI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O982">
            <v>0</v>
          </cell>
          <cell r="AP982">
            <v>0</v>
          </cell>
          <cell r="AS982">
            <v>0</v>
          </cell>
          <cell r="AT982">
            <v>0</v>
          </cell>
          <cell r="AU982">
            <v>1.5</v>
          </cell>
          <cell r="AV982">
            <v>67.14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O982">
            <v>0</v>
          </cell>
          <cell r="CP982">
            <v>0</v>
          </cell>
          <cell r="CQ982">
            <v>0</v>
          </cell>
          <cell r="CR982">
            <v>0</v>
          </cell>
          <cell r="CS982">
            <v>0</v>
          </cell>
          <cell r="CT982">
            <v>0</v>
          </cell>
          <cell r="CU982">
            <v>0.5</v>
          </cell>
          <cell r="CV982">
            <v>22.38</v>
          </cell>
          <cell r="CW982">
            <v>0</v>
          </cell>
          <cell r="CX982">
            <v>0</v>
          </cell>
          <cell r="CY982">
            <v>1</v>
          </cell>
          <cell r="CZ982">
            <v>44.76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1</v>
          </cell>
          <cell r="DF982">
            <v>44.76</v>
          </cell>
          <cell r="DG982">
            <v>0</v>
          </cell>
          <cell r="DH982">
            <v>0</v>
          </cell>
          <cell r="DI982">
            <v>0</v>
          </cell>
          <cell r="DJ982">
            <v>0</v>
          </cell>
          <cell r="DK982">
            <v>0</v>
          </cell>
          <cell r="DL982">
            <v>0</v>
          </cell>
          <cell r="DM982">
            <v>0</v>
          </cell>
          <cell r="DN982">
            <v>0</v>
          </cell>
          <cell r="DO982">
            <v>0.5</v>
          </cell>
          <cell r="DP982">
            <v>22.38</v>
          </cell>
          <cell r="DQ982">
            <v>0</v>
          </cell>
          <cell r="DR982">
            <v>0</v>
          </cell>
          <cell r="DS982">
            <v>0</v>
          </cell>
          <cell r="DT982">
            <v>0</v>
          </cell>
          <cell r="DU982">
            <v>0.5</v>
          </cell>
          <cell r="DV982">
            <v>22.38</v>
          </cell>
          <cell r="DW982">
            <v>1.5</v>
          </cell>
          <cell r="DX982">
            <v>67.14</v>
          </cell>
          <cell r="DY982" t="str">
            <v/>
          </cell>
          <cell r="DZ982">
            <v>0</v>
          </cell>
          <cell r="EA982">
            <v>44.76</v>
          </cell>
        </row>
        <row r="983">
          <cell r="B983">
            <v>40207</v>
          </cell>
          <cell r="C983" t="str">
            <v>AURA YESIL PECETE_33*33 CM_20*12</v>
          </cell>
          <cell r="D983" t="str">
            <v>KOLI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O983">
            <v>0</v>
          </cell>
          <cell r="AP983">
            <v>0</v>
          </cell>
          <cell r="AS983">
            <v>0</v>
          </cell>
          <cell r="AT983">
            <v>0</v>
          </cell>
          <cell r="AU983">
            <v>3.4166666666666701</v>
          </cell>
          <cell r="AV983">
            <v>150.77000000000001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1.4166666666666701</v>
          </cell>
          <cell r="BL983">
            <v>63.41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1.4166666666666701</v>
          </cell>
          <cell r="BT983">
            <v>63.41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1.4166666666666701</v>
          </cell>
          <cell r="CL983">
            <v>63.41</v>
          </cell>
          <cell r="CO983">
            <v>0</v>
          </cell>
          <cell r="CP983">
            <v>0</v>
          </cell>
          <cell r="CQ983">
            <v>0</v>
          </cell>
          <cell r="CR983">
            <v>0</v>
          </cell>
          <cell r="CS983">
            <v>0</v>
          </cell>
          <cell r="CT983">
            <v>0</v>
          </cell>
          <cell r="CU983">
            <v>1</v>
          </cell>
          <cell r="CV983">
            <v>42.6</v>
          </cell>
          <cell r="CW983">
            <v>0</v>
          </cell>
          <cell r="CX983">
            <v>0</v>
          </cell>
          <cell r="CY983">
            <v>1</v>
          </cell>
          <cell r="CZ983">
            <v>44.76</v>
          </cell>
          <cell r="DA983">
            <v>0</v>
          </cell>
          <cell r="DB983">
            <v>0</v>
          </cell>
          <cell r="DC983">
            <v>0</v>
          </cell>
          <cell r="DD983">
            <v>0</v>
          </cell>
          <cell r="DE983">
            <v>1</v>
          </cell>
          <cell r="DF983">
            <v>44.76</v>
          </cell>
          <cell r="DG983">
            <v>0</v>
          </cell>
          <cell r="DH983">
            <v>0</v>
          </cell>
          <cell r="DI983">
            <v>0</v>
          </cell>
          <cell r="DJ983">
            <v>0</v>
          </cell>
          <cell r="DK983">
            <v>0</v>
          </cell>
          <cell r="DL983">
            <v>0</v>
          </cell>
          <cell r="DM983">
            <v>0</v>
          </cell>
          <cell r="DN983">
            <v>0</v>
          </cell>
          <cell r="DO983">
            <v>0</v>
          </cell>
          <cell r="DP983">
            <v>0</v>
          </cell>
          <cell r="DQ983">
            <v>0</v>
          </cell>
          <cell r="DR983">
            <v>0</v>
          </cell>
          <cell r="DS983">
            <v>1</v>
          </cell>
          <cell r="DT983">
            <v>42.6</v>
          </cell>
          <cell r="DU983">
            <v>1</v>
          </cell>
          <cell r="DV983">
            <v>42.6</v>
          </cell>
          <cell r="DW983">
            <v>3.4166666666666701</v>
          </cell>
          <cell r="DX983">
            <v>150.76999999999998</v>
          </cell>
          <cell r="DY983" t="str">
            <v/>
          </cell>
          <cell r="DZ983">
            <v>0</v>
          </cell>
          <cell r="EA983">
            <v>44.127804878048728</v>
          </cell>
        </row>
        <row r="984">
          <cell r="B984">
            <v>360099</v>
          </cell>
          <cell r="C984" t="str">
            <v>ტუალეტის ქაღალდი_დაბალი ხარისხის_აურა_1*24_HORECA</v>
          </cell>
          <cell r="D984" t="str">
            <v>KOLI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O984">
            <v>0</v>
          </cell>
          <cell r="AP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O984">
            <v>0</v>
          </cell>
          <cell r="CP984">
            <v>0</v>
          </cell>
          <cell r="CQ984">
            <v>0</v>
          </cell>
          <cell r="CR984">
            <v>0</v>
          </cell>
          <cell r="CS984">
            <v>0</v>
          </cell>
          <cell r="CT984">
            <v>0</v>
          </cell>
          <cell r="CU984">
            <v>0</v>
          </cell>
          <cell r="CV984">
            <v>0</v>
          </cell>
          <cell r="CW984">
            <v>0</v>
          </cell>
          <cell r="CX984">
            <v>0</v>
          </cell>
          <cell r="CY984">
            <v>0</v>
          </cell>
          <cell r="CZ984">
            <v>0</v>
          </cell>
          <cell r="DA984">
            <v>0</v>
          </cell>
          <cell r="DB984">
            <v>0</v>
          </cell>
          <cell r="DC984">
            <v>0</v>
          </cell>
          <cell r="DD984">
            <v>0</v>
          </cell>
          <cell r="DE984">
            <v>0</v>
          </cell>
          <cell r="DF984">
            <v>0</v>
          </cell>
          <cell r="DG984">
            <v>0</v>
          </cell>
          <cell r="DH984">
            <v>0</v>
          </cell>
          <cell r="DI984">
            <v>0</v>
          </cell>
          <cell r="DJ984">
            <v>0</v>
          </cell>
          <cell r="DK984">
            <v>0</v>
          </cell>
          <cell r="DL984">
            <v>0</v>
          </cell>
          <cell r="DM984">
            <v>0</v>
          </cell>
          <cell r="DN984">
            <v>0</v>
          </cell>
          <cell r="DO984">
            <v>0</v>
          </cell>
          <cell r="DP984">
            <v>0</v>
          </cell>
          <cell r="DQ984">
            <v>0</v>
          </cell>
          <cell r="DR984">
            <v>0</v>
          </cell>
          <cell r="DS984">
            <v>0</v>
          </cell>
          <cell r="DT984">
            <v>0</v>
          </cell>
          <cell r="DU984">
            <v>0</v>
          </cell>
          <cell r="DV984">
            <v>0</v>
          </cell>
          <cell r="DW984">
            <v>0</v>
          </cell>
          <cell r="DX984">
            <v>0</v>
          </cell>
          <cell r="DY984" t="str">
            <v/>
          </cell>
          <cell r="DZ984" t="str">
            <v>pasiv</v>
          </cell>
          <cell r="EA984" t="e">
            <v>#DIV/0!</v>
          </cell>
        </row>
        <row r="985">
          <cell r="B985">
            <v>273812</v>
          </cell>
          <cell r="C985" t="str">
            <v>სამზარეულოს-ხელს-აურა-1*12_HORECA</v>
          </cell>
          <cell r="D985" t="str">
            <v>KOLI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O985">
            <v>0</v>
          </cell>
          <cell r="AP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  <cell r="DL985">
            <v>0</v>
          </cell>
          <cell r="DM985">
            <v>0</v>
          </cell>
          <cell r="DN985">
            <v>0</v>
          </cell>
          <cell r="DO985">
            <v>0</v>
          </cell>
          <cell r="DP985">
            <v>0</v>
          </cell>
          <cell r="DQ985">
            <v>0</v>
          </cell>
          <cell r="DR985">
            <v>0</v>
          </cell>
          <cell r="DS985">
            <v>0</v>
          </cell>
          <cell r="DT985">
            <v>0</v>
          </cell>
          <cell r="DU985">
            <v>0</v>
          </cell>
          <cell r="DV985">
            <v>0</v>
          </cell>
          <cell r="DW985">
            <v>0</v>
          </cell>
          <cell r="DX985">
            <v>0</v>
          </cell>
          <cell r="DY985" t="str">
            <v/>
          </cell>
          <cell r="DZ985" t="str">
            <v>pasiv</v>
          </cell>
          <cell r="EA985" t="e">
            <v>#DIV/0!</v>
          </cell>
        </row>
        <row r="986">
          <cell r="B986">
            <v>146999</v>
          </cell>
          <cell r="C986" t="str">
            <v>სამზარეულოს-ხელს-აურა- 6*4</v>
          </cell>
          <cell r="D986" t="str">
            <v>KOLI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O986">
            <v>0</v>
          </cell>
          <cell r="AP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O986">
            <v>0</v>
          </cell>
          <cell r="CP986">
            <v>0</v>
          </cell>
          <cell r="CQ986">
            <v>0</v>
          </cell>
          <cell r="CR986">
            <v>0</v>
          </cell>
          <cell r="CS986">
            <v>0</v>
          </cell>
          <cell r="CT986">
            <v>0</v>
          </cell>
          <cell r="CU986">
            <v>0</v>
          </cell>
          <cell r="CV986">
            <v>0</v>
          </cell>
          <cell r="CW986">
            <v>0</v>
          </cell>
          <cell r="CX986">
            <v>0</v>
          </cell>
          <cell r="CY986">
            <v>0</v>
          </cell>
          <cell r="CZ986">
            <v>0</v>
          </cell>
          <cell r="DA986">
            <v>0</v>
          </cell>
          <cell r="DB986">
            <v>0</v>
          </cell>
          <cell r="DC986">
            <v>0</v>
          </cell>
          <cell r="DD986">
            <v>0</v>
          </cell>
          <cell r="DE986">
            <v>0</v>
          </cell>
          <cell r="DF986">
            <v>0</v>
          </cell>
          <cell r="DG986">
            <v>0</v>
          </cell>
          <cell r="DH986">
            <v>0</v>
          </cell>
          <cell r="DI986">
            <v>0</v>
          </cell>
          <cell r="DJ986">
            <v>0</v>
          </cell>
          <cell r="DK986">
            <v>0</v>
          </cell>
          <cell r="DL986">
            <v>0</v>
          </cell>
          <cell r="DM986">
            <v>0</v>
          </cell>
          <cell r="DN986">
            <v>0</v>
          </cell>
          <cell r="DO986">
            <v>0</v>
          </cell>
          <cell r="DP986">
            <v>0</v>
          </cell>
          <cell r="DQ986">
            <v>0</v>
          </cell>
          <cell r="DR986">
            <v>0</v>
          </cell>
          <cell r="DS986">
            <v>0</v>
          </cell>
          <cell r="DT986">
            <v>0</v>
          </cell>
          <cell r="DU986">
            <v>0</v>
          </cell>
          <cell r="DV986">
            <v>0</v>
          </cell>
          <cell r="DW986">
            <v>0</v>
          </cell>
          <cell r="DX986">
            <v>0</v>
          </cell>
          <cell r="DY986" t="str">
            <v/>
          </cell>
          <cell r="DZ986" t="str">
            <v>pasiv</v>
          </cell>
          <cell r="EA986" t="e">
            <v>#DIV/0!</v>
          </cell>
        </row>
        <row r="987">
          <cell r="B987">
            <v>312473</v>
          </cell>
          <cell r="C987" t="str">
            <v>ხელ-ცი აურა სალათისფერი ორმგ-30*30სმ /50*24</v>
          </cell>
          <cell r="D987" t="str">
            <v>KOLI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O987">
            <v>0</v>
          </cell>
          <cell r="AP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O987">
            <v>0</v>
          </cell>
          <cell r="CP987">
            <v>0</v>
          </cell>
          <cell r="CQ987">
            <v>0</v>
          </cell>
          <cell r="CR987">
            <v>0</v>
          </cell>
          <cell r="CS987">
            <v>0</v>
          </cell>
          <cell r="CT987">
            <v>0</v>
          </cell>
          <cell r="CU987">
            <v>0</v>
          </cell>
          <cell r="CV987">
            <v>0</v>
          </cell>
          <cell r="CW987">
            <v>0</v>
          </cell>
          <cell r="CX987">
            <v>0</v>
          </cell>
          <cell r="CY987">
            <v>0</v>
          </cell>
          <cell r="CZ987">
            <v>0</v>
          </cell>
          <cell r="DA987">
            <v>0</v>
          </cell>
          <cell r="DB987">
            <v>0</v>
          </cell>
          <cell r="DC987">
            <v>0</v>
          </cell>
          <cell r="DD987">
            <v>0</v>
          </cell>
          <cell r="DE987">
            <v>0</v>
          </cell>
          <cell r="DF987">
            <v>0</v>
          </cell>
          <cell r="DG987">
            <v>0</v>
          </cell>
          <cell r="DH987">
            <v>0</v>
          </cell>
          <cell r="DI987">
            <v>0</v>
          </cell>
          <cell r="DJ987">
            <v>0</v>
          </cell>
          <cell r="DK987">
            <v>0</v>
          </cell>
          <cell r="DL987">
            <v>0</v>
          </cell>
          <cell r="DM987">
            <v>0</v>
          </cell>
          <cell r="DN987">
            <v>0</v>
          </cell>
          <cell r="DO987">
            <v>0</v>
          </cell>
          <cell r="DP987">
            <v>0</v>
          </cell>
          <cell r="DQ987">
            <v>0</v>
          </cell>
          <cell r="DR987">
            <v>0</v>
          </cell>
          <cell r="DS987">
            <v>0</v>
          </cell>
          <cell r="DT987">
            <v>0</v>
          </cell>
          <cell r="DU987">
            <v>0</v>
          </cell>
          <cell r="DV987">
            <v>0</v>
          </cell>
          <cell r="DW987">
            <v>0</v>
          </cell>
          <cell r="DX987">
            <v>0</v>
          </cell>
          <cell r="DY987" t="str">
            <v/>
          </cell>
          <cell r="DZ987" t="str">
            <v>pasiv</v>
          </cell>
          <cell r="EA987" t="e">
            <v>#DIV/0!</v>
          </cell>
        </row>
        <row r="988">
          <cell r="B988">
            <v>305557</v>
          </cell>
          <cell r="C988" t="str">
            <v>ტუალეტის-ქაღალდი-აურა-12*4_NEW</v>
          </cell>
          <cell r="D988" t="str">
            <v>KOLI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O988">
            <v>0</v>
          </cell>
          <cell r="AP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O988">
            <v>0</v>
          </cell>
          <cell r="CP988">
            <v>0</v>
          </cell>
          <cell r="CQ988">
            <v>0</v>
          </cell>
          <cell r="CR988">
            <v>0</v>
          </cell>
          <cell r="CS988">
            <v>0</v>
          </cell>
          <cell r="CT988">
            <v>0</v>
          </cell>
          <cell r="CU988">
            <v>0</v>
          </cell>
          <cell r="CV988">
            <v>0</v>
          </cell>
          <cell r="CW988">
            <v>0</v>
          </cell>
          <cell r="CX988">
            <v>0</v>
          </cell>
          <cell r="CY988">
            <v>0</v>
          </cell>
          <cell r="CZ988">
            <v>0</v>
          </cell>
          <cell r="DA988">
            <v>0</v>
          </cell>
          <cell r="DB988">
            <v>0</v>
          </cell>
          <cell r="DC988">
            <v>0</v>
          </cell>
          <cell r="DD988">
            <v>0</v>
          </cell>
          <cell r="DE988">
            <v>0</v>
          </cell>
          <cell r="DF988">
            <v>0</v>
          </cell>
          <cell r="DG988">
            <v>0</v>
          </cell>
          <cell r="DH988">
            <v>0</v>
          </cell>
          <cell r="DI988">
            <v>0</v>
          </cell>
          <cell r="DJ988">
            <v>0</v>
          </cell>
          <cell r="DK988">
            <v>0</v>
          </cell>
          <cell r="DL988">
            <v>0</v>
          </cell>
          <cell r="DM988">
            <v>0</v>
          </cell>
          <cell r="DN988">
            <v>0</v>
          </cell>
          <cell r="DO988">
            <v>0</v>
          </cell>
          <cell r="DP988">
            <v>0</v>
          </cell>
          <cell r="DQ988">
            <v>0</v>
          </cell>
          <cell r="DR988">
            <v>0</v>
          </cell>
          <cell r="DS988">
            <v>0</v>
          </cell>
          <cell r="DT988">
            <v>0</v>
          </cell>
          <cell r="DU988">
            <v>0</v>
          </cell>
          <cell r="DV988">
            <v>0</v>
          </cell>
          <cell r="DW988">
            <v>0</v>
          </cell>
          <cell r="DX988">
            <v>0</v>
          </cell>
          <cell r="DY988" t="str">
            <v/>
          </cell>
          <cell r="DZ988" t="str">
            <v>pasiv</v>
          </cell>
          <cell r="EA988" t="e">
            <v>#DIV/0!</v>
          </cell>
        </row>
        <row r="989">
          <cell r="B989">
            <v>271702</v>
          </cell>
          <cell r="C989" t="str">
            <v>ტუალეტის ქაღალდი-აურა PREMIUM-1*24_HORECA</v>
          </cell>
          <cell r="D989" t="str">
            <v>KOLI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O989">
            <v>0</v>
          </cell>
          <cell r="AP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O989">
            <v>0</v>
          </cell>
          <cell r="CP989">
            <v>0</v>
          </cell>
          <cell r="CQ989">
            <v>0</v>
          </cell>
          <cell r="CR989">
            <v>0</v>
          </cell>
          <cell r="CS989">
            <v>0</v>
          </cell>
          <cell r="CT989">
            <v>0</v>
          </cell>
          <cell r="CU989">
            <v>0</v>
          </cell>
          <cell r="CV989">
            <v>0</v>
          </cell>
          <cell r="CW989">
            <v>0</v>
          </cell>
          <cell r="CX989">
            <v>0</v>
          </cell>
          <cell r="CY989">
            <v>0</v>
          </cell>
          <cell r="CZ989">
            <v>0</v>
          </cell>
          <cell r="DA989">
            <v>0</v>
          </cell>
          <cell r="DB989">
            <v>0</v>
          </cell>
          <cell r="DC989">
            <v>0</v>
          </cell>
          <cell r="DD989">
            <v>0</v>
          </cell>
          <cell r="DE989">
            <v>0</v>
          </cell>
          <cell r="DF989">
            <v>0</v>
          </cell>
          <cell r="DG989">
            <v>0</v>
          </cell>
          <cell r="DH989">
            <v>0</v>
          </cell>
          <cell r="DI989">
            <v>0</v>
          </cell>
          <cell r="DJ989">
            <v>0</v>
          </cell>
          <cell r="DK989">
            <v>0</v>
          </cell>
          <cell r="DL989">
            <v>0</v>
          </cell>
          <cell r="DM989">
            <v>0</v>
          </cell>
          <cell r="DN989">
            <v>0</v>
          </cell>
          <cell r="DO989">
            <v>0</v>
          </cell>
          <cell r="DP989">
            <v>0</v>
          </cell>
          <cell r="DQ989">
            <v>0</v>
          </cell>
          <cell r="DR989">
            <v>0</v>
          </cell>
          <cell r="DS989">
            <v>0</v>
          </cell>
          <cell r="DT989">
            <v>0</v>
          </cell>
          <cell r="DU989">
            <v>0</v>
          </cell>
          <cell r="DV989">
            <v>0</v>
          </cell>
          <cell r="DW989">
            <v>0</v>
          </cell>
          <cell r="DX989">
            <v>0</v>
          </cell>
          <cell r="DY989" t="str">
            <v/>
          </cell>
          <cell r="DZ989" t="str">
            <v>pasiv</v>
          </cell>
          <cell r="EA989" t="e">
            <v>#DIV/0!</v>
          </cell>
        </row>
        <row r="990">
          <cell r="B990">
            <v>306132</v>
          </cell>
          <cell r="C990" t="str">
            <v>ტუალეტის ქაღალდი-აურა (ELEVADO)-4*12-NEW</v>
          </cell>
          <cell r="D990" t="str">
            <v>KOLI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O990">
            <v>0</v>
          </cell>
          <cell r="AP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O990">
            <v>0</v>
          </cell>
          <cell r="CP990">
            <v>0</v>
          </cell>
          <cell r="CQ990">
            <v>0</v>
          </cell>
          <cell r="CR990">
            <v>0</v>
          </cell>
          <cell r="CS990">
            <v>0</v>
          </cell>
          <cell r="CT990">
            <v>0</v>
          </cell>
          <cell r="CU990">
            <v>0</v>
          </cell>
          <cell r="CV990">
            <v>0</v>
          </cell>
          <cell r="CW990">
            <v>0</v>
          </cell>
          <cell r="CX990">
            <v>0</v>
          </cell>
          <cell r="CY990">
            <v>0</v>
          </cell>
          <cell r="CZ990">
            <v>0</v>
          </cell>
          <cell r="DA990">
            <v>0</v>
          </cell>
          <cell r="DB990">
            <v>0</v>
          </cell>
          <cell r="DC990">
            <v>0</v>
          </cell>
          <cell r="DD990">
            <v>0</v>
          </cell>
          <cell r="DE990">
            <v>0</v>
          </cell>
          <cell r="DF990">
            <v>0</v>
          </cell>
          <cell r="DG990">
            <v>0</v>
          </cell>
          <cell r="DH990">
            <v>0</v>
          </cell>
          <cell r="DI990">
            <v>0</v>
          </cell>
          <cell r="DJ990">
            <v>0</v>
          </cell>
          <cell r="DK990">
            <v>0</v>
          </cell>
          <cell r="DL990">
            <v>0</v>
          </cell>
          <cell r="DM990">
            <v>0</v>
          </cell>
          <cell r="DN990">
            <v>0</v>
          </cell>
          <cell r="DO990">
            <v>0</v>
          </cell>
          <cell r="DP990">
            <v>0</v>
          </cell>
          <cell r="DQ990">
            <v>0</v>
          </cell>
          <cell r="DR990">
            <v>0</v>
          </cell>
          <cell r="DS990">
            <v>0</v>
          </cell>
          <cell r="DT990">
            <v>0</v>
          </cell>
          <cell r="DU990">
            <v>0</v>
          </cell>
          <cell r="DV990">
            <v>0</v>
          </cell>
          <cell r="DW990">
            <v>0</v>
          </cell>
          <cell r="DX990">
            <v>0</v>
          </cell>
          <cell r="DY990" t="str">
            <v/>
          </cell>
          <cell r="DZ990" t="str">
            <v>pasiv</v>
          </cell>
          <cell r="EA990" t="e">
            <v>#DIV/0!</v>
          </cell>
        </row>
        <row r="991">
          <cell r="B991">
            <v>306134</v>
          </cell>
          <cell r="C991" t="str">
            <v>ტუალეტის ქაღალდი-აურა (Elevado)-8*6_NEW</v>
          </cell>
          <cell r="D991" t="str">
            <v>KOLI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0.33333333333333298</v>
          </cell>
          <cell r="AF991">
            <v>24.44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O991">
            <v>0.33333333333333298</v>
          </cell>
          <cell r="AP991">
            <v>24.44</v>
          </cell>
          <cell r="AS991">
            <v>0</v>
          </cell>
          <cell r="AT991">
            <v>0</v>
          </cell>
          <cell r="AU991">
            <v>0.33333333333333298</v>
          </cell>
          <cell r="AV991">
            <v>24.44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O991">
            <v>0</v>
          </cell>
          <cell r="CP991">
            <v>0</v>
          </cell>
          <cell r="CQ991">
            <v>0</v>
          </cell>
          <cell r="CR991">
            <v>0</v>
          </cell>
          <cell r="CS991">
            <v>0</v>
          </cell>
          <cell r="CT991">
            <v>0</v>
          </cell>
          <cell r="CU991">
            <v>0</v>
          </cell>
          <cell r="CV991">
            <v>0</v>
          </cell>
          <cell r="CW991">
            <v>0</v>
          </cell>
          <cell r="CX991">
            <v>0</v>
          </cell>
          <cell r="CY991">
            <v>0</v>
          </cell>
          <cell r="CZ991">
            <v>0</v>
          </cell>
          <cell r="DA991">
            <v>0</v>
          </cell>
          <cell r="DB991">
            <v>0</v>
          </cell>
          <cell r="DC991">
            <v>0</v>
          </cell>
          <cell r="DD991">
            <v>0</v>
          </cell>
          <cell r="DE991">
            <v>0</v>
          </cell>
          <cell r="DF991">
            <v>0</v>
          </cell>
          <cell r="DG991">
            <v>0</v>
          </cell>
          <cell r="DH991">
            <v>0</v>
          </cell>
          <cell r="DI991">
            <v>0</v>
          </cell>
          <cell r="DJ991">
            <v>0</v>
          </cell>
          <cell r="DK991">
            <v>0</v>
          </cell>
          <cell r="DL991">
            <v>0</v>
          </cell>
          <cell r="DM991">
            <v>0</v>
          </cell>
          <cell r="DN991">
            <v>0</v>
          </cell>
          <cell r="DO991">
            <v>0</v>
          </cell>
          <cell r="DP991">
            <v>0</v>
          </cell>
          <cell r="DQ991">
            <v>0</v>
          </cell>
          <cell r="DR991">
            <v>0</v>
          </cell>
          <cell r="DS991">
            <v>0</v>
          </cell>
          <cell r="DT991">
            <v>0</v>
          </cell>
          <cell r="DU991">
            <v>0</v>
          </cell>
          <cell r="DV991">
            <v>0</v>
          </cell>
          <cell r="DW991">
            <v>0.33333333333333298</v>
          </cell>
          <cell r="DX991">
            <v>24.44</v>
          </cell>
          <cell r="DY991" t="str">
            <v/>
          </cell>
          <cell r="DZ991">
            <v>0</v>
          </cell>
          <cell r="EA991">
            <v>73.320000000000078</v>
          </cell>
        </row>
        <row r="992">
          <cell r="B992">
            <v>306137</v>
          </cell>
          <cell r="C992" t="str">
            <v>ტუალეტის-ქაღალდი-აურა-8*6-უზორით_NEW</v>
          </cell>
          <cell r="D992" t="str">
            <v>KOLI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O992">
            <v>0</v>
          </cell>
          <cell r="AP992">
            <v>0</v>
          </cell>
          <cell r="AS992">
            <v>0</v>
          </cell>
          <cell r="AT992">
            <v>0</v>
          </cell>
          <cell r="AU992">
            <v>0.16666666666666699</v>
          </cell>
          <cell r="AV992">
            <v>13.23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0.16666666666666699</v>
          </cell>
          <cell r="BL992">
            <v>13.23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0.16666666666666699</v>
          </cell>
          <cell r="BT992">
            <v>13.23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0.16666666666666699</v>
          </cell>
          <cell r="CL992">
            <v>13.23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G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  <cell r="DL992">
            <v>0</v>
          </cell>
          <cell r="DM992">
            <v>0</v>
          </cell>
          <cell r="DN992">
            <v>0</v>
          </cell>
          <cell r="DO992">
            <v>0</v>
          </cell>
          <cell r="DP992">
            <v>0</v>
          </cell>
          <cell r="DQ992">
            <v>0</v>
          </cell>
          <cell r="DR992">
            <v>0</v>
          </cell>
          <cell r="DS992">
            <v>0</v>
          </cell>
          <cell r="DT992">
            <v>0</v>
          </cell>
          <cell r="DU992">
            <v>0</v>
          </cell>
          <cell r="DV992">
            <v>0</v>
          </cell>
          <cell r="DW992">
            <v>0.16666666666666699</v>
          </cell>
          <cell r="DX992">
            <v>13.23</v>
          </cell>
          <cell r="DY992" t="str">
            <v/>
          </cell>
          <cell r="DZ992">
            <v>0</v>
          </cell>
          <cell r="EA992">
            <v>79.379999999999853</v>
          </cell>
        </row>
        <row r="993">
          <cell r="B993">
            <v>306277</v>
          </cell>
          <cell r="C993" t="str">
            <v>ტუალეტის-ქაღალდი-აურა პრემიუმი-4*12_NEW</v>
          </cell>
          <cell r="D993" t="str">
            <v>KOLI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O993">
            <v>0</v>
          </cell>
          <cell r="AP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  <cell r="CL993">
            <v>0</v>
          </cell>
          <cell r="CO993">
            <v>0</v>
          </cell>
          <cell r="CP993">
            <v>0</v>
          </cell>
          <cell r="CQ993">
            <v>0</v>
          </cell>
          <cell r="CR993">
            <v>0</v>
          </cell>
          <cell r="CS993">
            <v>0</v>
          </cell>
          <cell r="CT993">
            <v>0</v>
          </cell>
          <cell r="CU993">
            <v>0</v>
          </cell>
          <cell r="CV993">
            <v>0</v>
          </cell>
          <cell r="CW993">
            <v>0</v>
          </cell>
          <cell r="CX993">
            <v>0</v>
          </cell>
          <cell r="CY993">
            <v>0</v>
          </cell>
          <cell r="CZ993">
            <v>0</v>
          </cell>
          <cell r="DA993">
            <v>0</v>
          </cell>
          <cell r="DB993">
            <v>0</v>
          </cell>
          <cell r="DC993">
            <v>0</v>
          </cell>
          <cell r="DD993">
            <v>0</v>
          </cell>
          <cell r="DE993">
            <v>0</v>
          </cell>
          <cell r="DF993">
            <v>0</v>
          </cell>
          <cell r="DG993">
            <v>0</v>
          </cell>
          <cell r="DH993">
            <v>0</v>
          </cell>
          <cell r="DI993">
            <v>0</v>
          </cell>
          <cell r="DJ993">
            <v>0</v>
          </cell>
          <cell r="DK993">
            <v>0</v>
          </cell>
          <cell r="DL993">
            <v>0</v>
          </cell>
          <cell r="DM993">
            <v>0</v>
          </cell>
          <cell r="DN993">
            <v>0</v>
          </cell>
          <cell r="DO993">
            <v>0</v>
          </cell>
          <cell r="DP993">
            <v>0</v>
          </cell>
          <cell r="DQ993">
            <v>0</v>
          </cell>
          <cell r="DR993">
            <v>0</v>
          </cell>
          <cell r="DS993">
            <v>0</v>
          </cell>
          <cell r="DT993">
            <v>0</v>
          </cell>
          <cell r="DU993">
            <v>0</v>
          </cell>
          <cell r="DV993">
            <v>0</v>
          </cell>
          <cell r="DW993">
            <v>0</v>
          </cell>
          <cell r="DX993">
            <v>0</v>
          </cell>
          <cell r="DY993" t="str">
            <v/>
          </cell>
          <cell r="DZ993" t="str">
            <v>pasiv</v>
          </cell>
          <cell r="EA993" t="e">
            <v>#DIV/0!</v>
          </cell>
        </row>
        <row r="994">
          <cell r="B994">
            <v>306279</v>
          </cell>
          <cell r="C994" t="str">
            <v>ტუალეტის-ქაღალდი-აურა-8*6_NEW</v>
          </cell>
          <cell r="D994" t="str">
            <v>KOLI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O994">
            <v>0</v>
          </cell>
          <cell r="AP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O994">
            <v>0</v>
          </cell>
          <cell r="CP994">
            <v>0</v>
          </cell>
          <cell r="CQ994">
            <v>0</v>
          </cell>
          <cell r="CR994">
            <v>0</v>
          </cell>
          <cell r="CS994">
            <v>0</v>
          </cell>
          <cell r="CT994">
            <v>0</v>
          </cell>
          <cell r="CU994">
            <v>0</v>
          </cell>
          <cell r="CV994">
            <v>0</v>
          </cell>
          <cell r="CW994">
            <v>0</v>
          </cell>
          <cell r="CX994">
            <v>0</v>
          </cell>
          <cell r="CY994">
            <v>0</v>
          </cell>
          <cell r="CZ994">
            <v>0</v>
          </cell>
          <cell r="DA994">
            <v>0</v>
          </cell>
          <cell r="DB994">
            <v>0</v>
          </cell>
          <cell r="DC994">
            <v>0</v>
          </cell>
          <cell r="DD994">
            <v>0</v>
          </cell>
          <cell r="DE994">
            <v>0</v>
          </cell>
          <cell r="DF994">
            <v>0</v>
          </cell>
          <cell r="DG994">
            <v>0</v>
          </cell>
          <cell r="DH994">
            <v>0</v>
          </cell>
          <cell r="DI994">
            <v>0</v>
          </cell>
          <cell r="DJ994">
            <v>0</v>
          </cell>
          <cell r="DK994">
            <v>0</v>
          </cell>
          <cell r="DL994">
            <v>0</v>
          </cell>
          <cell r="DM994">
            <v>0</v>
          </cell>
          <cell r="DN994">
            <v>0</v>
          </cell>
          <cell r="DO994">
            <v>0</v>
          </cell>
          <cell r="DP994">
            <v>0</v>
          </cell>
          <cell r="DQ994">
            <v>0</v>
          </cell>
          <cell r="DR994">
            <v>0</v>
          </cell>
          <cell r="DS994">
            <v>0</v>
          </cell>
          <cell r="DT994">
            <v>0</v>
          </cell>
          <cell r="DU994">
            <v>0</v>
          </cell>
          <cell r="DV994">
            <v>0</v>
          </cell>
          <cell r="DW994">
            <v>0</v>
          </cell>
          <cell r="DX994">
            <v>0</v>
          </cell>
          <cell r="DY994" t="str">
            <v/>
          </cell>
          <cell r="DZ994" t="str">
            <v>pasiv</v>
          </cell>
          <cell r="EA994" t="e">
            <v>#DIV/0!</v>
          </cell>
        </row>
        <row r="995">
          <cell r="B995">
            <v>306133</v>
          </cell>
          <cell r="C995" t="str">
            <v>ტუალეტის ქაღალდი-აურა (Fresco)-4*12_NEW</v>
          </cell>
          <cell r="D995" t="str">
            <v>KOLI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O995">
            <v>0</v>
          </cell>
          <cell r="AP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O995">
            <v>0</v>
          </cell>
          <cell r="CP995">
            <v>0</v>
          </cell>
          <cell r="CQ995">
            <v>0</v>
          </cell>
          <cell r="CR995">
            <v>0</v>
          </cell>
          <cell r="CS995">
            <v>0</v>
          </cell>
          <cell r="CT995">
            <v>0</v>
          </cell>
          <cell r="CU995">
            <v>0</v>
          </cell>
          <cell r="CV995">
            <v>0</v>
          </cell>
          <cell r="CW995">
            <v>0</v>
          </cell>
          <cell r="CX995">
            <v>0</v>
          </cell>
          <cell r="CY995">
            <v>0</v>
          </cell>
          <cell r="CZ995">
            <v>0</v>
          </cell>
          <cell r="DA995">
            <v>0</v>
          </cell>
          <cell r="DB995">
            <v>0</v>
          </cell>
          <cell r="DC995">
            <v>0</v>
          </cell>
          <cell r="DD995">
            <v>0</v>
          </cell>
          <cell r="DE995">
            <v>0</v>
          </cell>
          <cell r="DF995">
            <v>0</v>
          </cell>
          <cell r="DG995">
            <v>0</v>
          </cell>
          <cell r="DH995">
            <v>0</v>
          </cell>
          <cell r="DI995">
            <v>0</v>
          </cell>
          <cell r="DJ995">
            <v>0</v>
          </cell>
          <cell r="DK995">
            <v>0</v>
          </cell>
          <cell r="DL995">
            <v>0</v>
          </cell>
          <cell r="DM995">
            <v>0</v>
          </cell>
          <cell r="DN995">
            <v>0</v>
          </cell>
          <cell r="DO995">
            <v>0</v>
          </cell>
          <cell r="DP995">
            <v>0</v>
          </cell>
          <cell r="DQ995">
            <v>0</v>
          </cell>
          <cell r="DR995">
            <v>0</v>
          </cell>
          <cell r="DS995">
            <v>0</v>
          </cell>
          <cell r="DT995">
            <v>0</v>
          </cell>
          <cell r="DU995">
            <v>0</v>
          </cell>
          <cell r="DV995">
            <v>0</v>
          </cell>
          <cell r="DW995">
            <v>0</v>
          </cell>
          <cell r="DX995">
            <v>0</v>
          </cell>
          <cell r="DY995" t="str">
            <v/>
          </cell>
          <cell r="DZ995" t="str">
            <v>pasiv</v>
          </cell>
          <cell r="EA995" t="e">
            <v>#DIV/0!</v>
          </cell>
        </row>
        <row r="996">
          <cell r="B996">
            <v>310021</v>
          </cell>
          <cell r="C996" t="str">
            <v>ხელ-ცი აურა ფირუზისფერი ორმგ-30*30სმ /50*24</v>
          </cell>
          <cell r="D996" t="str">
            <v>KOLI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O996">
            <v>0</v>
          </cell>
          <cell r="AP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  <cell r="CL996">
            <v>0</v>
          </cell>
          <cell r="CO996">
            <v>0</v>
          </cell>
          <cell r="CP996">
            <v>0</v>
          </cell>
          <cell r="CQ996">
            <v>0</v>
          </cell>
          <cell r="CR996">
            <v>0</v>
          </cell>
          <cell r="CS996">
            <v>0</v>
          </cell>
          <cell r="CT996">
            <v>0</v>
          </cell>
          <cell r="CU996">
            <v>0</v>
          </cell>
          <cell r="CV996">
            <v>0</v>
          </cell>
          <cell r="CW996">
            <v>0</v>
          </cell>
          <cell r="CX996">
            <v>0</v>
          </cell>
          <cell r="CY996">
            <v>0</v>
          </cell>
          <cell r="CZ996">
            <v>0</v>
          </cell>
          <cell r="DA996">
            <v>0</v>
          </cell>
          <cell r="DB996">
            <v>0</v>
          </cell>
          <cell r="DC996">
            <v>0</v>
          </cell>
          <cell r="DD996">
            <v>0</v>
          </cell>
          <cell r="DE996">
            <v>0</v>
          </cell>
          <cell r="DF996">
            <v>0</v>
          </cell>
          <cell r="DG996">
            <v>0</v>
          </cell>
          <cell r="DH996">
            <v>0</v>
          </cell>
          <cell r="DI996">
            <v>0</v>
          </cell>
          <cell r="DJ996">
            <v>0</v>
          </cell>
          <cell r="DK996">
            <v>0</v>
          </cell>
          <cell r="DL996">
            <v>0</v>
          </cell>
          <cell r="DM996">
            <v>0</v>
          </cell>
          <cell r="DN996">
            <v>0</v>
          </cell>
          <cell r="DO996">
            <v>0</v>
          </cell>
          <cell r="DP996">
            <v>0</v>
          </cell>
          <cell r="DQ996">
            <v>0</v>
          </cell>
          <cell r="DR996">
            <v>0</v>
          </cell>
          <cell r="DS996">
            <v>0</v>
          </cell>
          <cell r="DT996">
            <v>0</v>
          </cell>
          <cell r="DU996">
            <v>0</v>
          </cell>
          <cell r="DV996">
            <v>0</v>
          </cell>
          <cell r="DW996">
            <v>0</v>
          </cell>
          <cell r="DX996">
            <v>0</v>
          </cell>
          <cell r="DY996" t="str">
            <v/>
          </cell>
          <cell r="DZ996" t="str">
            <v>pasiv</v>
          </cell>
          <cell r="EA996" t="e">
            <v>#DIV/0!</v>
          </cell>
        </row>
        <row r="997">
          <cell r="B997">
            <v>252982</v>
          </cell>
          <cell r="C997" t="str">
            <v>ხელ-ცი აურა სმგ-ფირუზი-33*33სმ / 20*12</v>
          </cell>
          <cell r="D997" t="str">
            <v>KOLI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O997">
            <v>0</v>
          </cell>
          <cell r="AP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O997">
            <v>0</v>
          </cell>
          <cell r="CP997">
            <v>0</v>
          </cell>
          <cell r="CQ997">
            <v>0</v>
          </cell>
          <cell r="CR997">
            <v>0</v>
          </cell>
          <cell r="CS997">
            <v>0</v>
          </cell>
          <cell r="CT997">
            <v>0</v>
          </cell>
          <cell r="CU997">
            <v>0</v>
          </cell>
          <cell r="CV997">
            <v>0</v>
          </cell>
          <cell r="CW997">
            <v>0</v>
          </cell>
          <cell r="CX997">
            <v>0</v>
          </cell>
          <cell r="CY997">
            <v>0</v>
          </cell>
          <cell r="CZ997">
            <v>0</v>
          </cell>
          <cell r="DA997">
            <v>0</v>
          </cell>
          <cell r="DB997">
            <v>0</v>
          </cell>
          <cell r="DC997">
            <v>0</v>
          </cell>
          <cell r="DD997">
            <v>0</v>
          </cell>
          <cell r="DE997">
            <v>0</v>
          </cell>
          <cell r="DF997">
            <v>0</v>
          </cell>
          <cell r="DG997">
            <v>0</v>
          </cell>
          <cell r="DH997">
            <v>0</v>
          </cell>
          <cell r="DI997">
            <v>0</v>
          </cell>
          <cell r="DJ997">
            <v>0</v>
          </cell>
          <cell r="DK997">
            <v>0</v>
          </cell>
          <cell r="DL997">
            <v>0</v>
          </cell>
          <cell r="DM997">
            <v>0</v>
          </cell>
          <cell r="DN997">
            <v>0</v>
          </cell>
          <cell r="DO997">
            <v>0</v>
          </cell>
          <cell r="DP997">
            <v>0</v>
          </cell>
          <cell r="DQ997">
            <v>0</v>
          </cell>
          <cell r="DR997">
            <v>0</v>
          </cell>
          <cell r="DS997">
            <v>0</v>
          </cell>
          <cell r="DT997">
            <v>0</v>
          </cell>
          <cell r="DU997">
            <v>0</v>
          </cell>
          <cell r="DV997">
            <v>0</v>
          </cell>
          <cell r="DW997">
            <v>0</v>
          </cell>
          <cell r="DX997">
            <v>0</v>
          </cell>
          <cell r="DY997" t="str">
            <v/>
          </cell>
          <cell r="DZ997" t="str">
            <v>pasiv</v>
          </cell>
          <cell r="EA997" t="e">
            <v>#DIV/0!</v>
          </cell>
        </row>
        <row r="998">
          <cell r="B998">
            <v>15689</v>
          </cell>
          <cell r="C998" t="str">
            <v>AURA SALFET_33*33 SM_50*24</v>
          </cell>
          <cell r="D998" t="str">
            <v>KOLI</v>
          </cell>
          <cell r="E998">
            <v>0</v>
          </cell>
          <cell r="F998">
            <v>0</v>
          </cell>
          <cell r="G998">
            <v>8</v>
          </cell>
          <cell r="H998">
            <v>633.6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O998">
            <v>8</v>
          </cell>
          <cell r="P998">
            <v>633.6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O998">
            <v>0</v>
          </cell>
          <cell r="AP998">
            <v>0</v>
          </cell>
          <cell r="AS998">
            <v>0</v>
          </cell>
          <cell r="AT998">
            <v>0</v>
          </cell>
          <cell r="AU998">
            <v>8</v>
          </cell>
          <cell r="AV998">
            <v>633.6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O998">
            <v>0</v>
          </cell>
          <cell r="CP998">
            <v>0</v>
          </cell>
          <cell r="CQ998">
            <v>0</v>
          </cell>
          <cell r="CR998">
            <v>0</v>
          </cell>
          <cell r="CS998">
            <v>0</v>
          </cell>
          <cell r="CT998">
            <v>0</v>
          </cell>
          <cell r="CU998">
            <v>0</v>
          </cell>
          <cell r="CV998">
            <v>0</v>
          </cell>
          <cell r="CW998">
            <v>0</v>
          </cell>
          <cell r="CX998">
            <v>0</v>
          </cell>
          <cell r="CY998">
            <v>0</v>
          </cell>
          <cell r="CZ998">
            <v>0</v>
          </cell>
          <cell r="DA998">
            <v>0</v>
          </cell>
          <cell r="DB998">
            <v>0</v>
          </cell>
          <cell r="DC998">
            <v>0</v>
          </cell>
          <cell r="DD998">
            <v>0</v>
          </cell>
          <cell r="DE998">
            <v>0</v>
          </cell>
          <cell r="DF998">
            <v>0</v>
          </cell>
          <cell r="DG998">
            <v>0</v>
          </cell>
          <cell r="DH998">
            <v>0</v>
          </cell>
          <cell r="DI998">
            <v>0</v>
          </cell>
          <cell r="DJ998">
            <v>0</v>
          </cell>
          <cell r="DK998">
            <v>0</v>
          </cell>
          <cell r="DL998">
            <v>0</v>
          </cell>
          <cell r="DM998">
            <v>0</v>
          </cell>
          <cell r="DN998">
            <v>0</v>
          </cell>
          <cell r="DO998">
            <v>0</v>
          </cell>
          <cell r="DP998">
            <v>0</v>
          </cell>
          <cell r="DQ998">
            <v>0</v>
          </cell>
          <cell r="DR998">
            <v>0</v>
          </cell>
          <cell r="DS998">
            <v>0</v>
          </cell>
          <cell r="DT998">
            <v>0</v>
          </cell>
          <cell r="DU998">
            <v>0</v>
          </cell>
          <cell r="DV998">
            <v>0</v>
          </cell>
          <cell r="DW998">
            <v>8</v>
          </cell>
          <cell r="DX998">
            <v>633.6</v>
          </cell>
          <cell r="DY998" t="str">
            <v/>
          </cell>
          <cell r="DZ998">
            <v>0</v>
          </cell>
          <cell r="EA998">
            <v>79.2</v>
          </cell>
        </row>
        <row r="999">
          <cell r="B999">
            <v>206364</v>
          </cell>
          <cell r="C999" t="str">
            <v>AURA SALFET COL.GULLERI_33*33CM_20*12</v>
          </cell>
          <cell r="D999" t="str">
            <v>KOLI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O999">
            <v>0</v>
          </cell>
          <cell r="AP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O999">
            <v>0</v>
          </cell>
          <cell r="CP999">
            <v>0</v>
          </cell>
          <cell r="CQ999">
            <v>0</v>
          </cell>
          <cell r="CR999">
            <v>0</v>
          </cell>
          <cell r="CS999">
            <v>0</v>
          </cell>
          <cell r="CT999">
            <v>0</v>
          </cell>
          <cell r="CU999">
            <v>0</v>
          </cell>
          <cell r="CV999">
            <v>0</v>
          </cell>
          <cell r="CW999">
            <v>0</v>
          </cell>
          <cell r="CX999">
            <v>0</v>
          </cell>
          <cell r="CY999">
            <v>0</v>
          </cell>
          <cell r="CZ999">
            <v>0</v>
          </cell>
          <cell r="DA999">
            <v>0</v>
          </cell>
          <cell r="DB999">
            <v>0</v>
          </cell>
          <cell r="DC999">
            <v>0</v>
          </cell>
          <cell r="DD999">
            <v>0</v>
          </cell>
          <cell r="DE999">
            <v>0</v>
          </cell>
          <cell r="DF999">
            <v>0</v>
          </cell>
          <cell r="DG999">
            <v>0</v>
          </cell>
          <cell r="DH999">
            <v>0</v>
          </cell>
          <cell r="DI999">
            <v>0</v>
          </cell>
          <cell r="DJ999">
            <v>0</v>
          </cell>
          <cell r="DK999">
            <v>0</v>
          </cell>
          <cell r="DL999">
            <v>0</v>
          </cell>
          <cell r="DM999">
            <v>0</v>
          </cell>
          <cell r="DN999">
            <v>0</v>
          </cell>
          <cell r="DO999">
            <v>0</v>
          </cell>
          <cell r="DP999">
            <v>0</v>
          </cell>
          <cell r="DQ999">
            <v>0</v>
          </cell>
          <cell r="DR999">
            <v>0</v>
          </cell>
          <cell r="DS999">
            <v>0</v>
          </cell>
          <cell r="DT999">
            <v>0</v>
          </cell>
          <cell r="DU999">
            <v>0</v>
          </cell>
          <cell r="DV999">
            <v>0</v>
          </cell>
          <cell r="DW999">
            <v>0</v>
          </cell>
          <cell r="DX999">
            <v>0</v>
          </cell>
          <cell r="DY999" t="str">
            <v/>
          </cell>
          <cell r="DZ999" t="str">
            <v>pasiv</v>
          </cell>
          <cell r="EA999" t="e">
            <v>#DIV/0!</v>
          </cell>
        </row>
        <row r="1000">
          <cell r="B1000">
            <v>311073</v>
          </cell>
          <cell r="C1000" t="str">
            <v>ხელ-ცი აურა ცისფერი ორმგ-30*30სმ /50*24</v>
          </cell>
          <cell r="D1000" t="str">
            <v>KOLI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O1000">
            <v>0</v>
          </cell>
          <cell r="AP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0</v>
          </cell>
          <cell r="CU1000">
            <v>0</v>
          </cell>
          <cell r="CV1000">
            <v>0</v>
          </cell>
          <cell r="CW1000">
            <v>0</v>
          </cell>
          <cell r="CX1000">
            <v>0</v>
          </cell>
          <cell r="CY1000">
            <v>0</v>
          </cell>
          <cell r="CZ1000">
            <v>0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  <cell r="DX1000">
            <v>0</v>
          </cell>
          <cell r="DY1000" t="str">
            <v/>
          </cell>
          <cell r="DZ1000" t="str">
            <v>pasiv</v>
          </cell>
          <cell r="EA1000" t="e">
            <v>#DIV/0!</v>
          </cell>
        </row>
        <row r="1001">
          <cell r="B1001">
            <v>115438</v>
          </cell>
          <cell r="C1001" t="str">
            <v>ხელს-აურა- 50*24_21*20სმ-(კ.ყუთში)</v>
          </cell>
          <cell r="D1001" t="str">
            <v>KOLI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O1001">
            <v>0</v>
          </cell>
          <cell r="AP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O1001">
            <v>0</v>
          </cell>
          <cell r="CP1001">
            <v>0</v>
          </cell>
          <cell r="CQ1001">
            <v>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  <cell r="DL1001">
            <v>0</v>
          </cell>
          <cell r="DM1001">
            <v>0</v>
          </cell>
          <cell r="DN1001">
            <v>0</v>
          </cell>
          <cell r="DO1001">
            <v>0</v>
          </cell>
          <cell r="DP1001">
            <v>0</v>
          </cell>
          <cell r="DQ1001">
            <v>0</v>
          </cell>
          <cell r="DR1001">
            <v>0</v>
          </cell>
          <cell r="DS1001">
            <v>0</v>
          </cell>
          <cell r="DT1001">
            <v>0</v>
          </cell>
          <cell r="DU1001">
            <v>0</v>
          </cell>
          <cell r="DV1001">
            <v>0</v>
          </cell>
          <cell r="DW1001">
            <v>0</v>
          </cell>
          <cell r="DX1001">
            <v>0</v>
          </cell>
          <cell r="DY1001" t="str">
            <v/>
          </cell>
          <cell r="DZ1001" t="str">
            <v>pasiv</v>
          </cell>
          <cell r="EA1001" t="e">
            <v>#DIV/0!</v>
          </cell>
        </row>
        <row r="1002">
          <cell r="B1002">
            <v>206365</v>
          </cell>
          <cell r="C1002" t="str">
            <v>AURA SALFET QARA QIZILGUL_33*33CM_20*12</v>
          </cell>
          <cell r="D1002" t="str">
            <v>KOLI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O1002">
            <v>0</v>
          </cell>
          <cell r="AP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0</v>
          </cell>
          <cell r="DQ1002">
            <v>0</v>
          </cell>
          <cell r="DR1002">
            <v>0</v>
          </cell>
          <cell r="DS1002">
            <v>0</v>
          </cell>
          <cell r="DT1002">
            <v>0</v>
          </cell>
          <cell r="DU1002">
            <v>0</v>
          </cell>
          <cell r="DV1002">
            <v>0</v>
          </cell>
          <cell r="DW1002">
            <v>0</v>
          </cell>
          <cell r="DX1002">
            <v>0</v>
          </cell>
          <cell r="DY1002" t="str">
            <v/>
          </cell>
          <cell r="DZ1002" t="str">
            <v>pasiv</v>
          </cell>
          <cell r="EA1002" t="e">
            <v>#DIV/0!</v>
          </cell>
        </row>
        <row r="1003">
          <cell r="B1003">
            <v>146991</v>
          </cell>
          <cell r="C1003" t="str">
            <v>AURA KGZ DESMAL_2*12_YN</v>
          </cell>
          <cell r="D1003" t="str">
            <v>KOLI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O1003">
            <v>0</v>
          </cell>
          <cell r="AP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  <cell r="CK1003">
            <v>0</v>
          </cell>
          <cell r="CL1003">
            <v>0</v>
          </cell>
          <cell r="CO1003">
            <v>0</v>
          </cell>
          <cell r="CP1003">
            <v>0</v>
          </cell>
          <cell r="CQ1003">
            <v>0</v>
          </cell>
          <cell r="CR1003">
            <v>0</v>
          </cell>
          <cell r="CS1003">
            <v>0</v>
          </cell>
          <cell r="CT1003">
            <v>0</v>
          </cell>
          <cell r="CU1003">
            <v>0</v>
          </cell>
          <cell r="CV1003">
            <v>0</v>
          </cell>
          <cell r="CW1003">
            <v>0</v>
          </cell>
          <cell r="CX1003">
            <v>0</v>
          </cell>
          <cell r="CY1003">
            <v>0</v>
          </cell>
          <cell r="CZ1003">
            <v>0</v>
          </cell>
          <cell r="DA1003">
            <v>0</v>
          </cell>
          <cell r="DB1003">
            <v>0</v>
          </cell>
          <cell r="DC1003">
            <v>0</v>
          </cell>
          <cell r="DD1003">
            <v>0</v>
          </cell>
          <cell r="DE1003">
            <v>0</v>
          </cell>
          <cell r="DF1003">
            <v>0</v>
          </cell>
          <cell r="DG1003">
            <v>0</v>
          </cell>
          <cell r="DH1003">
            <v>0</v>
          </cell>
          <cell r="DI1003">
            <v>0</v>
          </cell>
          <cell r="DJ1003">
            <v>0</v>
          </cell>
          <cell r="DK1003">
            <v>0</v>
          </cell>
          <cell r="DL1003">
            <v>0</v>
          </cell>
          <cell r="DM1003">
            <v>0</v>
          </cell>
          <cell r="DN1003">
            <v>0</v>
          </cell>
          <cell r="DO1003">
            <v>0</v>
          </cell>
          <cell r="DP1003">
            <v>0</v>
          </cell>
          <cell r="DQ1003">
            <v>0</v>
          </cell>
          <cell r="DR1003">
            <v>0</v>
          </cell>
          <cell r="DS1003">
            <v>0</v>
          </cell>
          <cell r="DT1003">
            <v>0</v>
          </cell>
          <cell r="DU1003">
            <v>0</v>
          </cell>
          <cell r="DV1003">
            <v>0</v>
          </cell>
          <cell r="DW1003">
            <v>0</v>
          </cell>
          <cell r="DX1003">
            <v>0</v>
          </cell>
          <cell r="DY1003" t="str">
            <v/>
          </cell>
          <cell r="DZ1003" t="str">
            <v>pasiv</v>
          </cell>
          <cell r="EA1003" t="e">
            <v>#DIV/0!</v>
          </cell>
        </row>
        <row r="1004">
          <cell r="B1004">
            <v>146993</v>
          </cell>
          <cell r="C1004" t="str">
            <v>AURA KGZ DESMAL_4*6_YN</v>
          </cell>
          <cell r="D1004" t="str">
            <v>KOLI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O1004">
            <v>0</v>
          </cell>
          <cell r="AP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L1004">
            <v>0</v>
          </cell>
          <cell r="CO1004">
            <v>0</v>
          </cell>
          <cell r="CP1004">
            <v>0</v>
          </cell>
          <cell r="CQ1004">
            <v>0</v>
          </cell>
          <cell r="CR1004">
            <v>0</v>
          </cell>
          <cell r="CS1004">
            <v>0</v>
          </cell>
          <cell r="CT1004">
            <v>0</v>
          </cell>
          <cell r="CU1004">
            <v>0</v>
          </cell>
          <cell r="CV1004">
            <v>0</v>
          </cell>
          <cell r="CW1004">
            <v>0</v>
          </cell>
          <cell r="CX1004">
            <v>0</v>
          </cell>
          <cell r="CY1004">
            <v>0</v>
          </cell>
          <cell r="CZ1004">
            <v>0</v>
          </cell>
          <cell r="DA1004">
            <v>0</v>
          </cell>
          <cell r="DB1004">
            <v>0</v>
          </cell>
          <cell r="DC1004">
            <v>0</v>
          </cell>
          <cell r="DD1004">
            <v>0</v>
          </cell>
          <cell r="DE1004">
            <v>0</v>
          </cell>
          <cell r="DF1004">
            <v>0</v>
          </cell>
          <cell r="DG1004">
            <v>0</v>
          </cell>
          <cell r="DH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>
            <v>0</v>
          </cell>
          <cell r="DV1004">
            <v>0</v>
          </cell>
          <cell r="DW1004">
            <v>0</v>
          </cell>
          <cell r="DX1004">
            <v>0</v>
          </cell>
          <cell r="DY1004" t="str">
            <v/>
          </cell>
          <cell r="DZ1004" t="str">
            <v>pasiv</v>
          </cell>
          <cell r="EA1004" t="e">
            <v>#DIV/0!</v>
          </cell>
        </row>
        <row r="1005">
          <cell r="B1005">
            <v>306136</v>
          </cell>
          <cell r="C1005" t="str">
            <v>ტუალეტის-ქაღალდი-აურა-4*12-უზორით</v>
          </cell>
          <cell r="D1005" t="str">
            <v>KOLI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O1005">
            <v>0</v>
          </cell>
          <cell r="AP1005">
            <v>0</v>
          </cell>
          <cell r="AS1005">
            <v>0</v>
          </cell>
          <cell r="AT1005">
            <v>0</v>
          </cell>
          <cell r="AU1005">
            <v>0.75</v>
          </cell>
          <cell r="AV1005">
            <v>59.58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0.16666666666666699</v>
          </cell>
          <cell r="BH1005">
            <v>13.24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0.33333333333333298</v>
          </cell>
          <cell r="BP1005">
            <v>26.48</v>
          </cell>
          <cell r="BQ1005">
            <v>0</v>
          </cell>
          <cell r="BR1005">
            <v>0</v>
          </cell>
          <cell r="BS1005">
            <v>0.5</v>
          </cell>
          <cell r="BT1005">
            <v>39.72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0.25</v>
          </cell>
          <cell r="CB1005">
            <v>19.86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0.25</v>
          </cell>
          <cell r="CJ1005">
            <v>19.86</v>
          </cell>
          <cell r="CK1005">
            <v>0.75</v>
          </cell>
          <cell r="CL1005">
            <v>59.58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  <cell r="DL1005">
            <v>0</v>
          </cell>
          <cell r="DM1005">
            <v>0</v>
          </cell>
          <cell r="DN1005">
            <v>0</v>
          </cell>
          <cell r="DO1005">
            <v>0</v>
          </cell>
          <cell r="DP1005">
            <v>0</v>
          </cell>
          <cell r="DQ1005">
            <v>0</v>
          </cell>
          <cell r="DR1005">
            <v>0</v>
          </cell>
          <cell r="DS1005">
            <v>0</v>
          </cell>
          <cell r="DT1005">
            <v>0</v>
          </cell>
          <cell r="DU1005">
            <v>0</v>
          </cell>
          <cell r="DV1005">
            <v>0</v>
          </cell>
          <cell r="DW1005">
            <v>0.75</v>
          </cell>
          <cell r="DX1005">
            <v>59.58</v>
          </cell>
          <cell r="DY1005" t="str">
            <v/>
          </cell>
          <cell r="DZ1005">
            <v>0</v>
          </cell>
          <cell r="EA1005">
            <v>79.44</v>
          </cell>
        </row>
        <row r="1006">
          <cell r="B1006">
            <v>135147</v>
          </cell>
          <cell r="C1006" t="str">
            <v>ტუალეტის-ქაღალდი-აურა-12*4</v>
          </cell>
          <cell r="D1006" t="str">
            <v>KOLI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O1006">
            <v>0</v>
          </cell>
          <cell r="AP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0</v>
          </cell>
          <cell r="CK1006">
            <v>0</v>
          </cell>
          <cell r="CL1006">
            <v>0</v>
          </cell>
          <cell r="CO1006">
            <v>0</v>
          </cell>
          <cell r="CP1006">
            <v>0</v>
          </cell>
          <cell r="CQ1006">
            <v>0</v>
          </cell>
          <cell r="CR1006">
            <v>0</v>
          </cell>
          <cell r="CS1006">
            <v>0</v>
          </cell>
          <cell r="CT1006">
            <v>0</v>
          </cell>
          <cell r="CU1006">
            <v>0</v>
          </cell>
          <cell r="CV1006">
            <v>0</v>
          </cell>
          <cell r="CW1006">
            <v>0</v>
          </cell>
          <cell r="CX1006">
            <v>0</v>
          </cell>
          <cell r="CY1006">
            <v>0</v>
          </cell>
          <cell r="CZ1006">
            <v>0</v>
          </cell>
          <cell r="DA1006">
            <v>0</v>
          </cell>
          <cell r="DB1006">
            <v>0</v>
          </cell>
          <cell r="DC1006">
            <v>0</v>
          </cell>
          <cell r="DD1006">
            <v>0</v>
          </cell>
          <cell r="DE1006">
            <v>0</v>
          </cell>
          <cell r="DF1006">
            <v>0</v>
          </cell>
          <cell r="DG1006">
            <v>0</v>
          </cell>
          <cell r="DH1006">
            <v>0</v>
          </cell>
          <cell r="DI1006">
            <v>0</v>
          </cell>
          <cell r="DJ1006">
            <v>0</v>
          </cell>
          <cell r="DK1006">
            <v>0</v>
          </cell>
          <cell r="DL1006">
            <v>0</v>
          </cell>
          <cell r="DM1006">
            <v>0</v>
          </cell>
          <cell r="DN1006">
            <v>0</v>
          </cell>
          <cell r="DO1006">
            <v>0</v>
          </cell>
          <cell r="DP1006">
            <v>0</v>
          </cell>
          <cell r="DQ1006">
            <v>0</v>
          </cell>
          <cell r="DR1006">
            <v>0</v>
          </cell>
          <cell r="DS1006">
            <v>0</v>
          </cell>
          <cell r="DT1006">
            <v>0</v>
          </cell>
          <cell r="DU1006">
            <v>0</v>
          </cell>
          <cell r="DV1006">
            <v>0</v>
          </cell>
          <cell r="DW1006">
            <v>0</v>
          </cell>
          <cell r="DX1006">
            <v>0</v>
          </cell>
          <cell r="DY1006" t="str">
            <v/>
          </cell>
          <cell r="DZ1006" t="str">
            <v>pasiv</v>
          </cell>
          <cell r="EA1006" t="e">
            <v>#DIV/0!</v>
          </cell>
        </row>
        <row r="1007">
          <cell r="B1007">
            <v>305558</v>
          </cell>
          <cell r="C1007" t="str">
            <v>ტუალეტის-ქაღალდი-აურა-24*2_NEW</v>
          </cell>
          <cell r="D1007" t="str">
            <v>KOLI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O1007">
            <v>0</v>
          </cell>
          <cell r="AP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O1007">
            <v>0</v>
          </cell>
          <cell r="CP1007">
            <v>0</v>
          </cell>
          <cell r="CQ1007">
            <v>0</v>
          </cell>
          <cell r="CR1007">
            <v>0</v>
          </cell>
          <cell r="CS1007">
            <v>0</v>
          </cell>
          <cell r="CT1007">
            <v>0</v>
          </cell>
          <cell r="CU1007">
            <v>0</v>
          </cell>
          <cell r="CV1007">
            <v>0</v>
          </cell>
          <cell r="CW1007">
            <v>0</v>
          </cell>
          <cell r="CX1007">
            <v>0</v>
          </cell>
          <cell r="CY1007">
            <v>0</v>
          </cell>
          <cell r="CZ1007">
            <v>0</v>
          </cell>
          <cell r="DA1007">
            <v>0</v>
          </cell>
          <cell r="DB1007">
            <v>0</v>
          </cell>
          <cell r="DC1007">
            <v>0</v>
          </cell>
          <cell r="DD1007">
            <v>0</v>
          </cell>
          <cell r="DE1007">
            <v>0</v>
          </cell>
          <cell r="DF1007">
            <v>0</v>
          </cell>
          <cell r="DG1007">
            <v>0</v>
          </cell>
          <cell r="DH1007">
            <v>0</v>
          </cell>
          <cell r="DI1007">
            <v>0</v>
          </cell>
          <cell r="DJ1007">
            <v>0</v>
          </cell>
          <cell r="DK1007">
            <v>0</v>
          </cell>
          <cell r="DL1007">
            <v>0</v>
          </cell>
          <cell r="DM1007">
            <v>0</v>
          </cell>
          <cell r="DN1007">
            <v>0</v>
          </cell>
          <cell r="DO1007">
            <v>0</v>
          </cell>
          <cell r="DP1007">
            <v>0</v>
          </cell>
          <cell r="DQ1007">
            <v>0</v>
          </cell>
          <cell r="DR1007">
            <v>0</v>
          </cell>
          <cell r="DS1007">
            <v>0</v>
          </cell>
          <cell r="DT1007">
            <v>0</v>
          </cell>
          <cell r="DU1007">
            <v>0</v>
          </cell>
          <cell r="DV1007">
            <v>0</v>
          </cell>
          <cell r="DW1007">
            <v>0</v>
          </cell>
          <cell r="DX1007">
            <v>0</v>
          </cell>
          <cell r="DY1007" t="str">
            <v/>
          </cell>
          <cell r="DZ1007" t="str">
            <v>pasiv</v>
          </cell>
          <cell r="EA1007" t="e">
            <v>#DIV/0!</v>
          </cell>
        </row>
        <row r="1008">
          <cell r="B1008">
            <v>184546</v>
          </cell>
          <cell r="C1008" t="str">
            <v>ტუალეტის-ქაღალდი-აურა-4*12-უზორით</v>
          </cell>
          <cell r="D1008" t="str">
            <v>KOLI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O1008">
            <v>0</v>
          </cell>
          <cell r="AP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O1008">
            <v>0</v>
          </cell>
          <cell r="CP1008">
            <v>0</v>
          </cell>
          <cell r="CQ1008">
            <v>0</v>
          </cell>
          <cell r="CR1008">
            <v>0</v>
          </cell>
          <cell r="CS1008">
            <v>0</v>
          </cell>
          <cell r="CT1008">
            <v>0</v>
          </cell>
          <cell r="CU1008">
            <v>0</v>
          </cell>
          <cell r="CV1008">
            <v>0</v>
          </cell>
          <cell r="CW1008">
            <v>0</v>
          </cell>
          <cell r="CX1008">
            <v>0</v>
          </cell>
          <cell r="CY1008">
            <v>0</v>
          </cell>
          <cell r="CZ1008">
            <v>0</v>
          </cell>
          <cell r="DA1008">
            <v>0</v>
          </cell>
          <cell r="DB1008">
            <v>0</v>
          </cell>
          <cell r="DC1008">
            <v>0</v>
          </cell>
          <cell r="DD1008">
            <v>0</v>
          </cell>
          <cell r="DE1008">
            <v>0</v>
          </cell>
          <cell r="DF1008">
            <v>0</v>
          </cell>
          <cell r="DG1008">
            <v>0</v>
          </cell>
          <cell r="DH1008">
            <v>0</v>
          </cell>
          <cell r="DI1008">
            <v>0</v>
          </cell>
          <cell r="DJ1008">
            <v>0</v>
          </cell>
          <cell r="DK1008">
            <v>0</v>
          </cell>
          <cell r="DL1008">
            <v>0</v>
          </cell>
          <cell r="DM1008">
            <v>0</v>
          </cell>
          <cell r="DN1008">
            <v>0</v>
          </cell>
          <cell r="DO1008">
            <v>0</v>
          </cell>
          <cell r="DP1008">
            <v>0</v>
          </cell>
          <cell r="DQ1008">
            <v>0</v>
          </cell>
          <cell r="DR1008">
            <v>0</v>
          </cell>
          <cell r="DS1008">
            <v>0</v>
          </cell>
          <cell r="DT1008">
            <v>0</v>
          </cell>
          <cell r="DU1008">
            <v>0</v>
          </cell>
          <cell r="DV1008">
            <v>0</v>
          </cell>
          <cell r="DW1008">
            <v>0</v>
          </cell>
          <cell r="DX1008">
            <v>0</v>
          </cell>
          <cell r="DY1008" t="str">
            <v/>
          </cell>
          <cell r="DZ1008" t="str">
            <v>pasiv</v>
          </cell>
          <cell r="EA1008" t="e">
            <v>#DIV/0!</v>
          </cell>
        </row>
        <row r="1009">
          <cell r="A1009">
            <v>17</v>
          </cell>
          <cell r="C1009" t="str">
            <v>AURA</v>
          </cell>
          <cell r="D1009" t="str">
            <v>KOLI</v>
          </cell>
          <cell r="E1009">
            <v>0</v>
          </cell>
          <cell r="F1009">
            <v>0</v>
          </cell>
          <cell r="G1009">
            <v>8</v>
          </cell>
          <cell r="H1009">
            <v>633.6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O1009">
            <v>8</v>
          </cell>
          <cell r="P1009">
            <v>633.6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0.33333333333333298</v>
          </cell>
          <cell r="AF1009">
            <v>24.44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O1009">
            <v>0.33333333333333298</v>
          </cell>
          <cell r="AP1009">
            <v>24.44</v>
          </cell>
          <cell r="AS1009">
            <v>0</v>
          </cell>
          <cell r="AT1009">
            <v>0</v>
          </cell>
          <cell r="AU1009">
            <v>29.083333333333343</v>
          </cell>
          <cell r="AV1009">
            <v>1539.8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0.45833333333333404</v>
          </cell>
          <cell r="BH1009">
            <v>24.3</v>
          </cell>
          <cell r="BI1009">
            <v>0</v>
          </cell>
          <cell r="BJ1009">
            <v>0</v>
          </cell>
          <cell r="BK1009">
            <v>2.4166666666666701</v>
          </cell>
          <cell r="BL1009">
            <v>108.24</v>
          </cell>
          <cell r="BM1009">
            <v>0.20833333333333301</v>
          </cell>
          <cell r="BN1009">
            <v>7.9</v>
          </cell>
          <cell r="BO1009">
            <v>3.083333333333333</v>
          </cell>
          <cell r="BP1009">
            <v>142.72999999999999</v>
          </cell>
          <cell r="BQ1009">
            <v>0</v>
          </cell>
          <cell r="BR1009">
            <v>0</v>
          </cell>
          <cell r="BS1009">
            <v>6.166666666666667</v>
          </cell>
          <cell r="BT1009">
            <v>283.16999999999996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0.20833333333333301</v>
          </cell>
          <cell r="BZ1009">
            <v>7.9</v>
          </cell>
          <cell r="CA1009">
            <v>0.375</v>
          </cell>
          <cell r="CB1009">
            <v>24.6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0.58333333333333304</v>
          </cell>
          <cell r="CJ1009">
            <v>32.5</v>
          </cell>
          <cell r="CK1009">
            <v>6.7499999999999991</v>
          </cell>
          <cell r="CL1009">
            <v>315.66999999999996</v>
          </cell>
          <cell r="CO1009">
            <v>0</v>
          </cell>
          <cell r="CP1009">
            <v>0</v>
          </cell>
          <cell r="CQ1009">
            <v>0</v>
          </cell>
          <cell r="CR1009">
            <v>0</v>
          </cell>
          <cell r="CS1009">
            <v>0</v>
          </cell>
          <cell r="CT1009">
            <v>0</v>
          </cell>
          <cell r="CU1009">
            <v>10</v>
          </cell>
          <cell r="CV1009">
            <v>393.89</v>
          </cell>
          <cell r="CW1009">
            <v>0</v>
          </cell>
          <cell r="CX1009">
            <v>0</v>
          </cell>
          <cell r="CY1009">
            <v>4</v>
          </cell>
          <cell r="CZ1009">
            <v>172.2</v>
          </cell>
          <cell r="DA1009">
            <v>0</v>
          </cell>
          <cell r="DB1009">
            <v>0</v>
          </cell>
          <cell r="DC1009">
            <v>0</v>
          </cell>
          <cell r="DD1009">
            <v>0</v>
          </cell>
          <cell r="DE1009">
            <v>4</v>
          </cell>
          <cell r="DF1009">
            <v>172.2</v>
          </cell>
          <cell r="DG1009">
            <v>0</v>
          </cell>
          <cell r="DH1009">
            <v>0</v>
          </cell>
          <cell r="DI1009">
            <v>0</v>
          </cell>
          <cell r="DJ1009">
            <v>0</v>
          </cell>
          <cell r="DK1009">
            <v>0</v>
          </cell>
          <cell r="DL1009">
            <v>0</v>
          </cell>
          <cell r="DM1009">
            <v>0</v>
          </cell>
          <cell r="DN1009">
            <v>0</v>
          </cell>
          <cell r="DO1009">
            <v>3</v>
          </cell>
          <cell r="DP1009">
            <v>124.85</v>
          </cell>
          <cell r="DQ1009">
            <v>0</v>
          </cell>
          <cell r="DR1009">
            <v>0</v>
          </cell>
          <cell r="DS1009">
            <v>7</v>
          </cell>
          <cell r="DT1009">
            <v>269.04000000000002</v>
          </cell>
          <cell r="DU1009">
            <v>10</v>
          </cell>
          <cell r="DV1009">
            <v>393.89</v>
          </cell>
          <cell r="DW1009">
            <v>29.083333333333336</v>
          </cell>
          <cell r="DX1009">
            <v>1539.8</v>
          </cell>
          <cell r="DY1009" t="str">
            <v>Hedef</v>
          </cell>
          <cell r="DZ1009">
            <v>0</v>
          </cell>
          <cell r="EA1009">
            <v>52.944412607449848</v>
          </cell>
        </row>
        <row r="1010">
          <cell r="B1010">
            <v>133425</v>
          </cell>
          <cell r="C1010" t="str">
            <v>სველი ხელსახოცი_სანი_72*36_პლასტ.ხუფი</v>
          </cell>
          <cell r="D1010" t="str">
            <v>KOLI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O1010">
            <v>0</v>
          </cell>
          <cell r="AP1010">
            <v>0</v>
          </cell>
          <cell r="AS1010">
            <v>0</v>
          </cell>
          <cell r="AT1010">
            <v>0</v>
          </cell>
          <cell r="AU1010">
            <v>3.7777777777777799</v>
          </cell>
          <cell r="AV1010">
            <v>357.68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0.47222222222222199</v>
          </cell>
          <cell r="BH1010">
            <v>44.71</v>
          </cell>
          <cell r="BI1010">
            <v>0</v>
          </cell>
          <cell r="BJ1010">
            <v>0</v>
          </cell>
          <cell r="BK1010">
            <v>0.36111111111111099</v>
          </cell>
          <cell r="BL1010">
            <v>34.19</v>
          </cell>
          <cell r="BM1010">
            <v>0</v>
          </cell>
          <cell r="BN1010">
            <v>0</v>
          </cell>
          <cell r="BO1010">
            <v>1.6388888888888899</v>
          </cell>
          <cell r="BP1010">
            <v>155.16999999999999</v>
          </cell>
          <cell r="BQ1010">
            <v>0</v>
          </cell>
          <cell r="BR1010">
            <v>0</v>
          </cell>
          <cell r="BS1010">
            <v>2.4722222222222201</v>
          </cell>
          <cell r="BT1010">
            <v>234.07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5.5555555555555601E-2</v>
          </cell>
          <cell r="BZ1010">
            <v>5.26</v>
          </cell>
          <cell r="CA1010">
            <v>0.83333333333333304</v>
          </cell>
          <cell r="CB1010">
            <v>78.900000000000006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0.88888888888888895</v>
          </cell>
          <cell r="CJ1010">
            <v>84.16</v>
          </cell>
          <cell r="CK1010">
            <v>3.3611111111111089</v>
          </cell>
          <cell r="CL1010">
            <v>318.23</v>
          </cell>
          <cell r="CO1010">
            <v>0</v>
          </cell>
          <cell r="CP1010">
            <v>0</v>
          </cell>
          <cell r="CQ1010">
            <v>0</v>
          </cell>
          <cell r="CR1010">
            <v>0</v>
          </cell>
          <cell r="CS1010">
            <v>0</v>
          </cell>
          <cell r="CT1010">
            <v>0</v>
          </cell>
          <cell r="CU1010">
            <v>0.41666666666666702</v>
          </cell>
          <cell r="CV1010">
            <v>39.450000000000003</v>
          </cell>
          <cell r="CW1010">
            <v>0</v>
          </cell>
          <cell r="CX1010">
            <v>0</v>
          </cell>
          <cell r="CY1010">
            <v>0</v>
          </cell>
          <cell r="CZ1010">
            <v>0</v>
          </cell>
          <cell r="DA1010">
            <v>0</v>
          </cell>
          <cell r="DB1010">
            <v>0</v>
          </cell>
          <cell r="DC1010">
            <v>0</v>
          </cell>
          <cell r="DD1010">
            <v>0</v>
          </cell>
          <cell r="DE1010">
            <v>0</v>
          </cell>
          <cell r="DF1010">
            <v>0</v>
          </cell>
          <cell r="DG1010">
            <v>0</v>
          </cell>
          <cell r="DH1010">
            <v>0</v>
          </cell>
          <cell r="DI1010">
            <v>0</v>
          </cell>
          <cell r="DJ1010">
            <v>0</v>
          </cell>
          <cell r="DK1010">
            <v>0</v>
          </cell>
          <cell r="DL1010">
            <v>0</v>
          </cell>
          <cell r="DM1010">
            <v>0</v>
          </cell>
          <cell r="DN1010">
            <v>0</v>
          </cell>
          <cell r="DO1010">
            <v>0.16666666666666699</v>
          </cell>
          <cell r="DP1010">
            <v>15.78</v>
          </cell>
          <cell r="DQ1010">
            <v>0</v>
          </cell>
          <cell r="DR1010">
            <v>0</v>
          </cell>
          <cell r="DS1010">
            <v>0.25</v>
          </cell>
          <cell r="DT1010">
            <v>23.67</v>
          </cell>
          <cell r="DU1010">
            <v>0.41666666666666702</v>
          </cell>
          <cell r="DV1010">
            <v>39.450000000000003</v>
          </cell>
          <cell r="DW1010">
            <v>3.7777777777777759</v>
          </cell>
          <cell r="DX1010">
            <v>357.68</v>
          </cell>
          <cell r="DY1010" t="str">
            <v/>
          </cell>
          <cell r="DZ1010">
            <v>0</v>
          </cell>
          <cell r="EA1010">
            <v>94.680000000000049</v>
          </cell>
        </row>
        <row r="1011">
          <cell r="B1011">
            <v>136968</v>
          </cell>
          <cell r="C1011" t="str">
            <v>AURA YAS DESMAL ANTIBAKTERIAL_22*8</v>
          </cell>
          <cell r="D1011" t="str">
            <v>KOLI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O1011">
            <v>0</v>
          </cell>
          <cell r="AP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O1011">
            <v>0</v>
          </cell>
          <cell r="CP1011">
            <v>0</v>
          </cell>
          <cell r="CQ1011">
            <v>0</v>
          </cell>
          <cell r="CR1011">
            <v>0</v>
          </cell>
          <cell r="CS1011">
            <v>0</v>
          </cell>
          <cell r="CT1011">
            <v>0</v>
          </cell>
          <cell r="CU1011">
            <v>0</v>
          </cell>
          <cell r="CV1011">
            <v>0</v>
          </cell>
          <cell r="CW1011">
            <v>0</v>
          </cell>
          <cell r="CX1011">
            <v>0</v>
          </cell>
          <cell r="CY1011">
            <v>0</v>
          </cell>
          <cell r="CZ1011">
            <v>0</v>
          </cell>
          <cell r="DA1011">
            <v>0</v>
          </cell>
          <cell r="DB1011">
            <v>0</v>
          </cell>
          <cell r="DC1011">
            <v>0</v>
          </cell>
          <cell r="DD1011">
            <v>0</v>
          </cell>
          <cell r="DE1011">
            <v>0</v>
          </cell>
          <cell r="DF1011">
            <v>0</v>
          </cell>
          <cell r="DG1011">
            <v>0</v>
          </cell>
          <cell r="DH1011">
            <v>0</v>
          </cell>
          <cell r="DI1011">
            <v>0</v>
          </cell>
          <cell r="DJ1011">
            <v>0</v>
          </cell>
          <cell r="DK1011">
            <v>0</v>
          </cell>
          <cell r="DL1011">
            <v>0</v>
          </cell>
          <cell r="DM1011">
            <v>0</v>
          </cell>
          <cell r="DN1011">
            <v>0</v>
          </cell>
          <cell r="DO1011">
            <v>0</v>
          </cell>
          <cell r="DP1011">
            <v>0</v>
          </cell>
          <cell r="DQ1011">
            <v>0</v>
          </cell>
          <cell r="DR1011">
            <v>0</v>
          </cell>
          <cell r="DS1011">
            <v>0</v>
          </cell>
          <cell r="DT1011">
            <v>0</v>
          </cell>
          <cell r="DU1011">
            <v>0</v>
          </cell>
          <cell r="DV1011">
            <v>0</v>
          </cell>
          <cell r="DW1011">
            <v>0</v>
          </cell>
          <cell r="DX1011">
            <v>0</v>
          </cell>
          <cell r="DY1011" t="str">
            <v/>
          </cell>
          <cell r="DZ1011" t="str">
            <v>pasiv</v>
          </cell>
          <cell r="EA1011" t="e">
            <v>#DIV/0!</v>
          </cell>
        </row>
        <row r="1012">
          <cell r="A1012">
            <v>0.33333444000000001</v>
          </cell>
          <cell r="B1012">
            <v>334758</v>
          </cell>
          <cell r="C1012" t="str">
            <v>სველი ხელსახოცი_სანი_72_პლასტ.ხუფი_11ც+1ც</v>
          </cell>
          <cell r="D1012" t="str">
            <v>TON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0.33333444000000001</v>
          </cell>
          <cell r="AV1012">
            <v>27.5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O1012">
            <v>0</v>
          </cell>
          <cell r="CP1012">
            <v>0</v>
          </cell>
          <cell r="CQ1012">
            <v>0</v>
          </cell>
          <cell r="CR1012">
            <v>0</v>
          </cell>
          <cell r="CS1012">
            <v>0</v>
          </cell>
          <cell r="CT1012">
            <v>0</v>
          </cell>
          <cell r="CU1012">
            <v>0.33333444000000001</v>
          </cell>
          <cell r="CV1012">
            <v>27.5</v>
          </cell>
          <cell r="CW1012">
            <v>0</v>
          </cell>
          <cell r="CX1012">
            <v>0</v>
          </cell>
          <cell r="CY1012">
            <v>0</v>
          </cell>
          <cell r="CZ1012">
            <v>0</v>
          </cell>
          <cell r="DA1012">
            <v>0</v>
          </cell>
          <cell r="DB1012">
            <v>0</v>
          </cell>
          <cell r="DC1012">
            <v>0</v>
          </cell>
          <cell r="DD1012">
            <v>0</v>
          </cell>
          <cell r="DE1012">
            <v>0</v>
          </cell>
          <cell r="DF1012">
            <v>0</v>
          </cell>
          <cell r="DG1012">
            <v>0</v>
          </cell>
          <cell r="DH1012">
            <v>0</v>
          </cell>
          <cell r="DI1012">
            <v>0</v>
          </cell>
          <cell r="DJ1012">
            <v>0</v>
          </cell>
          <cell r="DK1012">
            <v>0</v>
          </cell>
          <cell r="DL1012">
            <v>0</v>
          </cell>
          <cell r="DM1012">
            <v>0</v>
          </cell>
          <cell r="DN1012">
            <v>0</v>
          </cell>
          <cell r="DO1012">
            <v>0</v>
          </cell>
          <cell r="DP1012">
            <v>0</v>
          </cell>
          <cell r="DQ1012">
            <v>0</v>
          </cell>
          <cell r="DR1012">
            <v>0</v>
          </cell>
          <cell r="DS1012">
            <v>0.33333444000000001</v>
          </cell>
          <cell r="DT1012">
            <v>27.5</v>
          </cell>
          <cell r="DU1012">
            <v>0.33333444000000001</v>
          </cell>
          <cell r="DV1012">
            <v>27.5</v>
          </cell>
          <cell r="DW1012">
            <v>0.33333444000000001</v>
          </cell>
          <cell r="DX1012">
            <v>27.5</v>
          </cell>
          <cell r="DY1012" t="str">
            <v/>
          </cell>
          <cell r="DZ1012">
            <v>0</v>
          </cell>
          <cell r="EA1012">
            <v>82.499726100909342</v>
          </cell>
        </row>
        <row r="1013">
          <cell r="A1013">
            <v>0.5</v>
          </cell>
          <cell r="B1013">
            <v>334787</v>
          </cell>
          <cell r="C1013" t="str">
            <v>სველი ხელსახოცი_სანი_120_პლასტ.ხუფი_11ც+1ც</v>
          </cell>
          <cell r="D1013" t="str">
            <v>TON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1</v>
          </cell>
          <cell r="AV1013">
            <v>79.2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0</v>
          </cell>
          <cell r="CK1013">
            <v>0</v>
          </cell>
          <cell r="CL1013">
            <v>0</v>
          </cell>
          <cell r="CO1013">
            <v>0</v>
          </cell>
          <cell r="CP1013">
            <v>0</v>
          </cell>
          <cell r="CQ1013">
            <v>0</v>
          </cell>
          <cell r="CR1013">
            <v>0</v>
          </cell>
          <cell r="CS1013">
            <v>0</v>
          </cell>
          <cell r="CT1013">
            <v>0</v>
          </cell>
          <cell r="CU1013">
            <v>1</v>
          </cell>
          <cell r="CV1013">
            <v>79.2</v>
          </cell>
          <cell r="CW1013">
            <v>0</v>
          </cell>
          <cell r="CX1013">
            <v>0</v>
          </cell>
          <cell r="CY1013">
            <v>0</v>
          </cell>
          <cell r="CZ1013">
            <v>0</v>
          </cell>
          <cell r="DA1013">
            <v>0</v>
          </cell>
          <cell r="DB1013">
            <v>0</v>
          </cell>
          <cell r="DC1013">
            <v>0</v>
          </cell>
          <cell r="DD1013">
            <v>0</v>
          </cell>
          <cell r="DE1013">
            <v>0</v>
          </cell>
          <cell r="DF1013">
            <v>0</v>
          </cell>
          <cell r="DG1013">
            <v>0</v>
          </cell>
          <cell r="DH1013">
            <v>0</v>
          </cell>
          <cell r="DI1013">
            <v>0</v>
          </cell>
          <cell r="DJ1013">
            <v>0</v>
          </cell>
          <cell r="DK1013">
            <v>0</v>
          </cell>
          <cell r="DL1013">
            <v>0</v>
          </cell>
          <cell r="DM1013">
            <v>0</v>
          </cell>
          <cell r="DN1013">
            <v>0</v>
          </cell>
          <cell r="DO1013">
            <v>0</v>
          </cell>
          <cell r="DP1013">
            <v>0</v>
          </cell>
          <cell r="DQ1013">
            <v>0</v>
          </cell>
          <cell r="DR1013">
            <v>0</v>
          </cell>
          <cell r="DS1013">
            <v>1</v>
          </cell>
          <cell r="DT1013">
            <v>79.2</v>
          </cell>
          <cell r="DU1013">
            <v>1</v>
          </cell>
          <cell r="DV1013">
            <v>79.2</v>
          </cell>
          <cell r="DW1013">
            <v>1</v>
          </cell>
          <cell r="DX1013">
            <v>79.2</v>
          </cell>
          <cell r="DY1013" t="str">
            <v/>
          </cell>
          <cell r="DZ1013">
            <v>0</v>
          </cell>
          <cell r="EA1013">
            <v>79.2</v>
          </cell>
        </row>
        <row r="1014">
          <cell r="B1014">
            <v>184632</v>
          </cell>
          <cell r="C1014" t="str">
            <v>სველი ხელსახოცი_სანი_120*24_პლასტ.ხუფი</v>
          </cell>
          <cell r="D1014" t="str">
            <v>KOLI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O1014">
            <v>0</v>
          </cell>
          <cell r="AP1014">
            <v>0</v>
          </cell>
          <cell r="AS1014">
            <v>0</v>
          </cell>
          <cell r="AT1014">
            <v>0</v>
          </cell>
          <cell r="AU1014">
            <v>3.4583333333333299</v>
          </cell>
          <cell r="AV1014">
            <v>312.55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0.29166666666666702</v>
          </cell>
          <cell r="BH1014">
            <v>26.46</v>
          </cell>
          <cell r="BI1014">
            <v>0</v>
          </cell>
          <cell r="BJ1014">
            <v>0</v>
          </cell>
          <cell r="BK1014">
            <v>4.1666666666666699E-2</v>
          </cell>
          <cell r="BL1014">
            <v>3.78</v>
          </cell>
          <cell r="BM1014">
            <v>0</v>
          </cell>
          <cell r="BN1014">
            <v>0</v>
          </cell>
          <cell r="BO1014">
            <v>1.5833333333333299</v>
          </cell>
          <cell r="BP1014">
            <v>143.63999999999999</v>
          </cell>
          <cell r="BQ1014">
            <v>0</v>
          </cell>
          <cell r="BR1014">
            <v>0</v>
          </cell>
          <cell r="BS1014">
            <v>2.0416666666666701</v>
          </cell>
          <cell r="BT1014">
            <v>184.03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0.16666666666666699</v>
          </cell>
          <cell r="BZ1014">
            <v>15.12</v>
          </cell>
          <cell r="CA1014">
            <v>0.625</v>
          </cell>
          <cell r="CB1014">
            <v>56.7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0.79166666666666696</v>
          </cell>
          <cell r="CJ1014">
            <v>71.819999999999993</v>
          </cell>
          <cell r="CK1014">
            <v>2.833333333333337</v>
          </cell>
          <cell r="CL1014">
            <v>255.85</v>
          </cell>
          <cell r="CO1014">
            <v>0</v>
          </cell>
          <cell r="CP1014">
            <v>0</v>
          </cell>
          <cell r="CQ1014">
            <v>0</v>
          </cell>
          <cell r="CR1014">
            <v>0</v>
          </cell>
          <cell r="CS1014">
            <v>0</v>
          </cell>
          <cell r="CT1014">
            <v>0</v>
          </cell>
          <cell r="CU1014">
            <v>0.375</v>
          </cell>
          <cell r="CV1014">
            <v>34.020000000000003</v>
          </cell>
          <cell r="CW1014">
            <v>0</v>
          </cell>
          <cell r="CX1014">
            <v>0</v>
          </cell>
          <cell r="CY1014">
            <v>0</v>
          </cell>
          <cell r="CZ1014">
            <v>0</v>
          </cell>
          <cell r="DA1014">
            <v>0</v>
          </cell>
          <cell r="DB1014">
            <v>0</v>
          </cell>
          <cell r="DC1014">
            <v>0</v>
          </cell>
          <cell r="DD1014">
            <v>0</v>
          </cell>
          <cell r="DE1014">
            <v>0</v>
          </cell>
          <cell r="DF1014">
            <v>0</v>
          </cell>
          <cell r="DG1014">
            <v>0</v>
          </cell>
          <cell r="DH1014">
            <v>0</v>
          </cell>
          <cell r="DI1014">
            <v>0.25</v>
          </cell>
          <cell r="DJ1014">
            <v>22.68</v>
          </cell>
          <cell r="DK1014">
            <v>0</v>
          </cell>
          <cell r="DL1014">
            <v>0</v>
          </cell>
          <cell r="DM1014">
            <v>0.25</v>
          </cell>
          <cell r="DN1014">
            <v>22.68</v>
          </cell>
          <cell r="DO1014">
            <v>0</v>
          </cell>
          <cell r="DP1014">
            <v>0</v>
          </cell>
          <cell r="DQ1014">
            <v>0</v>
          </cell>
          <cell r="DR1014">
            <v>0</v>
          </cell>
          <cell r="DS1014">
            <v>0.375</v>
          </cell>
          <cell r="DT1014">
            <v>34.020000000000003</v>
          </cell>
          <cell r="DU1014">
            <v>0.375</v>
          </cell>
          <cell r="DV1014">
            <v>34.020000000000003</v>
          </cell>
          <cell r="DW1014">
            <v>3.458333333333337</v>
          </cell>
          <cell r="DX1014">
            <v>312.55</v>
          </cell>
          <cell r="DY1014" t="str">
            <v/>
          </cell>
          <cell r="DZ1014">
            <v>0</v>
          </cell>
          <cell r="EA1014">
            <v>90.375903614457741</v>
          </cell>
        </row>
        <row r="1015">
          <cell r="B1015">
            <v>316952</v>
          </cell>
          <cell r="C1015" t="str">
            <v>ცხვირსახოცი-ჯიბის-სანი QU–10*24</v>
          </cell>
          <cell r="D1015" t="str">
            <v>KOLI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O1015">
            <v>0</v>
          </cell>
          <cell r="AP1015">
            <v>0</v>
          </cell>
          <cell r="AS1015">
            <v>0</v>
          </cell>
          <cell r="AT1015">
            <v>0</v>
          </cell>
          <cell r="AU1015">
            <v>1.9583333333333299</v>
          </cell>
          <cell r="AV1015">
            <v>120.64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0.125</v>
          </cell>
          <cell r="BH1015">
            <v>7.89</v>
          </cell>
          <cell r="BI1015">
            <v>0</v>
          </cell>
          <cell r="BJ1015">
            <v>0</v>
          </cell>
          <cell r="BK1015">
            <v>4.1666666666666699E-2</v>
          </cell>
          <cell r="BL1015">
            <v>2.63</v>
          </cell>
          <cell r="BM1015">
            <v>0.25</v>
          </cell>
          <cell r="BN1015">
            <v>15.78</v>
          </cell>
          <cell r="BO1015">
            <v>0.33333333333333298</v>
          </cell>
          <cell r="BP1015">
            <v>21.04</v>
          </cell>
          <cell r="BQ1015">
            <v>0</v>
          </cell>
          <cell r="BR1015">
            <v>0</v>
          </cell>
          <cell r="BS1015">
            <v>0.79166666666666696</v>
          </cell>
          <cell r="BT1015">
            <v>49.97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8.3333333333333301E-2</v>
          </cell>
          <cell r="BZ1015">
            <v>5.26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8.3333333333333301E-2</v>
          </cell>
          <cell r="CJ1015">
            <v>5.26</v>
          </cell>
          <cell r="CK1015">
            <v>0.87500000000000022</v>
          </cell>
          <cell r="CL1015">
            <v>55.23</v>
          </cell>
          <cell r="CO1015">
            <v>0</v>
          </cell>
          <cell r="CP1015">
            <v>0</v>
          </cell>
          <cell r="CQ1015">
            <v>0</v>
          </cell>
          <cell r="CR1015">
            <v>0</v>
          </cell>
          <cell r="CS1015">
            <v>0</v>
          </cell>
          <cell r="CT1015">
            <v>0</v>
          </cell>
          <cell r="CU1015">
            <v>0.875</v>
          </cell>
          <cell r="CV1015">
            <v>53.28</v>
          </cell>
          <cell r="CW1015">
            <v>0</v>
          </cell>
          <cell r="CX1015">
            <v>0</v>
          </cell>
          <cell r="CY1015">
            <v>0</v>
          </cell>
          <cell r="CZ1015">
            <v>0</v>
          </cell>
          <cell r="DA1015">
            <v>0</v>
          </cell>
          <cell r="DB1015">
            <v>0</v>
          </cell>
          <cell r="DC1015">
            <v>0</v>
          </cell>
          <cell r="DD1015">
            <v>0</v>
          </cell>
          <cell r="DE1015">
            <v>0</v>
          </cell>
          <cell r="DF1015">
            <v>0</v>
          </cell>
          <cell r="DG1015">
            <v>0</v>
          </cell>
          <cell r="DH1015">
            <v>0</v>
          </cell>
          <cell r="DI1015">
            <v>0</v>
          </cell>
          <cell r="DJ1015">
            <v>0</v>
          </cell>
          <cell r="DK1015">
            <v>0.20833333333333301</v>
          </cell>
          <cell r="DL1015">
            <v>12.13</v>
          </cell>
          <cell r="DM1015">
            <v>0.20833333333333301</v>
          </cell>
          <cell r="DN1015">
            <v>12.13</v>
          </cell>
          <cell r="DO1015">
            <v>0.16666666666666699</v>
          </cell>
          <cell r="DP1015">
            <v>10.52</v>
          </cell>
          <cell r="DQ1015">
            <v>4.1666666666666699E-2</v>
          </cell>
          <cell r="DR1015">
            <v>2.63</v>
          </cell>
          <cell r="DS1015">
            <v>0.66666666666666696</v>
          </cell>
          <cell r="DT1015">
            <v>40.130000000000003</v>
          </cell>
          <cell r="DU1015">
            <v>0.875</v>
          </cell>
          <cell r="DV1015">
            <v>53.28</v>
          </cell>
          <cell r="DW1015">
            <v>1.9583333333333333</v>
          </cell>
          <cell r="DX1015">
            <v>120.63999999999999</v>
          </cell>
          <cell r="DY1015" t="str">
            <v/>
          </cell>
          <cell r="DZ1015">
            <v>0</v>
          </cell>
          <cell r="EA1015">
            <v>61.603404255319141</v>
          </cell>
        </row>
        <row r="1016">
          <cell r="B1016">
            <v>258087</v>
          </cell>
          <cell r="C1016" t="str">
            <v>ცხვირსახოცი-ჯიბის-სანი–10*24-პარფიუმი</v>
          </cell>
          <cell r="D1016" t="str">
            <v>KOLI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O1016">
            <v>0</v>
          </cell>
          <cell r="AP1016">
            <v>0</v>
          </cell>
          <cell r="AS1016">
            <v>0</v>
          </cell>
          <cell r="AT1016">
            <v>0</v>
          </cell>
          <cell r="AU1016">
            <v>1.2083333333333299</v>
          </cell>
          <cell r="AV1016">
            <v>74.319999999999993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0.20833333333333301</v>
          </cell>
          <cell r="BN1016">
            <v>13.15</v>
          </cell>
          <cell r="BO1016">
            <v>0.16666666666666699</v>
          </cell>
          <cell r="BP1016">
            <v>10.52</v>
          </cell>
          <cell r="BQ1016">
            <v>0</v>
          </cell>
          <cell r="BR1016">
            <v>0</v>
          </cell>
          <cell r="BS1016">
            <v>0.41666666666666702</v>
          </cell>
          <cell r="BT1016">
            <v>26.3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0.41666666666666702</v>
          </cell>
          <cell r="CL1016">
            <v>26.3</v>
          </cell>
          <cell r="CO1016">
            <v>0</v>
          </cell>
          <cell r="CP1016">
            <v>0</v>
          </cell>
          <cell r="CQ1016">
            <v>0</v>
          </cell>
          <cell r="CR1016">
            <v>0</v>
          </cell>
          <cell r="CS1016">
            <v>0</v>
          </cell>
          <cell r="CT1016">
            <v>0</v>
          </cell>
          <cell r="CU1016">
            <v>0.79166666666666696</v>
          </cell>
          <cell r="CV1016">
            <v>48.02</v>
          </cell>
          <cell r="CW1016">
            <v>0</v>
          </cell>
          <cell r="CX1016">
            <v>0</v>
          </cell>
          <cell r="CY1016">
            <v>0</v>
          </cell>
          <cell r="CZ1016">
            <v>0</v>
          </cell>
          <cell r="DA1016">
            <v>0</v>
          </cell>
          <cell r="DB1016">
            <v>0</v>
          </cell>
          <cell r="DC1016">
            <v>0</v>
          </cell>
          <cell r="DD1016">
            <v>0</v>
          </cell>
          <cell r="DE1016">
            <v>0</v>
          </cell>
          <cell r="DF1016">
            <v>0</v>
          </cell>
          <cell r="DG1016">
            <v>0</v>
          </cell>
          <cell r="DH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O1016">
            <v>8.3333333333333301E-2</v>
          </cell>
          <cell r="DP1016">
            <v>5.26</v>
          </cell>
          <cell r="DQ1016">
            <v>0</v>
          </cell>
          <cell r="DR1016">
            <v>0</v>
          </cell>
          <cell r="DS1016">
            <v>0.70833333333333304</v>
          </cell>
          <cell r="DT1016">
            <v>42.76</v>
          </cell>
          <cell r="DU1016">
            <v>0.79166666666666696</v>
          </cell>
          <cell r="DV1016">
            <v>48.02</v>
          </cell>
          <cell r="DW1016">
            <v>1.2083333333333339</v>
          </cell>
          <cell r="DX1016">
            <v>74.320000000000007</v>
          </cell>
          <cell r="DY1016" t="str">
            <v/>
          </cell>
          <cell r="DZ1016">
            <v>0</v>
          </cell>
          <cell r="EA1016">
            <v>61.506206896551703</v>
          </cell>
        </row>
        <row r="1017">
          <cell r="A1017">
            <v>14</v>
          </cell>
          <cell r="C1017" t="str">
            <v>Islak ve Cep Mendil</v>
          </cell>
          <cell r="D1017" t="str">
            <v>KOLI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11.736112217777771</v>
          </cell>
          <cell r="AV1017">
            <v>971.8900000000001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0.88888888888888906</v>
          </cell>
          <cell r="BH1017">
            <v>79.06</v>
          </cell>
          <cell r="BI1017">
            <v>0</v>
          </cell>
          <cell r="BJ1017">
            <v>0</v>
          </cell>
          <cell r="BK1017">
            <v>0.44444444444444436</v>
          </cell>
          <cell r="BL1017">
            <v>40.6</v>
          </cell>
          <cell r="BM1017">
            <v>0.45833333333333304</v>
          </cell>
          <cell r="BN1017">
            <v>28.93</v>
          </cell>
          <cell r="BO1017">
            <v>3.7222222222222197</v>
          </cell>
          <cell r="BP1017">
            <v>330.36999999999995</v>
          </cell>
          <cell r="BQ1017">
            <v>0</v>
          </cell>
          <cell r="BR1017">
            <v>0</v>
          </cell>
          <cell r="BS1017">
            <v>5.7222222222222241</v>
          </cell>
          <cell r="BT1017">
            <v>494.37000000000006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0.30555555555555591</v>
          </cell>
          <cell r="BZ1017">
            <v>25.64</v>
          </cell>
          <cell r="CA1017">
            <v>1.458333333333333</v>
          </cell>
          <cell r="CB1017">
            <v>135.60000000000002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1.7638888888888891</v>
          </cell>
          <cell r="CJ1017">
            <v>161.23999999999998</v>
          </cell>
          <cell r="CK1017">
            <v>7.4861111111111134</v>
          </cell>
          <cell r="CL1017">
            <v>655.61</v>
          </cell>
          <cell r="CM1017">
            <v>0</v>
          </cell>
          <cell r="CN1017">
            <v>0</v>
          </cell>
          <cell r="CO1017">
            <v>0</v>
          </cell>
          <cell r="CP1017">
            <v>0</v>
          </cell>
          <cell r="CQ1017">
            <v>0</v>
          </cell>
          <cell r="CR1017">
            <v>0</v>
          </cell>
          <cell r="CS1017">
            <v>0</v>
          </cell>
          <cell r="CT1017">
            <v>0</v>
          </cell>
          <cell r="CU1017">
            <v>3.7916677733333337</v>
          </cell>
          <cell r="CV1017">
            <v>281.47000000000003</v>
          </cell>
          <cell r="CW1017">
            <v>0</v>
          </cell>
          <cell r="CX1017">
            <v>0</v>
          </cell>
          <cell r="CY1017">
            <v>0</v>
          </cell>
          <cell r="CZ1017">
            <v>0</v>
          </cell>
          <cell r="DA1017">
            <v>0</v>
          </cell>
          <cell r="DB1017">
            <v>0</v>
          </cell>
          <cell r="DC1017">
            <v>0</v>
          </cell>
          <cell r="DD1017">
            <v>0</v>
          </cell>
          <cell r="DE1017">
            <v>0</v>
          </cell>
          <cell r="DF1017">
            <v>0</v>
          </cell>
          <cell r="DG1017">
            <v>0</v>
          </cell>
          <cell r="DH1017">
            <v>0</v>
          </cell>
          <cell r="DI1017">
            <v>0.25</v>
          </cell>
          <cell r="DJ1017">
            <v>22.68</v>
          </cell>
          <cell r="DK1017">
            <v>0.20833333333333301</v>
          </cell>
          <cell r="DL1017">
            <v>12.13</v>
          </cell>
          <cell r="DM1017">
            <v>0.45833333333333304</v>
          </cell>
          <cell r="DN1017">
            <v>34.81</v>
          </cell>
          <cell r="DO1017">
            <v>0.4166666666666673</v>
          </cell>
          <cell r="DP1017">
            <v>31.559999999999995</v>
          </cell>
          <cell r="DQ1017">
            <v>4.1666666666666699E-2</v>
          </cell>
          <cell r="DR1017">
            <v>2.63</v>
          </cell>
          <cell r="DS1017">
            <v>3.3333344399999998</v>
          </cell>
          <cell r="DT1017">
            <v>247.28</v>
          </cell>
          <cell r="DU1017">
            <v>3.7916677733333337</v>
          </cell>
          <cell r="DV1017">
            <v>281.47000000000003</v>
          </cell>
          <cell r="DW1017">
            <v>11.73611221777778</v>
          </cell>
          <cell r="DX1017">
            <v>971.8900000000001</v>
          </cell>
          <cell r="DY1017" t="str">
            <v>Hedef</v>
          </cell>
          <cell r="DZ1017">
            <v>0</v>
          </cell>
          <cell r="EA1017">
            <v>82.811921185261667</v>
          </cell>
        </row>
        <row r="1018">
          <cell r="B1018">
            <v>349274</v>
          </cell>
          <cell r="C1018" t="str">
            <v>სტრეჩი-ნეილონის_300მ_30სმ_8მიკ</v>
          </cell>
          <cell r="D1018" t="str">
            <v>KOLI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O1018">
            <v>0</v>
          </cell>
          <cell r="AP1018">
            <v>0</v>
          </cell>
          <cell r="AS1018">
            <v>0</v>
          </cell>
          <cell r="AT1018">
            <v>0</v>
          </cell>
          <cell r="AU1018">
            <v>5</v>
          </cell>
          <cell r="AV1018">
            <v>60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5</v>
          </cell>
          <cell r="BX1018">
            <v>60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5</v>
          </cell>
          <cell r="CJ1018">
            <v>60</v>
          </cell>
          <cell r="CK1018">
            <v>5</v>
          </cell>
          <cell r="CL1018">
            <v>60</v>
          </cell>
          <cell r="CO1018">
            <v>0</v>
          </cell>
          <cell r="CP1018">
            <v>0</v>
          </cell>
          <cell r="CQ1018">
            <v>0</v>
          </cell>
          <cell r="CR1018">
            <v>0</v>
          </cell>
          <cell r="CS1018">
            <v>0</v>
          </cell>
          <cell r="CT1018">
            <v>0</v>
          </cell>
          <cell r="CU1018">
            <v>0</v>
          </cell>
          <cell r="CV1018">
            <v>0</v>
          </cell>
          <cell r="CW1018">
            <v>0</v>
          </cell>
          <cell r="CX1018">
            <v>0</v>
          </cell>
          <cell r="CY1018">
            <v>0</v>
          </cell>
          <cell r="CZ1018">
            <v>0</v>
          </cell>
          <cell r="DA1018">
            <v>0</v>
          </cell>
          <cell r="DB1018">
            <v>0</v>
          </cell>
          <cell r="DC1018">
            <v>0</v>
          </cell>
          <cell r="DD1018">
            <v>0</v>
          </cell>
          <cell r="DE1018">
            <v>0</v>
          </cell>
          <cell r="DF1018">
            <v>0</v>
          </cell>
          <cell r="DG1018">
            <v>0</v>
          </cell>
          <cell r="DH1018">
            <v>0</v>
          </cell>
          <cell r="DI1018">
            <v>0</v>
          </cell>
          <cell r="DJ1018">
            <v>0</v>
          </cell>
          <cell r="DK1018">
            <v>0</v>
          </cell>
          <cell r="DL1018">
            <v>0</v>
          </cell>
          <cell r="DM1018">
            <v>0</v>
          </cell>
          <cell r="DN1018">
            <v>0</v>
          </cell>
          <cell r="DO1018">
            <v>0</v>
          </cell>
          <cell r="DP1018">
            <v>0</v>
          </cell>
          <cell r="DQ1018">
            <v>0</v>
          </cell>
          <cell r="DR1018">
            <v>0</v>
          </cell>
          <cell r="DS1018">
            <v>0</v>
          </cell>
          <cell r="DT1018">
            <v>0</v>
          </cell>
          <cell r="DU1018">
            <v>0</v>
          </cell>
          <cell r="DV1018">
            <v>0</v>
          </cell>
          <cell r="DW1018">
            <v>5</v>
          </cell>
          <cell r="DX1018">
            <v>60</v>
          </cell>
          <cell r="DY1018" t="str">
            <v/>
          </cell>
          <cell r="DZ1018">
            <v>0</v>
          </cell>
          <cell r="EA1018">
            <v>12</v>
          </cell>
        </row>
        <row r="1019">
          <cell r="B1019">
            <v>349276</v>
          </cell>
          <cell r="C1019" t="str">
            <v>სტრეჩი-ნეილონის_300მ_45სმ_8მიკ</v>
          </cell>
          <cell r="D1019" t="str">
            <v>KOLI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O1019">
            <v>0</v>
          </cell>
          <cell r="AP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  <cell r="DL1019">
            <v>0</v>
          </cell>
          <cell r="DM1019">
            <v>0</v>
          </cell>
          <cell r="DN1019">
            <v>0</v>
          </cell>
          <cell r="DO1019">
            <v>0</v>
          </cell>
          <cell r="DP1019">
            <v>0</v>
          </cell>
          <cell r="DQ1019">
            <v>0</v>
          </cell>
          <cell r="DR1019">
            <v>0</v>
          </cell>
          <cell r="DS1019">
            <v>0</v>
          </cell>
          <cell r="DT1019">
            <v>0</v>
          </cell>
          <cell r="DU1019">
            <v>0</v>
          </cell>
          <cell r="DV1019">
            <v>0</v>
          </cell>
          <cell r="DW1019">
            <v>0</v>
          </cell>
          <cell r="DX1019">
            <v>0</v>
          </cell>
          <cell r="DY1019" t="str">
            <v/>
          </cell>
          <cell r="DZ1019" t="str">
            <v>pasiv</v>
          </cell>
          <cell r="EA1019" t="e">
            <v>#DIV/0!</v>
          </cell>
        </row>
        <row r="1020">
          <cell r="B1020">
            <v>357382</v>
          </cell>
          <cell r="C1020" t="str">
            <v>სტრეჩი-ნეილონის_1500მ_40სმ_9მიკ</v>
          </cell>
          <cell r="D1020" t="str">
            <v>KOLI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O1020">
            <v>0</v>
          </cell>
          <cell r="AP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0</v>
          </cell>
          <cell r="CO1020">
            <v>0</v>
          </cell>
          <cell r="CP1020">
            <v>0</v>
          </cell>
          <cell r="CQ1020">
            <v>0</v>
          </cell>
          <cell r="CR1020">
            <v>0</v>
          </cell>
          <cell r="CS1020">
            <v>0</v>
          </cell>
          <cell r="CT1020">
            <v>0</v>
          </cell>
          <cell r="CU1020">
            <v>0</v>
          </cell>
          <cell r="CV1020">
            <v>0</v>
          </cell>
          <cell r="CW1020">
            <v>0</v>
          </cell>
          <cell r="CX1020">
            <v>0</v>
          </cell>
          <cell r="CY1020">
            <v>0</v>
          </cell>
          <cell r="CZ1020">
            <v>0</v>
          </cell>
          <cell r="DA1020">
            <v>0</v>
          </cell>
          <cell r="DB1020">
            <v>0</v>
          </cell>
          <cell r="DC1020">
            <v>0</v>
          </cell>
          <cell r="DD1020">
            <v>0</v>
          </cell>
          <cell r="DE1020">
            <v>0</v>
          </cell>
          <cell r="DF1020">
            <v>0</v>
          </cell>
          <cell r="DG1020">
            <v>0</v>
          </cell>
          <cell r="DH1020">
            <v>0</v>
          </cell>
          <cell r="DI1020">
            <v>0</v>
          </cell>
          <cell r="DJ1020">
            <v>0</v>
          </cell>
          <cell r="DK1020">
            <v>0</v>
          </cell>
          <cell r="DL1020">
            <v>0</v>
          </cell>
          <cell r="DM1020">
            <v>0</v>
          </cell>
          <cell r="DN1020">
            <v>0</v>
          </cell>
          <cell r="DO1020">
            <v>0</v>
          </cell>
          <cell r="DP1020">
            <v>0</v>
          </cell>
          <cell r="DQ1020">
            <v>0</v>
          </cell>
          <cell r="DR1020">
            <v>0</v>
          </cell>
          <cell r="DS1020">
            <v>0</v>
          </cell>
          <cell r="DT1020">
            <v>0</v>
          </cell>
          <cell r="DU1020">
            <v>0</v>
          </cell>
          <cell r="DV1020">
            <v>0</v>
          </cell>
          <cell r="DW1020">
            <v>0</v>
          </cell>
          <cell r="DX1020">
            <v>0</v>
          </cell>
          <cell r="DY1020" t="str">
            <v/>
          </cell>
          <cell r="DZ1020" t="str">
            <v>pasiv</v>
          </cell>
          <cell r="EA1020" t="e">
            <v>#DIV/0!</v>
          </cell>
        </row>
        <row r="1021">
          <cell r="B1021">
            <v>357383</v>
          </cell>
          <cell r="C1021" t="str">
            <v>სტრეჩი-ნეილონის_1500მ_45სმ_9მიკ</v>
          </cell>
          <cell r="D1021" t="str">
            <v>KOLI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O1021">
            <v>0</v>
          </cell>
          <cell r="AP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  <cell r="CL1021">
            <v>0</v>
          </cell>
          <cell r="CO1021">
            <v>0</v>
          </cell>
          <cell r="CP1021">
            <v>0</v>
          </cell>
          <cell r="CQ1021">
            <v>0</v>
          </cell>
          <cell r="CR1021">
            <v>0</v>
          </cell>
          <cell r="CS1021">
            <v>0</v>
          </cell>
          <cell r="CT1021">
            <v>0</v>
          </cell>
          <cell r="CU1021">
            <v>0</v>
          </cell>
          <cell r="CV1021">
            <v>0</v>
          </cell>
          <cell r="CW1021">
            <v>0</v>
          </cell>
          <cell r="CX1021">
            <v>0</v>
          </cell>
          <cell r="CY1021">
            <v>0</v>
          </cell>
          <cell r="CZ1021">
            <v>0</v>
          </cell>
          <cell r="DA1021">
            <v>0</v>
          </cell>
          <cell r="DB1021">
            <v>0</v>
          </cell>
          <cell r="DC1021">
            <v>0</v>
          </cell>
          <cell r="DD1021">
            <v>0</v>
          </cell>
          <cell r="DE1021">
            <v>0</v>
          </cell>
          <cell r="DF1021">
            <v>0</v>
          </cell>
          <cell r="DG1021">
            <v>0</v>
          </cell>
          <cell r="DH1021">
            <v>0</v>
          </cell>
          <cell r="DI1021">
            <v>0</v>
          </cell>
          <cell r="DJ1021">
            <v>0</v>
          </cell>
          <cell r="DK1021">
            <v>0</v>
          </cell>
          <cell r="DL1021">
            <v>0</v>
          </cell>
          <cell r="DM1021">
            <v>0</v>
          </cell>
          <cell r="DN1021">
            <v>0</v>
          </cell>
          <cell r="DO1021">
            <v>0</v>
          </cell>
          <cell r="DP1021">
            <v>0</v>
          </cell>
          <cell r="DQ1021">
            <v>0</v>
          </cell>
          <cell r="DR1021">
            <v>0</v>
          </cell>
          <cell r="DS1021">
            <v>0</v>
          </cell>
          <cell r="DT1021">
            <v>0</v>
          </cell>
          <cell r="DU1021">
            <v>0</v>
          </cell>
          <cell r="DV1021">
            <v>0</v>
          </cell>
          <cell r="DW1021">
            <v>0</v>
          </cell>
          <cell r="DX1021">
            <v>0</v>
          </cell>
          <cell r="DY1021" t="str">
            <v/>
          </cell>
          <cell r="DZ1021" t="str">
            <v>pasiv</v>
          </cell>
          <cell r="EA1021" t="e">
            <v>#DIV/0!</v>
          </cell>
        </row>
        <row r="1022">
          <cell r="B1022">
            <v>349277</v>
          </cell>
          <cell r="C1022" t="str">
            <v>სტრეჩი-ნეილონის_1500მ_45სმ_8მიკ</v>
          </cell>
          <cell r="D1022" t="str">
            <v>KOLI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O1022">
            <v>0</v>
          </cell>
          <cell r="AP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0</v>
          </cell>
          <cell r="DE1022">
            <v>0</v>
          </cell>
          <cell r="DF1022">
            <v>0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  <cell r="DL1022">
            <v>0</v>
          </cell>
          <cell r="DM1022">
            <v>0</v>
          </cell>
          <cell r="DN1022">
            <v>0</v>
          </cell>
          <cell r="DO1022">
            <v>0</v>
          </cell>
          <cell r="DP1022">
            <v>0</v>
          </cell>
          <cell r="DQ1022">
            <v>0</v>
          </cell>
          <cell r="DR1022">
            <v>0</v>
          </cell>
          <cell r="DS1022">
            <v>0</v>
          </cell>
          <cell r="DT1022">
            <v>0</v>
          </cell>
          <cell r="DU1022">
            <v>0</v>
          </cell>
          <cell r="DV1022">
            <v>0</v>
          </cell>
          <cell r="DW1022">
            <v>0</v>
          </cell>
          <cell r="DX1022">
            <v>0</v>
          </cell>
          <cell r="DY1022" t="str">
            <v/>
          </cell>
          <cell r="DZ1022" t="str">
            <v>pasiv</v>
          </cell>
          <cell r="EA1022" t="e">
            <v>#DIV/0!</v>
          </cell>
        </row>
        <row r="1023">
          <cell r="B1023">
            <v>349319</v>
          </cell>
          <cell r="C1023" t="str">
            <v>სტრეჩი-ნეილონის_1500მ_40სმ_8მიკ</v>
          </cell>
          <cell r="D1023" t="str">
            <v>KOLI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O1023">
            <v>0</v>
          </cell>
          <cell r="AP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O1023">
            <v>0</v>
          </cell>
          <cell r="CP1023">
            <v>0</v>
          </cell>
          <cell r="CQ1023">
            <v>0</v>
          </cell>
          <cell r="CR1023">
            <v>0</v>
          </cell>
          <cell r="CS1023">
            <v>0</v>
          </cell>
          <cell r="CT1023">
            <v>0</v>
          </cell>
          <cell r="CU1023">
            <v>0</v>
          </cell>
          <cell r="CV1023">
            <v>0</v>
          </cell>
          <cell r="CW1023">
            <v>0</v>
          </cell>
          <cell r="CX1023">
            <v>0</v>
          </cell>
          <cell r="CY1023">
            <v>0</v>
          </cell>
          <cell r="CZ1023">
            <v>0</v>
          </cell>
          <cell r="DA1023">
            <v>0</v>
          </cell>
          <cell r="DB1023">
            <v>0</v>
          </cell>
          <cell r="DC1023">
            <v>0</v>
          </cell>
          <cell r="DD1023">
            <v>0</v>
          </cell>
          <cell r="DE1023">
            <v>0</v>
          </cell>
          <cell r="DF1023">
            <v>0</v>
          </cell>
          <cell r="DG1023">
            <v>0</v>
          </cell>
          <cell r="DH1023">
            <v>0</v>
          </cell>
          <cell r="DI1023">
            <v>0</v>
          </cell>
          <cell r="DJ1023">
            <v>0</v>
          </cell>
          <cell r="DK1023">
            <v>0</v>
          </cell>
          <cell r="DL1023">
            <v>0</v>
          </cell>
          <cell r="DM1023">
            <v>0</v>
          </cell>
          <cell r="DN1023">
            <v>0</v>
          </cell>
          <cell r="DO1023">
            <v>0</v>
          </cell>
          <cell r="DP1023">
            <v>0</v>
          </cell>
          <cell r="DQ1023">
            <v>0</v>
          </cell>
          <cell r="DR1023">
            <v>0</v>
          </cell>
          <cell r="DS1023">
            <v>0</v>
          </cell>
          <cell r="DT1023">
            <v>0</v>
          </cell>
          <cell r="DU1023">
            <v>0</v>
          </cell>
          <cell r="DV1023">
            <v>0</v>
          </cell>
          <cell r="DW1023">
            <v>0</v>
          </cell>
          <cell r="DX1023">
            <v>0</v>
          </cell>
          <cell r="DY1023" t="str">
            <v/>
          </cell>
          <cell r="DZ1023" t="str">
            <v>pasiv</v>
          </cell>
          <cell r="EA1023" t="e">
            <v>#DIV/0!</v>
          </cell>
        </row>
        <row r="1024">
          <cell r="B1024">
            <v>349275</v>
          </cell>
          <cell r="C1024" t="str">
            <v>სტრეჩი-ნეილონის_50მ_30სმ</v>
          </cell>
          <cell r="D1024" t="str">
            <v>KOLI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O1024">
            <v>0</v>
          </cell>
          <cell r="AP1024">
            <v>0</v>
          </cell>
          <cell r="AS1024">
            <v>0</v>
          </cell>
          <cell r="AT1024">
            <v>0</v>
          </cell>
          <cell r="AU1024">
            <v>15</v>
          </cell>
          <cell r="AV1024">
            <v>44.25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10</v>
          </cell>
          <cell r="BN1024">
            <v>29.5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10</v>
          </cell>
          <cell r="BT1024">
            <v>29.5</v>
          </cell>
          <cell r="BU1024">
            <v>0</v>
          </cell>
          <cell r="BV1024">
            <v>0</v>
          </cell>
          <cell r="BW1024">
            <v>5</v>
          </cell>
          <cell r="BX1024">
            <v>14.75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5</v>
          </cell>
          <cell r="CJ1024">
            <v>14.75</v>
          </cell>
          <cell r="CK1024">
            <v>15</v>
          </cell>
          <cell r="CL1024">
            <v>44.25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  <cell r="DL1024">
            <v>0</v>
          </cell>
          <cell r="DM1024">
            <v>0</v>
          </cell>
          <cell r="DN1024">
            <v>0</v>
          </cell>
          <cell r="DO1024">
            <v>0</v>
          </cell>
          <cell r="DP1024">
            <v>0</v>
          </cell>
          <cell r="DQ1024">
            <v>0</v>
          </cell>
          <cell r="DR1024">
            <v>0</v>
          </cell>
          <cell r="DS1024">
            <v>0</v>
          </cell>
          <cell r="DT1024">
            <v>0</v>
          </cell>
          <cell r="DU1024">
            <v>0</v>
          </cell>
          <cell r="DV1024">
            <v>0</v>
          </cell>
          <cell r="DW1024">
            <v>15</v>
          </cell>
          <cell r="DX1024">
            <v>44.25</v>
          </cell>
          <cell r="DY1024" t="str">
            <v/>
          </cell>
          <cell r="DZ1024">
            <v>0</v>
          </cell>
          <cell r="EA1024">
            <v>2.95</v>
          </cell>
        </row>
        <row r="1025">
          <cell r="B1025">
            <v>380001</v>
          </cell>
          <cell r="C1025" t="str">
            <v>სტრეჩი-ნეილონის_1500მ_40სმ_8მიკ_PE_ATILIM</v>
          </cell>
          <cell r="D1025" t="str">
            <v>KOLI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O1025">
            <v>0</v>
          </cell>
          <cell r="AP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O1025">
            <v>0</v>
          </cell>
          <cell r="CP1025">
            <v>0</v>
          </cell>
          <cell r="CQ1025">
            <v>0</v>
          </cell>
          <cell r="CR1025">
            <v>0</v>
          </cell>
          <cell r="CS1025">
            <v>0</v>
          </cell>
          <cell r="CT1025">
            <v>0</v>
          </cell>
          <cell r="CU1025">
            <v>0</v>
          </cell>
          <cell r="CV1025">
            <v>0</v>
          </cell>
          <cell r="CW1025">
            <v>0</v>
          </cell>
          <cell r="CX1025">
            <v>0</v>
          </cell>
          <cell r="CY1025">
            <v>0</v>
          </cell>
          <cell r="CZ1025">
            <v>0</v>
          </cell>
          <cell r="DA1025">
            <v>0</v>
          </cell>
          <cell r="DB1025">
            <v>0</v>
          </cell>
          <cell r="DC1025">
            <v>0</v>
          </cell>
          <cell r="DD1025">
            <v>0</v>
          </cell>
          <cell r="DE1025">
            <v>0</v>
          </cell>
          <cell r="DF1025">
            <v>0</v>
          </cell>
          <cell r="DG1025">
            <v>0</v>
          </cell>
          <cell r="DH1025">
            <v>0</v>
          </cell>
          <cell r="DI1025">
            <v>0</v>
          </cell>
          <cell r="DJ1025">
            <v>0</v>
          </cell>
          <cell r="DK1025">
            <v>0</v>
          </cell>
          <cell r="DL1025">
            <v>0</v>
          </cell>
          <cell r="DM1025">
            <v>0</v>
          </cell>
          <cell r="DN1025">
            <v>0</v>
          </cell>
          <cell r="DO1025">
            <v>0</v>
          </cell>
          <cell r="DP1025">
            <v>0</v>
          </cell>
          <cell r="DQ1025">
            <v>0</v>
          </cell>
          <cell r="DR1025">
            <v>0</v>
          </cell>
          <cell r="DS1025">
            <v>0</v>
          </cell>
          <cell r="DT1025">
            <v>0</v>
          </cell>
          <cell r="DU1025">
            <v>0</v>
          </cell>
          <cell r="DV1025">
            <v>0</v>
          </cell>
          <cell r="DW1025">
            <v>0</v>
          </cell>
          <cell r="DX1025">
            <v>0</v>
          </cell>
          <cell r="DY1025" t="str">
            <v/>
          </cell>
          <cell r="DZ1025" t="str">
            <v>pasiv</v>
          </cell>
          <cell r="EA1025" t="e">
            <v>#DIV/0!</v>
          </cell>
        </row>
        <row r="1026">
          <cell r="B1026">
            <v>380003</v>
          </cell>
          <cell r="C1026" t="str">
            <v>სტრეჩი-ნეილონის_1500მ_45სმ_9მიკ_PE_ATILIM</v>
          </cell>
          <cell r="D1026" t="str">
            <v>KOLI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O1026">
            <v>0</v>
          </cell>
          <cell r="AP1026">
            <v>0</v>
          </cell>
          <cell r="AS1026">
            <v>0</v>
          </cell>
          <cell r="AT1026">
            <v>0</v>
          </cell>
          <cell r="AU1026">
            <v>5</v>
          </cell>
          <cell r="AV1026">
            <v>405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O1026">
            <v>0</v>
          </cell>
          <cell r="CP1026">
            <v>0</v>
          </cell>
          <cell r="CQ1026">
            <v>0</v>
          </cell>
          <cell r="CR1026">
            <v>0</v>
          </cell>
          <cell r="CS1026">
            <v>0</v>
          </cell>
          <cell r="CT1026">
            <v>0</v>
          </cell>
          <cell r="CU1026">
            <v>1</v>
          </cell>
          <cell r="CV1026">
            <v>81</v>
          </cell>
          <cell r="CW1026">
            <v>0</v>
          </cell>
          <cell r="CX1026">
            <v>0</v>
          </cell>
          <cell r="CY1026">
            <v>0</v>
          </cell>
          <cell r="CZ1026">
            <v>0</v>
          </cell>
          <cell r="DA1026">
            <v>0</v>
          </cell>
          <cell r="DB1026">
            <v>0</v>
          </cell>
          <cell r="DC1026">
            <v>0</v>
          </cell>
          <cell r="DD1026">
            <v>0</v>
          </cell>
          <cell r="DE1026">
            <v>0</v>
          </cell>
          <cell r="DF1026">
            <v>0</v>
          </cell>
          <cell r="DG1026">
            <v>4</v>
          </cell>
          <cell r="DH1026">
            <v>324</v>
          </cell>
          <cell r="DI1026">
            <v>0</v>
          </cell>
          <cell r="DJ1026">
            <v>0</v>
          </cell>
          <cell r="DK1026">
            <v>0</v>
          </cell>
          <cell r="DL1026">
            <v>0</v>
          </cell>
          <cell r="DM1026">
            <v>4</v>
          </cell>
          <cell r="DN1026">
            <v>324</v>
          </cell>
          <cell r="DO1026">
            <v>0</v>
          </cell>
          <cell r="DP1026">
            <v>0</v>
          </cell>
          <cell r="DQ1026">
            <v>0</v>
          </cell>
          <cell r="DR1026">
            <v>0</v>
          </cell>
          <cell r="DS1026">
            <v>1</v>
          </cell>
          <cell r="DT1026">
            <v>81</v>
          </cell>
          <cell r="DU1026">
            <v>1</v>
          </cell>
          <cell r="DV1026">
            <v>81</v>
          </cell>
          <cell r="DW1026">
            <v>5</v>
          </cell>
          <cell r="DX1026">
            <v>405</v>
          </cell>
          <cell r="DY1026" t="str">
            <v/>
          </cell>
          <cell r="DZ1026">
            <v>0</v>
          </cell>
          <cell r="EA1026">
            <v>81</v>
          </cell>
        </row>
        <row r="1027">
          <cell r="B1027">
            <v>359971</v>
          </cell>
          <cell r="C1027" t="str">
            <v>შრინკი-ნეილონის_400მ_70სმ_17მიკ_PROPACK</v>
          </cell>
          <cell r="D1027" t="str">
            <v>KOLI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O1027">
            <v>0</v>
          </cell>
          <cell r="AP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O1027">
            <v>0</v>
          </cell>
          <cell r="CP1027">
            <v>0</v>
          </cell>
          <cell r="CQ1027">
            <v>0</v>
          </cell>
          <cell r="CR1027">
            <v>0</v>
          </cell>
          <cell r="CS1027">
            <v>0</v>
          </cell>
          <cell r="CT1027">
            <v>0</v>
          </cell>
          <cell r="CU1027">
            <v>0</v>
          </cell>
          <cell r="CV1027">
            <v>0</v>
          </cell>
          <cell r="CW1027">
            <v>0</v>
          </cell>
          <cell r="CX1027">
            <v>0</v>
          </cell>
          <cell r="CY1027">
            <v>0</v>
          </cell>
          <cell r="CZ1027">
            <v>0</v>
          </cell>
          <cell r="DA1027">
            <v>0</v>
          </cell>
          <cell r="DB1027">
            <v>0</v>
          </cell>
          <cell r="DC1027">
            <v>0</v>
          </cell>
          <cell r="DD1027">
            <v>0</v>
          </cell>
          <cell r="DE1027">
            <v>0</v>
          </cell>
          <cell r="DF1027">
            <v>0</v>
          </cell>
          <cell r="DG1027">
            <v>0</v>
          </cell>
          <cell r="DH1027">
            <v>0</v>
          </cell>
          <cell r="DI1027">
            <v>0</v>
          </cell>
          <cell r="DJ1027">
            <v>0</v>
          </cell>
          <cell r="DK1027">
            <v>0</v>
          </cell>
          <cell r="DL1027">
            <v>0</v>
          </cell>
          <cell r="DM1027">
            <v>0</v>
          </cell>
          <cell r="DN1027">
            <v>0</v>
          </cell>
          <cell r="DO1027">
            <v>0</v>
          </cell>
          <cell r="DP1027">
            <v>0</v>
          </cell>
          <cell r="DQ1027">
            <v>0</v>
          </cell>
          <cell r="DR1027">
            <v>0</v>
          </cell>
          <cell r="DS1027">
            <v>0</v>
          </cell>
          <cell r="DT1027">
            <v>0</v>
          </cell>
          <cell r="DU1027">
            <v>0</v>
          </cell>
          <cell r="DV1027">
            <v>0</v>
          </cell>
          <cell r="DW1027">
            <v>0</v>
          </cell>
          <cell r="DX1027">
            <v>0</v>
          </cell>
          <cell r="DY1027" t="str">
            <v/>
          </cell>
          <cell r="DZ1027" t="str">
            <v>pasiv</v>
          </cell>
          <cell r="EA1027" t="e">
            <v>#DIV/0!</v>
          </cell>
        </row>
        <row r="1028">
          <cell r="B1028">
            <v>359972</v>
          </cell>
          <cell r="C1028" t="str">
            <v>შრინკი-ნეილონის_450მ_70სმ_17მიკ_PROPACK</v>
          </cell>
          <cell r="D1028" t="str">
            <v>KOLI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O1028">
            <v>0</v>
          </cell>
          <cell r="AP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G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  <cell r="DL1028">
            <v>0</v>
          </cell>
          <cell r="DM1028">
            <v>0</v>
          </cell>
          <cell r="DN1028">
            <v>0</v>
          </cell>
          <cell r="DO1028">
            <v>0</v>
          </cell>
          <cell r="DP1028">
            <v>0</v>
          </cell>
          <cell r="DQ1028">
            <v>0</v>
          </cell>
          <cell r="DR1028">
            <v>0</v>
          </cell>
          <cell r="DS1028">
            <v>0</v>
          </cell>
          <cell r="DT1028">
            <v>0</v>
          </cell>
          <cell r="DU1028">
            <v>0</v>
          </cell>
          <cell r="DV1028">
            <v>0</v>
          </cell>
          <cell r="DW1028">
            <v>0</v>
          </cell>
          <cell r="DX1028">
            <v>0</v>
          </cell>
          <cell r="DY1028" t="str">
            <v/>
          </cell>
          <cell r="DZ1028" t="str">
            <v>pasiv</v>
          </cell>
          <cell r="EA1028" t="e">
            <v>#DIV/0!</v>
          </cell>
        </row>
        <row r="1029">
          <cell r="B1029">
            <v>379999</v>
          </cell>
          <cell r="C1029" t="str">
            <v>სტრეჩი-ნეილონის_300მ_45სმ_8მიკ_PE_ATILIM</v>
          </cell>
          <cell r="D1029" t="str">
            <v>KOLI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5</v>
          </cell>
          <cell r="T1029">
            <v>84.5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5</v>
          </cell>
          <cell r="Z1029">
            <v>84.5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O1029">
            <v>0</v>
          </cell>
          <cell r="AP1029">
            <v>0</v>
          </cell>
          <cell r="AS1029">
            <v>0</v>
          </cell>
          <cell r="AT1029">
            <v>0</v>
          </cell>
          <cell r="AU1029">
            <v>9</v>
          </cell>
          <cell r="AV1029">
            <v>165.62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O1029">
            <v>0</v>
          </cell>
          <cell r="CP1029">
            <v>0</v>
          </cell>
          <cell r="CQ1029">
            <v>0</v>
          </cell>
          <cell r="CR1029">
            <v>0</v>
          </cell>
          <cell r="CS1029">
            <v>0</v>
          </cell>
          <cell r="CT1029">
            <v>0</v>
          </cell>
          <cell r="CU1029">
            <v>0</v>
          </cell>
          <cell r="CV1029">
            <v>0</v>
          </cell>
          <cell r="CW1029">
            <v>0</v>
          </cell>
          <cell r="CX1029">
            <v>0</v>
          </cell>
          <cell r="CY1029">
            <v>4</v>
          </cell>
          <cell r="CZ1029">
            <v>81.12</v>
          </cell>
          <cell r="DA1029">
            <v>0</v>
          </cell>
          <cell r="DB1029">
            <v>0</v>
          </cell>
          <cell r="DC1029">
            <v>0</v>
          </cell>
          <cell r="DD1029">
            <v>0</v>
          </cell>
          <cell r="DE1029">
            <v>4</v>
          </cell>
          <cell r="DF1029">
            <v>81.12</v>
          </cell>
          <cell r="DG1029">
            <v>0</v>
          </cell>
          <cell r="DH1029">
            <v>0</v>
          </cell>
          <cell r="DI1029">
            <v>0</v>
          </cell>
          <cell r="DJ1029">
            <v>0</v>
          </cell>
          <cell r="DK1029">
            <v>0</v>
          </cell>
          <cell r="DL1029">
            <v>0</v>
          </cell>
          <cell r="DM1029">
            <v>0</v>
          </cell>
          <cell r="DN1029">
            <v>0</v>
          </cell>
          <cell r="DO1029">
            <v>0</v>
          </cell>
          <cell r="DP1029">
            <v>0</v>
          </cell>
          <cell r="DQ1029">
            <v>0</v>
          </cell>
          <cell r="DR1029">
            <v>0</v>
          </cell>
          <cell r="DS1029">
            <v>0</v>
          </cell>
          <cell r="DT1029">
            <v>0</v>
          </cell>
          <cell r="DU1029">
            <v>0</v>
          </cell>
          <cell r="DV1029">
            <v>0</v>
          </cell>
          <cell r="DW1029">
            <v>9</v>
          </cell>
          <cell r="DX1029">
            <v>165.62</v>
          </cell>
          <cell r="DY1029" t="str">
            <v/>
          </cell>
          <cell r="DZ1029">
            <v>0</v>
          </cell>
          <cell r="EA1029">
            <v>18.402222222222221</v>
          </cell>
        </row>
        <row r="1030">
          <cell r="B1030">
            <v>379997</v>
          </cell>
          <cell r="C1030" t="str">
            <v>სტრეჩი-ნეილონის_50მ_30სმ_8მიკ_PE_ATILIM</v>
          </cell>
          <cell r="D1030" t="str">
            <v>KOLI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O1030">
            <v>0</v>
          </cell>
          <cell r="AP1030">
            <v>0</v>
          </cell>
          <cell r="AS1030">
            <v>0</v>
          </cell>
          <cell r="AT1030">
            <v>0</v>
          </cell>
          <cell r="AU1030">
            <v>10</v>
          </cell>
          <cell r="AV1030">
            <v>29.5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O1030">
            <v>0</v>
          </cell>
          <cell r="CP1030">
            <v>0</v>
          </cell>
          <cell r="CQ1030">
            <v>0</v>
          </cell>
          <cell r="CR1030">
            <v>0</v>
          </cell>
          <cell r="CS1030">
            <v>0</v>
          </cell>
          <cell r="CT1030">
            <v>0</v>
          </cell>
          <cell r="CU1030">
            <v>10</v>
          </cell>
          <cell r="CV1030">
            <v>29.5</v>
          </cell>
          <cell r="CW1030">
            <v>0</v>
          </cell>
          <cell r="CX1030">
            <v>0</v>
          </cell>
          <cell r="CY1030">
            <v>0</v>
          </cell>
          <cell r="CZ1030">
            <v>0</v>
          </cell>
          <cell r="DA1030">
            <v>0</v>
          </cell>
          <cell r="DB1030">
            <v>0</v>
          </cell>
          <cell r="DC1030">
            <v>0</v>
          </cell>
          <cell r="DD1030">
            <v>0</v>
          </cell>
          <cell r="DE1030">
            <v>0</v>
          </cell>
          <cell r="DF1030">
            <v>0</v>
          </cell>
          <cell r="DG1030">
            <v>0</v>
          </cell>
          <cell r="DH1030">
            <v>0</v>
          </cell>
          <cell r="DI1030">
            <v>0</v>
          </cell>
          <cell r="DJ1030">
            <v>0</v>
          </cell>
          <cell r="DK1030">
            <v>0</v>
          </cell>
          <cell r="DL1030">
            <v>0</v>
          </cell>
          <cell r="DM1030">
            <v>0</v>
          </cell>
          <cell r="DN1030">
            <v>0</v>
          </cell>
          <cell r="DO1030">
            <v>0</v>
          </cell>
          <cell r="DP1030">
            <v>0</v>
          </cell>
          <cell r="DQ1030">
            <v>10</v>
          </cell>
          <cell r="DR1030">
            <v>29.5</v>
          </cell>
          <cell r="DS1030">
            <v>0</v>
          </cell>
          <cell r="DT1030">
            <v>0</v>
          </cell>
          <cell r="DU1030">
            <v>10</v>
          </cell>
          <cell r="DV1030">
            <v>29.5</v>
          </cell>
          <cell r="DW1030">
            <v>10</v>
          </cell>
          <cell r="DX1030">
            <v>29.5</v>
          </cell>
          <cell r="DY1030" t="str">
            <v/>
          </cell>
          <cell r="DZ1030">
            <v>0</v>
          </cell>
          <cell r="EA1030">
            <v>2.95</v>
          </cell>
        </row>
        <row r="1031">
          <cell r="B1031">
            <v>379998</v>
          </cell>
          <cell r="C1031" t="str">
            <v>სტრეჩი-ნეილონის_300მ_30სმ_8მიკ_PE_ATILIM</v>
          </cell>
          <cell r="D1031" t="str">
            <v>KOLI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O1031">
            <v>0</v>
          </cell>
          <cell r="AP1031">
            <v>0</v>
          </cell>
          <cell r="AS1031">
            <v>0</v>
          </cell>
          <cell r="AT1031">
            <v>0</v>
          </cell>
          <cell r="AU1031">
            <v>1</v>
          </cell>
          <cell r="AV1031">
            <v>11.3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0</v>
          </cell>
          <cell r="BJ1031">
            <v>0</v>
          </cell>
          <cell r="BK1031">
            <v>1</v>
          </cell>
          <cell r="BL1031">
            <v>11.3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1</v>
          </cell>
          <cell r="BT1031">
            <v>11.3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1</v>
          </cell>
          <cell r="CL1031">
            <v>11.3</v>
          </cell>
          <cell r="CO1031">
            <v>0</v>
          </cell>
          <cell r="CP1031">
            <v>0</v>
          </cell>
          <cell r="CQ1031">
            <v>0</v>
          </cell>
          <cell r="CR1031">
            <v>0</v>
          </cell>
          <cell r="CS1031">
            <v>0</v>
          </cell>
          <cell r="CT1031">
            <v>0</v>
          </cell>
          <cell r="CU1031">
            <v>0</v>
          </cell>
          <cell r="CV1031">
            <v>0</v>
          </cell>
          <cell r="CW1031">
            <v>0</v>
          </cell>
          <cell r="CX1031">
            <v>0</v>
          </cell>
          <cell r="CY1031">
            <v>0</v>
          </cell>
          <cell r="CZ1031">
            <v>0</v>
          </cell>
          <cell r="DA1031">
            <v>0</v>
          </cell>
          <cell r="DB1031">
            <v>0</v>
          </cell>
          <cell r="DC1031">
            <v>0</v>
          </cell>
          <cell r="DD1031">
            <v>0</v>
          </cell>
          <cell r="DE1031">
            <v>0</v>
          </cell>
          <cell r="DF1031">
            <v>0</v>
          </cell>
          <cell r="DG1031">
            <v>0</v>
          </cell>
          <cell r="DH1031">
            <v>0</v>
          </cell>
          <cell r="DI1031">
            <v>0</v>
          </cell>
          <cell r="DJ1031">
            <v>0</v>
          </cell>
          <cell r="DK1031">
            <v>0</v>
          </cell>
          <cell r="DL1031">
            <v>0</v>
          </cell>
          <cell r="DM1031">
            <v>0</v>
          </cell>
          <cell r="DN1031">
            <v>0</v>
          </cell>
          <cell r="DO1031">
            <v>0</v>
          </cell>
          <cell r="DP1031">
            <v>0</v>
          </cell>
          <cell r="DQ1031">
            <v>0</v>
          </cell>
          <cell r="DR1031">
            <v>0</v>
          </cell>
          <cell r="DS1031">
            <v>0</v>
          </cell>
          <cell r="DT1031">
            <v>0</v>
          </cell>
          <cell r="DU1031">
            <v>0</v>
          </cell>
          <cell r="DV1031">
            <v>0</v>
          </cell>
          <cell r="DW1031">
            <v>1</v>
          </cell>
          <cell r="DX1031">
            <v>11.3</v>
          </cell>
          <cell r="DY1031" t="str">
            <v/>
          </cell>
          <cell r="DZ1031">
            <v>0</v>
          </cell>
          <cell r="EA1031">
            <v>11.3</v>
          </cell>
        </row>
        <row r="1032">
          <cell r="B1032">
            <v>380000</v>
          </cell>
          <cell r="C1032" t="str">
            <v>სტრეჩი-ნეილონის_1500მ_45სმ_8მიკ_PE_ATILIM</v>
          </cell>
          <cell r="D1032" t="str">
            <v>KOLI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O1032">
            <v>0</v>
          </cell>
          <cell r="AP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O1032">
            <v>0</v>
          </cell>
          <cell r="CP1032">
            <v>0</v>
          </cell>
          <cell r="CQ1032">
            <v>0</v>
          </cell>
          <cell r="CR1032">
            <v>0</v>
          </cell>
          <cell r="CS1032">
            <v>0</v>
          </cell>
          <cell r="CT1032">
            <v>0</v>
          </cell>
          <cell r="CU1032">
            <v>0</v>
          </cell>
          <cell r="CV1032">
            <v>0</v>
          </cell>
          <cell r="CW1032">
            <v>0</v>
          </cell>
          <cell r="CX1032">
            <v>0</v>
          </cell>
          <cell r="CY1032">
            <v>0</v>
          </cell>
          <cell r="CZ1032">
            <v>0</v>
          </cell>
          <cell r="DA1032">
            <v>0</v>
          </cell>
          <cell r="DB1032">
            <v>0</v>
          </cell>
          <cell r="DC1032">
            <v>0</v>
          </cell>
          <cell r="DD1032">
            <v>0</v>
          </cell>
          <cell r="DE1032">
            <v>0</v>
          </cell>
          <cell r="DF1032">
            <v>0</v>
          </cell>
          <cell r="DG1032">
            <v>0</v>
          </cell>
          <cell r="DH1032">
            <v>0</v>
          </cell>
          <cell r="DI1032">
            <v>0</v>
          </cell>
          <cell r="DJ1032">
            <v>0</v>
          </cell>
          <cell r="DK1032">
            <v>0</v>
          </cell>
          <cell r="DL1032">
            <v>0</v>
          </cell>
          <cell r="DM1032">
            <v>0</v>
          </cell>
          <cell r="DN1032">
            <v>0</v>
          </cell>
          <cell r="DO1032">
            <v>0</v>
          </cell>
          <cell r="DP1032">
            <v>0</v>
          </cell>
          <cell r="DQ1032">
            <v>0</v>
          </cell>
          <cell r="DR1032">
            <v>0</v>
          </cell>
          <cell r="DS1032">
            <v>0</v>
          </cell>
          <cell r="DT1032">
            <v>0</v>
          </cell>
          <cell r="DU1032">
            <v>0</v>
          </cell>
          <cell r="DV1032">
            <v>0</v>
          </cell>
          <cell r="DW1032">
            <v>0</v>
          </cell>
          <cell r="DX1032">
            <v>0</v>
          </cell>
          <cell r="DY1032" t="str">
            <v/>
          </cell>
          <cell r="DZ1032" t="str">
            <v>pasiv</v>
          </cell>
          <cell r="EA1032" t="e">
            <v>#DIV/0!</v>
          </cell>
        </row>
        <row r="1033">
          <cell r="B1033">
            <v>380002</v>
          </cell>
          <cell r="C1033" t="str">
            <v>სტრეჩი-ნეილონის_1500მ_40სმ_9მიკ_PE_ATILIM</v>
          </cell>
          <cell r="D1033" t="str">
            <v>KOLI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</v>
          </cell>
          <cell r="AK1033">
            <v>0</v>
          </cell>
          <cell r="AL1033">
            <v>0</v>
          </cell>
          <cell r="AO1033">
            <v>0</v>
          </cell>
          <cell r="AP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O1033">
            <v>0</v>
          </cell>
          <cell r="CP1033">
            <v>0</v>
          </cell>
          <cell r="CQ1033">
            <v>0</v>
          </cell>
          <cell r="CR1033">
            <v>0</v>
          </cell>
          <cell r="CS1033">
            <v>0</v>
          </cell>
          <cell r="CT1033">
            <v>0</v>
          </cell>
          <cell r="CU1033">
            <v>0</v>
          </cell>
          <cell r="CV1033">
            <v>0</v>
          </cell>
          <cell r="CW1033">
            <v>0</v>
          </cell>
          <cell r="CX1033">
            <v>0</v>
          </cell>
          <cell r="CY1033">
            <v>0</v>
          </cell>
          <cell r="CZ1033">
            <v>0</v>
          </cell>
          <cell r="DA1033">
            <v>0</v>
          </cell>
          <cell r="DB1033">
            <v>0</v>
          </cell>
          <cell r="DC1033">
            <v>0</v>
          </cell>
          <cell r="DD1033">
            <v>0</v>
          </cell>
          <cell r="DE1033">
            <v>0</v>
          </cell>
          <cell r="DF1033">
            <v>0</v>
          </cell>
          <cell r="DG1033">
            <v>0</v>
          </cell>
          <cell r="DH1033">
            <v>0</v>
          </cell>
          <cell r="DI1033">
            <v>0</v>
          </cell>
          <cell r="DJ1033">
            <v>0</v>
          </cell>
          <cell r="DK1033">
            <v>0</v>
          </cell>
          <cell r="DL1033">
            <v>0</v>
          </cell>
          <cell r="DM1033">
            <v>0</v>
          </cell>
          <cell r="DN1033">
            <v>0</v>
          </cell>
          <cell r="DO1033">
            <v>0</v>
          </cell>
          <cell r="DP1033">
            <v>0</v>
          </cell>
          <cell r="DQ1033">
            <v>0</v>
          </cell>
          <cell r="DR1033">
            <v>0</v>
          </cell>
          <cell r="DS1033">
            <v>0</v>
          </cell>
          <cell r="DT1033">
            <v>0</v>
          </cell>
          <cell r="DU1033">
            <v>0</v>
          </cell>
          <cell r="DV1033">
            <v>0</v>
          </cell>
          <cell r="DW1033">
            <v>0</v>
          </cell>
          <cell r="DX1033">
            <v>0</v>
          </cell>
          <cell r="DY1033" t="str">
            <v/>
          </cell>
          <cell r="DZ1033" t="str">
            <v>pasiv</v>
          </cell>
          <cell r="EA1033" t="e">
            <v>#DIV/0!</v>
          </cell>
        </row>
        <row r="1034">
          <cell r="A1034">
            <v>42</v>
          </cell>
          <cell r="C1034" t="str">
            <v>URETIM URUNLER</v>
          </cell>
          <cell r="D1034" t="str">
            <v>KOLI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5</v>
          </cell>
          <cell r="T1034">
            <v>84.5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5</v>
          </cell>
          <cell r="Z1034">
            <v>84.5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45</v>
          </cell>
          <cell r="AV1034">
            <v>715.67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>
            <v>0</v>
          </cell>
          <cell r="BJ1034">
            <v>0</v>
          </cell>
          <cell r="BK1034">
            <v>1</v>
          </cell>
          <cell r="BL1034">
            <v>11.3</v>
          </cell>
          <cell r="BM1034">
            <v>10</v>
          </cell>
          <cell r="BN1034">
            <v>29.5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11</v>
          </cell>
          <cell r="BT1034">
            <v>40.799999999999997</v>
          </cell>
          <cell r="BU1034">
            <v>0</v>
          </cell>
          <cell r="BV1034">
            <v>0</v>
          </cell>
          <cell r="BW1034">
            <v>10</v>
          </cell>
          <cell r="BX1034">
            <v>74.75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10</v>
          </cell>
          <cell r="CJ1034">
            <v>74.75</v>
          </cell>
          <cell r="CK1034">
            <v>21</v>
          </cell>
          <cell r="CL1034">
            <v>115.55</v>
          </cell>
          <cell r="CM1034">
            <v>0</v>
          </cell>
          <cell r="CN1034">
            <v>0</v>
          </cell>
          <cell r="CO1034">
            <v>0</v>
          </cell>
          <cell r="CP1034">
            <v>0</v>
          </cell>
          <cell r="CQ1034">
            <v>0</v>
          </cell>
          <cell r="CR1034">
            <v>0</v>
          </cell>
          <cell r="CS1034">
            <v>0</v>
          </cell>
          <cell r="CT1034">
            <v>0</v>
          </cell>
          <cell r="CU1034">
            <v>11</v>
          </cell>
          <cell r="CV1034">
            <v>110.5</v>
          </cell>
          <cell r="CW1034">
            <v>0</v>
          </cell>
          <cell r="CX1034">
            <v>0</v>
          </cell>
          <cell r="CY1034">
            <v>4</v>
          </cell>
          <cell r="CZ1034">
            <v>81.12</v>
          </cell>
          <cell r="DA1034">
            <v>0</v>
          </cell>
          <cell r="DB1034">
            <v>0</v>
          </cell>
          <cell r="DC1034">
            <v>0</v>
          </cell>
          <cell r="DD1034">
            <v>0</v>
          </cell>
          <cell r="DE1034">
            <v>4</v>
          </cell>
          <cell r="DF1034">
            <v>81.12</v>
          </cell>
          <cell r="DG1034">
            <v>4</v>
          </cell>
          <cell r="DH1034">
            <v>324</v>
          </cell>
          <cell r="DI1034">
            <v>0</v>
          </cell>
          <cell r="DJ1034">
            <v>0</v>
          </cell>
          <cell r="DK1034">
            <v>0</v>
          </cell>
          <cell r="DL1034">
            <v>0</v>
          </cell>
          <cell r="DM1034">
            <v>4</v>
          </cell>
          <cell r="DN1034">
            <v>324</v>
          </cell>
          <cell r="DO1034">
            <v>0</v>
          </cell>
          <cell r="DP1034">
            <v>0</v>
          </cell>
          <cell r="DQ1034">
            <v>10</v>
          </cell>
          <cell r="DR1034">
            <v>29.5</v>
          </cell>
          <cell r="DS1034">
            <v>1</v>
          </cell>
          <cell r="DT1034">
            <v>81</v>
          </cell>
          <cell r="DU1034">
            <v>11</v>
          </cell>
          <cell r="DV1034">
            <v>110.5</v>
          </cell>
          <cell r="DW1034">
            <v>45</v>
          </cell>
          <cell r="DX1034">
            <v>715.67</v>
          </cell>
          <cell r="DY1034" t="str">
            <v>Hedef</v>
          </cell>
          <cell r="DZ1034">
            <v>0</v>
          </cell>
          <cell r="EA1034">
            <v>15.903777777777776</v>
          </cell>
        </row>
        <row r="1035">
          <cell r="B1035">
            <v>366020</v>
          </cell>
          <cell r="C1035" t="str">
            <v>საფუარი-BAKERS BONUS-25კგ-ფხვიერი</v>
          </cell>
          <cell r="D1035" t="str">
            <v>TON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O1035">
            <v>0</v>
          </cell>
          <cell r="CP1035">
            <v>0</v>
          </cell>
          <cell r="CQ1035">
            <v>0</v>
          </cell>
          <cell r="CR1035">
            <v>0</v>
          </cell>
          <cell r="CS1035">
            <v>0</v>
          </cell>
          <cell r="CT1035">
            <v>0</v>
          </cell>
          <cell r="CU1035">
            <v>0</v>
          </cell>
          <cell r="CV1035">
            <v>0</v>
          </cell>
          <cell r="CW1035">
            <v>0</v>
          </cell>
          <cell r="CX1035">
            <v>0</v>
          </cell>
          <cell r="CY1035">
            <v>0</v>
          </cell>
          <cell r="CZ1035">
            <v>0</v>
          </cell>
          <cell r="DA1035">
            <v>0</v>
          </cell>
          <cell r="DB1035">
            <v>0</v>
          </cell>
          <cell r="DC1035">
            <v>0</v>
          </cell>
          <cell r="DD1035">
            <v>0</v>
          </cell>
          <cell r="DE1035">
            <v>0</v>
          </cell>
          <cell r="DF1035">
            <v>0</v>
          </cell>
          <cell r="DG1035">
            <v>0</v>
          </cell>
          <cell r="DH1035">
            <v>0</v>
          </cell>
          <cell r="DI1035">
            <v>0</v>
          </cell>
          <cell r="DJ1035">
            <v>0</v>
          </cell>
          <cell r="DK1035">
            <v>0</v>
          </cell>
          <cell r="DL1035">
            <v>0</v>
          </cell>
          <cell r="DM1035">
            <v>0</v>
          </cell>
          <cell r="DN1035">
            <v>0</v>
          </cell>
          <cell r="DO1035">
            <v>0</v>
          </cell>
          <cell r="DP1035">
            <v>0</v>
          </cell>
          <cell r="DQ1035">
            <v>0</v>
          </cell>
          <cell r="DR1035">
            <v>0</v>
          </cell>
          <cell r="DS1035">
            <v>0</v>
          </cell>
          <cell r="DT1035">
            <v>0</v>
          </cell>
          <cell r="DU1035">
            <v>0</v>
          </cell>
          <cell r="DV1035">
            <v>0</v>
          </cell>
          <cell r="DW1035">
            <v>0</v>
          </cell>
          <cell r="DX1035">
            <v>0</v>
          </cell>
          <cell r="DY1035" t="str">
            <v/>
          </cell>
          <cell r="DZ1035" t="str">
            <v>pasiv</v>
          </cell>
          <cell r="EA1035" t="e">
            <v>#DIV/0!</v>
          </cell>
        </row>
        <row r="1036">
          <cell r="B1036">
            <v>353961</v>
          </cell>
          <cell r="C1036" t="str">
            <v>საფუარი-ოზმაია-500გ*20-ფხვიერი</v>
          </cell>
          <cell r="D1036" t="str">
            <v>TON</v>
          </cell>
          <cell r="E1036">
            <v>0</v>
          </cell>
          <cell r="F1036">
            <v>0</v>
          </cell>
          <cell r="G1036">
            <v>5.0000000000000001E-3</v>
          </cell>
          <cell r="H1036">
            <v>54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O1036">
            <v>5.0000000000000001E-3</v>
          </cell>
          <cell r="P1036">
            <v>54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5.2499999999999998E-2</v>
          </cell>
          <cell r="AV1036">
            <v>567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2.5000000000000001E-3</v>
          </cell>
          <cell r="BD1036">
            <v>27</v>
          </cell>
          <cell r="BE1036">
            <v>2.5000000000000001E-3</v>
          </cell>
          <cell r="BF1036">
            <v>27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2.5000000000000001E-3</v>
          </cell>
          <cell r="BL1036">
            <v>27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2.5000000000000001E-3</v>
          </cell>
          <cell r="BT1036">
            <v>27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2.5000000000000001E-3</v>
          </cell>
          <cell r="CL1036">
            <v>27</v>
          </cell>
          <cell r="CO1036">
            <v>0</v>
          </cell>
          <cell r="CP1036">
            <v>0</v>
          </cell>
          <cell r="CQ1036">
            <v>0</v>
          </cell>
          <cell r="CR1036">
            <v>0</v>
          </cell>
          <cell r="CS1036">
            <v>0</v>
          </cell>
          <cell r="CT1036">
            <v>0</v>
          </cell>
          <cell r="CU1036">
            <v>0</v>
          </cell>
          <cell r="CV1036">
            <v>0</v>
          </cell>
          <cell r="CW1036">
            <v>0</v>
          </cell>
          <cell r="CX1036">
            <v>0</v>
          </cell>
          <cell r="CY1036">
            <v>0</v>
          </cell>
          <cell r="CZ1036">
            <v>0</v>
          </cell>
          <cell r="DA1036">
            <v>0</v>
          </cell>
          <cell r="DB1036">
            <v>0</v>
          </cell>
          <cell r="DC1036">
            <v>0</v>
          </cell>
          <cell r="DD1036">
            <v>0</v>
          </cell>
          <cell r="DE1036">
            <v>0</v>
          </cell>
          <cell r="DF1036">
            <v>0</v>
          </cell>
          <cell r="DG1036">
            <v>2.2499999999999999E-2</v>
          </cell>
          <cell r="DH1036">
            <v>243</v>
          </cell>
          <cell r="DI1036">
            <v>0.02</v>
          </cell>
          <cell r="DJ1036">
            <v>216</v>
          </cell>
          <cell r="DK1036">
            <v>0</v>
          </cell>
          <cell r="DL1036">
            <v>0</v>
          </cell>
          <cell r="DM1036">
            <v>4.2500000000000003E-2</v>
          </cell>
          <cell r="DN1036">
            <v>459</v>
          </cell>
          <cell r="DO1036">
            <v>0</v>
          </cell>
          <cell r="DP1036">
            <v>0</v>
          </cell>
          <cell r="DQ1036">
            <v>0</v>
          </cell>
          <cell r="DR1036">
            <v>0</v>
          </cell>
          <cell r="DS1036">
            <v>0</v>
          </cell>
          <cell r="DT1036">
            <v>0</v>
          </cell>
          <cell r="DU1036">
            <v>0</v>
          </cell>
          <cell r="DV1036">
            <v>0</v>
          </cell>
          <cell r="DW1036">
            <v>5.2500000000000005E-2</v>
          </cell>
          <cell r="DX1036">
            <v>567</v>
          </cell>
          <cell r="DY1036" t="str">
            <v/>
          </cell>
          <cell r="DZ1036">
            <v>0</v>
          </cell>
          <cell r="EA1036">
            <v>10799.999999999998</v>
          </cell>
        </row>
        <row r="1037">
          <cell r="B1037">
            <v>374565</v>
          </cell>
          <cell r="C1037" t="str">
            <v>საფუარი იუვა 80გ_37ც+3ც</v>
          </cell>
          <cell r="D1037" t="str">
            <v>TON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  <cell r="AJ1037">
            <v>0</v>
          </cell>
          <cell r="AK1037">
            <v>0</v>
          </cell>
          <cell r="AL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O1037">
            <v>0</v>
          </cell>
          <cell r="CP1037">
            <v>0</v>
          </cell>
          <cell r="CQ1037">
            <v>0</v>
          </cell>
          <cell r="CR1037">
            <v>0</v>
          </cell>
          <cell r="CS1037">
            <v>0</v>
          </cell>
          <cell r="CT1037">
            <v>0</v>
          </cell>
          <cell r="CU1037">
            <v>0</v>
          </cell>
          <cell r="CV1037">
            <v>0</v>
          </cell>
          <cell r="CW1037">
            <v>0</v>
          </cell>
          <cell r="CX1037">
            <v>0</v>
          </cell>
          <cell r="CY1037">
            <v>0</v>
          </cell>
          <cell r="CZ1037">
            <v>0</v>
          </cell>
          <cell r="DA1037">
            <v>0</v>
          </cell>
          <cell r="DB1037">
            <v>0</v>
          </cell>
          <cell r="DC1037">
            <v>0</v>
          </cell>
          <cell r="DD1037">
            <v>0</v>
          </cell>
          <cell r="DE1037">
            <v>0</v>
          </cell>
          <cell r="DF1037">
            <v>0</v>
          </cell>
          <cell r="DG1037">
            <v>0</v>
          </cell>
          <cell r="DH1037">
            <v>0</v>
          </cell>
          <cell r="DI1037">
            <v>0</v>
          </cell>
          <cell r="DJ1037">
            <v>0</v>
          </cell>
          <cell r="DK1037">
            <v>0</v>
          </cell>
          <cell r="DL1037">
            <v>0</v>
          </cell>
          <cell r="DM1037">
            <v>0</v>
          </cell>
          <cell r="DN1037">
            <v>0</v>
          </cell>
          <cell r="DO1037">
            <v>0</v>
          </cell>
          <cell r="DP1037">
            <v>0</v>
          </cell>
          <cell r="DQ1037">
            <v>0</v>
          </cell>
          <cell r="DR1037">
            <v>0</v>
          </cell>
          <cell r="DS1037">
            <v>0</v>
          </cell>
          <cell r="DT1037">
            <v>0</v>
          </cell>
          <cell r="DU1037">
            <v>0</v>
          </cell>
          <cell r="DV1037">
            <v>0</v>
          </cell>
          <cell r="DW1037">
            <v>0</v>
          </cell>
          <cell r="DX1037">
            <v>0</v>
          </cell>
          <cell r="DY1037" t="str">
            <v/>
          </cell>
          <cell r="DZ1037" t="str">
            <v>pasiv</v>
          </cell>
          <cell r="EA1037" t="e">
            <v>#DIV/0!</v>
          </cell>
        </row>
        <row r="1038">
          <cell r="B1038">
            <v>374566</v>
          </cell>
          <cell r="C1038" t="str">
            <v>საფუარი-იუვა-60გ_37ც+3ც</v>
          </cell>
          <cell r="D1038" t="str">
            <v>TON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0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O1038">
            <v>0</v>
          </cell>
          <cell r="CP1038">
            <v>0</v>
          </cell>
          <cell r="CQ1038">
            <v>0</v>
          </cell>
          <cell r="CR1038">
            <v>0</v>
          </cell>
          <cell r="CS1038">
            <v>0</v>
          </cell>
          <cell r="CT1038">
            <v>0</v>
          </cell>
          <cell r="CU1038">
            <v>0</v>
          </cell>
          <cell r="CV1038">
            <v>0</v>
          </cell>
          <cell r="CW1038">
            <v>0</v>
          </cell>
          <cell r="CX1038">
            <v>0</v>
          </cell>
          <cell r="CY1038">
            <v>0</v>
          </cell>
          <cell r="CZ1038">
            <v>0</v>
          </cell>
          <cell r="DA1038">
            <v>0</v>
          </cell>
          <cell r="DB1038">
            <v>0</v>
          </cell>
          <cell r="DC1038">
            <v>0</v>
          </cell>
          <cell r="DD1038">
            <v>0</v>
          </cell>
          <cell r="DE1038">
            <v>0</v>
          </cell>
          <cell r="DF1038">
            <v>0</v>
          </cell>
          <cell r="DG1038">
            <v>0</v>
          </cell>
          <cell r="DH1038">
            <v>0</v>
          </cell>
          <cell r="DI1038">
            <v>0</v>
          </cell>
          <cell r="DJ1038">
            <v>0</v>
          </cell>
          <cell r="DK1038">
            <v>0</v>
          </cell>
          <cell r="DL1038">
            <v>0</v>
          </cell>
          <cell r="DM1038">
            <v>0</v>
          </cell>
          <cell r="DN1038">
            <v>0</v>
          </cell>
          <cell r="DO1038">
            <v>0</v>
          </cell>
          <cell r="DP1038">
            <v>0</v>
          </cell>
          <cell r="DQ1038">
            <v>0</v>
          </cell>
          <cell r="DR1038">
            <v>0</v>
          </cell>
          <cell r="DS1038">
            <v>0</v>
          </cell>
          <cell r="DT1038">
            <v>0</v>
          </cell>
          <cell r="DU1038">
            <v>0</v>
          </cell>
          <cell r="DV1038">
            <v>0</v>
          </cell>
          <cell r="DW1038">
            <v>0</v>
          </cell>
          <cell r="DX1038">
            <v>0</v>
          </cell>
          <cell r="DY1038" t="str">
            <v/>
          </cell>
          <cell r="DZ1038" t="str">
            <v>pasiv</v>
          </cell>
          <cell r="EA1038" t="e">
            <v>#DIV/0!</v>
          </cell>
        </row>
        <row r="1039">
          <cell r="B1039">
            <v>376930</v>
          </cell>
          <cell r="C1039" t="str">
            <v>საფუარი(ფორმულა)_ES8190T_20კგ</v>
          </cell>
          <cell r="D1039" t="str">
            <v>TON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O1039">
            <v>0</v>
          </cell>
          <cell r="CP1039">
            <v>0</v>
          </cell>
          <cell r="CQ1039">
            <v>0</v>
          </cell>
          <cell r="CR1039">
            <v>0</v>
          </cell>
          <cell r="CS1039">
            <v>0</v>
          </cell>
          <cell r="CT1039">
            <v>0</v>
          </cell>
          <cell r="CU1039">
            <v>0</v>
          </cell>
          <cell r="CV1039">
            <v>0</v>
          </cell>
          <cell r="CW1039">
            <v>0</v>
          </cell>
          <cell r="CX1039">
            <v>0</v>
          </cell>
          <cell r="CY1039">
            <v>0</v>
          </cell>
          <cell r="CZ1039">
            <v>0</v>
          </cell>
          <cell r="DA1039">
            <v>0</v>
          </cell>
          <cell r="DB1039">
            <v>0</v>
          </cell>
          <cell r="DC1039">
            <v>0</v>
          </cell>
          <cell r="DD1039">
            <v>0</v>
          </cell>
          <cell r="DE1039">
            <v>0</v>
          </cell>
          <cell r="DF1039">
            <v>0</v>
          </cell>
          <cell r="DG1039">
            <v>0</v>
          </cell>
          <cell r="DH1039">
            <v>0</v>
          </cell>
          <cell r="DI1039">
            <v>0</v>
          </cell>
          <cell r="DJ1039">
            <v>0</v>
          </cell>
          <cell r="DK1039">
            <v>0</v>
          </cell>
          <cell r="DL1039">
            <v>0</v>
          </cell>
          <cell r="DM1039">
            <v>0</v>
          </cell>
          <cell r="DN1039">
            <v>0</v>
          </cell>
          <cell r="DO1039">
            <v>0</v>
          </cell>
          <cell r="DP1039">
            <v>0</v>
          </cell>
          <cell r="DQ1039">
            <v>0</v>
          </cell>
          <cell r="DR1039">
            <v>0</v>
          </cell>
          <cell r="DS1039">
            <v>0</v>
          </cell>
          <cell r="DT1039">
            <v>0</v>
          </cell>
          <cell r="DU1039">
            <v>0</v>
          </cell>
          <cell r="DV1039">
            <v>0</v>
          </cell>
          <cell r="DW1039">
            <v>0</v>
          </cell>
          <cell r="DX1039">
            <v>0</v>
          </cell>
          <cell r="DY1039" t="str">
            <v/>
          </cell>
          <cell r="DZ1039" t="str">
            <v>pasiv</v>
          </cell>
          <cell r="EA1039" t="e">
            <v>#DIV/0!</v>
          </cell>
        </row>
        <row r="1040">
          <cell r="B1040">
            <v>376931</v>
          </cell>
          <cell r="C1040" t="str">
            <v>საფუარი(ფორმულა)_ES8205E_21კგ</v>
          </cell>
          <cell r="D1040" t="str">
            <v>TON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  <cell r="AL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0</v>
          </cell>
          <cell r="CK1040">
            <v>0</v>
          </cell>
          <cell r="CL1040">
            <v>0</v>
          </cell>
          <cell r="CO1040">
            <v>0</v>
          </cell>
          <cell r="CP1040">
            <v>0</v>
          </cell>
          <cell r="CQ1040">
            <v>0</v>
          </cell>
          <cell r="CR1040">
            <v>0</v>
          </cell>
          <cell r="CS1040">
            <v>0</v>
          </cell>
          <cell r="CT1040">
            <v>0</v>
          </cell>
          <cell r="CU1040">
            <v>0</v>
          </cell>
          <cell r="CV1040">
            <v>0</v>
          </cell>
          <cell r="CW1040">
            <v>0</v>
          </cell>
          <cell r="CX1040">
            <v>0</v>
          </cell>
          <cell r="CY1040">
            <v>0</v>
          </cell>
          <cell r="CZ1040">
            <v>0</v>
          </cell>
          <cell r="DA1040">
            <v>0</v>
          </cell>
          <cell r="DB1040">
            <v>0</v>
          </cell>
          <cell r="DC1040">
            <v>0</v>
          </cell>
          <cell r="DD1040">
            <v>0</v>
          </cell>
          <cell r="DE1040">
            <v>0</v>
          </cell>
          <cell r="DF1040">
            <v>0</v>
          </cell>
          <cell r="DG1040">
            <v>0</v>
          </cell>
          <cell r="DH1040">
            <v>0</v>
          </cell>
          <cell r="DI1040">
            <v>0</v>
          </cell>
          <cell r="DJ1040">
            <v>0</v>
          </cell>
          <cell r="DK1040">
            <v>0</v>
          </cell>
          <cell r="DL1040">
            <v>0</v>
          </cell>
          <cell r="DM1040">
            <v>0</v>
          </cell>
          <cell r="DN1040">
            <v>0</v>
          </cell>
          <cell r="DO1040">
            <v>0</v>
          </cell>
          <cell r="DP1040">
            <v>0</v>
          </cell>
          <cell r="DQ1040">
            <v>0</v>
          </cell>
          <cell r="DR1040">
            <v>0</v>
          </cell>
          <cell r="DS1040">
            <v>0</v>
          </cell>
          <cell r="DT1040">
            <v>0</v>
          </cell>
          <cell r="DU1040">
            <v>0</v>
          </cell>
          <cell r="DV1040">
            <v>0</v>
          </cell>
          <cell r="DW1040">
            <v>0</v>
          </cell>
          <cell r="DX1040">
            <v>0</v>
          </cell>
          <cell r="DY1040" t="str">
            <v/>
          </cell>
          <cell r="DZ1040" t="str">
            <v>pasiv</v>
          </cell>
          <cell r="EA1040" t="e">
            <v>#DIV/0!</v>
          </cell>
        </row>
        <row r="1041">
          <cell r="B1041">
            <v>366281</v>
          </cell>
          <cell r="C1041" t="str">
            <v>საფუარი-იუვა-60გ-ფხვიერი_39ც+1ც</v>
          </cell>
          <cell r="D1041" t="str">
            <v>TON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O1041">
            <v>0</v>
          </cell>
          <cell r="CP1041">
            <v>0</v>
          </cell>
          <cell r="CQ1041">
            <v>0</v>
          </cell>
          <cell r="CR1041">
            <v>0</v>
          </cell>
          <cell r="CS1041">
            <v>0</v>
          </cell>
          <cell r="CT1041">
            <v>0</v>
          </cell>
          <cell r="CU1041">
            <v>0</v>
          </cell>
          <cell r="CV1041">
            <v>0</v>
          </cell>
          <cell r="CW1041">
            <v>0</v>
          </cell>
          <cell r="CX1041">
            <v>0</v>
          </cell>
          <cell r="CY1041">
            <v>0</v>
          </cell>
          <cell r="CZ1041">
            <v>0</v>
          </cell>
          <cell r="DA1041">
            <v>0</v>
          </cell>
          <cell r="DB1041">
            <v>0</v>
          </cell>
          <cell r="DC1041">
            <v>0</v>
          </cell>
          <cell r="DD1041">
            <v>0</v>
          </cell>
          <cell r="DE1041">
            <v>0</v>
          </cell>
          <cell r="DF1041">
            <v>0</v>
          </cell>
          <cell r="DG1041">
            <v>0</v>
          </cell>
          <cell r="DH1041">
            <v>0</v>
          </cell>
          <cell r="DI1041">
            <v>0</v>
          </cell>
          <cell r="DJ1041">
            <v>0</v>
          </cell>
          <cell r="DK1041">
            <v>0</v>
          </cell>
          <cell r="DL1041">
            <v>0</v>
          </cell>
          <cell r="DM1041">
            <v>0</v>
          </cell>
          <cell r="DN1041">
            <v>0</v>
          </cell>
          <cell r="DO1041">
            <v>0</v>
          </cell>
          <cell r="DP1041">
            <v>0</v>
          </cell>
          <cell r="DQ1041">
            <v>0</v>
          </cell>
          <cell r="DR1041">
            <v>0</v>
          </cell>
          <cell r="DS1041">
            <v>0</v>
          </cell>
          <cell r="DT1041">
            <v>0</v>
          </cell>
          <cell r="DU1041">
            <v>0</v>
          </cell>
          <cell r="DV1041">
            <v>0</v>
          </cell>
          <cell r="DW1041">
            <v>0</v>
          </cell>
          <cell r="DX1041">
            <v>0</v>
          </cell>
          <cell r="DY1041" t="str">
            <v/>
          </cell>
          <cell r="DZ1041" t="str">
            <v>pasiv</v>
          </cell>
          <cell r="EA1041" t="e">
            <v>#DIV/0!</v>
          </cell>
        </row>
        <row r="1042">
          <cell r="B1042">
            <v>365303</v>
          </cell>
          <cell r="C1042" t="str">
            <v>საფუარი-იუვა-60გ*40-ფხვიერი</v>
          </cell>
          <cell r="D1042" t="str">
            <v>TON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5.94E-3</v>
          </cell>
          <cell r="AV1042">
            <v>122.76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-6.0000000000000002E-5</v>
          </cell>
          <cell r="BL1042">
            <v>-1.24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-6.0000000000000002E-5</v>
          </cell>
          <cell r="BT1042">
            <v>-1.24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-6.0000000000000002E-5</v>
          </cell>
          <cell r="CL1042">
            <v>-1.24</v>
          </cell>
          <cell r="CO1042">
            <v>0</v>
          </cell>
          <cell r="CP1042">
            <v>0</v>
          </cell>
          <cell r="CQ1042">
            <v>0</v>
          </cell>
          <cell r="CR1042">
            <v>0</v>
          </cell>
          <cell r="CS1042">
            <v>0</v>
          </cell>
          <cell r="CT1042">
            <v>0</v>
          </cell>
          <cell r="CU1042">
            <v>6.0000000000000001E-3</v>
          </cell>
          <cell r="CV1042">
            <v>124</v>
          </cell>
          <cell r="CW1042">
            <v>0</v>
          </cell>
          <cell r="CX1042">
            <v>0</v>
          </cell>
          <cell r="CY1042">
            <v>0</v>
          </cell>
          <cell r="CZ1042">
            <v>0</v>
          </cell>
          <cell r="DA1042">
            <v>0</v>
          </cell>
          <cell r="DB1042">
            <v>0</v>
          </cell>
          <cell r="DC1042">
            <v>0</v>
          </cell>
          <cell r="DD1042">
            <v>0</v>
          </cell>
          <cell r="DE1042">
            <v>0</v>
          </cell>
          <cell r="DF1042">
            <v>0</v>
          </cell>
          <cell r="DG1042">
            <v>0</v>
          </cell>
          <cell r="DH1042">
            <v>0</v>
          </cell>
          <cell r="DI1042">
            <v>0</v>
          </cell>
          <cell r="DJ1042">
            <v>0</v>
          </cell>
          <cell r="DK1042">
            <v>0</v>
          </cell>
          <cell r="DL1042">
            <v>0</v>
          </cell>
          <cell r="DM1042">
            <v>0</v>
          </cell>
          <cell r="DN1042">
            <v>0</v>
          </cell>
          <cell r="DO1042">
            <v>0</v>
          </cell>
          <cell r="DP1042">
            <v>0</v>
          </cell>
          <cell r="DQ1042">
            <v>3.5999999999999999E-3</v>
          </cell>
          <cell r="DR1042">
            <v>74.400000000000006</v>
          </cell>
          <cell r="DS1042">
            <v>2.3999999999999998E-3</v>
          </cell>
          <cell r="DT1042">
            <v>49.6</v>
          </cell>
          <cell r="DU1042">
            <v>6.0000000000000001E-3</v>
          </cell>
          <cell r="DV1042">
            <v>124</v>
          </cell>
          <cell r="DW1042">
            <v>5.94E-3</v>
          </cell>
          <cell r="DX1042">
            <v>122.76</v>
          </cell>
          <cell r="DY1042" t="str">
            <v/>
          </cell>
          <cell r="DZ1042">
            <v>0</v>
          </cell>
          <cell r="EA1042">
            <v>20666.666666666668</v>
          </cell>
        </row>
        <row r="1043">
          <cell r="B1043">
            <v>110899</v>
          </cell>
          <cell r="C1043" t="str">
            <v>KURU MAYA_YUVA AKTIF_80GR*40_OZMAYA</v>
          </cell>
          <cell r="D1043" t="str">
            <v>TON</v>
          </cell>
          <cell r="E1043">
            <v>0</v>
          </cell>
          <cell r="F1043">
            <v>0</v>
          </cell>
          <cell r="G1043">
            <v>1.9199999999999998E-2</v>
          </cell>
          <cell r="H1043">
            <v>355.81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O1043">
            <v>1.9199999999999998E-2</v>
          </cell>
          <cell r="P1043">
            <v>355.81</v>
          </cell>
          <cell r="Q1043">
            <v>0</v>
          </cell>
          <cell r="R1043">
            <v>0</v>
          </cell>
          <cell r="S1043">
            <v>1.6E-2</v>
          </cell>
          <cell r="T1043">
            <v>286.08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1.6E-2</v>
          </cell>
          <cell r="Z1043">
            <v>286.08</v>
          </cell>
          <cell r="AA1043">
            <v>0</v>
          </cell>
          <cell r="AB1043">
            <v>0</v>
          </cell>
          <cell r="AC1043">
            <v>6.4000000000000003E-3</v>
          </cell>
          <cell r="AD1043">
            <v>151.59</v>
          </cell>
          <cell r="AE1043">
            <v>0</v>
          </cell>
          <cell r="AF1043">
            <v>0</v>
          </cell>
          <cell r="AG1043">
            <v>8.0000000000000004E-4</v>
          </cell>
          <cell r="AH1043">
            <v>15.6</v>
          </cell>
          <cell r="AI1043">
            <v>1.2880000000000001E-2</v>
          </cell>
          <cell r="AJ1043">
            <v>251.16</v>
          </cell>
          <cell r="AK1043">
            <v>2.9680000000000002E-2</v>
          </cell>
          <cell r="AL1043">
            <v>578.76</v>
          </cell>
          <cell r="AO1043">
            <v>4.9759999999999999E-2</v>
          </cell>
          <cell r="AP1043">
            <v>997.11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0.33751999999999999</v>
          </cell>
          <cell r="AV1043">
            <v>6480.14</v>
          </cell>
          <cell r="AW1043">
            <v>0</v>
          </cell>
          <cell r="AX1043">
            <v>0</v>
          </cell>
          <cell r="AY1043">
            <v>3.2000000000000002E-3</v>
          </cell>
          <cell r="AZ1043">
            <v>62.4</v>
          </cell>
          <cell r="BA1043">
            <v>0</v>
          </cell>
          <cell r="BB1043">
            <v>0</v>
          </cell>
          <cell r="BC1043">
            <v>8.8000000000000005E-3</v>
          </cell>
          <cell r="BD1043">
            <v>162.41999999999999</v>
          </cell>
          <cell r="BE1043">
            <v>1.2E-2</v>
          </cell>
          <cell r="BF1043">
            <v>224.82</v>
          </cell>
          <cell r="BG1043">
            <v>1.7999999999999999E-2</v>
          </cell>
          <cell r="BH1043">
            <v>351</v>
          </cell>
          <cell r="BI1043">
            <v>1.6E-2</v>
          </cell>
          <cell r="BJ1043">
            <v>312</v>
          </cell>
          <cell r="BK1043">
            <v>3.2480000000000002E-2</v>
          </cell>
          <cell r="BL1043">
            <v>619.6</v>
          </cell>
          <cell r="BM1043">
            <v>3.5520000000000003E-2</v>
          </cell>
          <cell r="BN1043">
            <v>653.29999999999995</v>
          </cell>
          <cell r="BO1043">
            <v>1.9439999999999999E-2</v>
          </cell>
          <cell r="BP1043">
            <v>379.08</v>
          </cell>
          <cell r="BQ1043">
            <v>0</v>
          </cell>
          <cell r="BR1043">
            <v>0</v>
          </cell>
          <cell r="BS1043">
            <v>0.12144000000000001</v>
          </cell>
          <cell r="BT1043">
            <v>2314.98</v>
          </cell>
          <cell r="BU1043">
            <v>0</v>
          </cell>
          <cell r="BV1043">
            <v>0</v>
          </cell>
          <cell r="BW1043">
            <v>0</v>
          </cell>
          <cell r="BX1043">
            <v>0</v>
          </cell>
          <cell r="BY1043">
            <v>2.3599999999999999E-2</v>
          </cell>
          <cell r="BZ1043">
            <v>437.76</v>
          </cell>
          <cell r="CA1043">
            <v>1.3599999999999999E-2</v>
          </cell>
          <cell r="CB1043">
            <v>265.2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3.7199999999999997E-2</v>
          </cell>
          <cell r="CJ1043">
            <v>702.96</v>
          </cell>
          <cell r="CK1043">
            <v>0.15864</v>
          </cell>
          <cell r="CL1043">
            <v>3017.94</v>
          </cell>
          <cell r="CO1043">
            <v>0</v>
          </cell>
          <cell r="CP1043">
            <v>0</v>
          </cell>
          <cell r="CQ1043">
            <v>0</v>
          </cell>
          <cell r="CR1043">
            <v>0</v>
          </cell>
          <cell r="CS1043">
            <v>0</v>
          </cell>
          <cell r="CT1043">
            <v>0</v>
          </cell>
          <cell r="CU1043">
            <v>2.9760000000000002E-2</v>
          </cell>
          <cell r="CV1043">
            <v>580.32000000000005</v>
          </cell>
          <cell r="CW1043">
            <v>0</v>
          </cell>
          <cell r="CX1043">
            <v>0</v>
          </cell>
          <cell r="CY1043">
            <v>2.5600000000000001E-2</v>
          </cell>
          <cell r="CZ1043">
            <v>499.2</v>
          </cell>
          <cell r="DA1043">
            <v>9.5999999999999992E-3</v>
          </cell>
          <cell r="DB1043">
            <v>187.2</v>
          </cell>
          <cell r="DC1043">
            <v>1.92E-3</v>
          </cell>
          <cell r="DD1043">
            <v>37.44</v>
          </cell>
          <cell r="DE1043">
            <v>3.712E-2</v>
          </cell>
          <cell r="DF1043">
            <v>723.83999999999992</v>
          </cell>
          <cell r="DG1043">
            <v>5.28E-3</v>
          </cell>
          <cell r="DH1043">
            <v>103.9</v>
          </cell>
          <cell r="DI1043">
            <v>8.3999999999999995E-3</v>
          </cell>
          <cell r="DJ1043">
            <v>163.80000000000001</v>
          </cell>
          <cell r="DK1043">
            <v>1.3600000000000001E-3</v>
          </cell>
          <cell r="DL1043">
            <v>26.52</v>
          </cell>
          <cell r="DM1043">
            <v>1.504E-2</v>
          </cell>
          <cell r="DN1043">
            <v>294.22000000000003</v>
          </cell>
          <cell r="DO1043">
            <v>2.96E-3</v>
          </cell>
          <cell r="DP1043">
            <v>57.72</v>
          </cell>
          <cell r="DQ1043">
            <v>4.7999999999999996E-3</v>
          </cell>
          <cell r="DR1043">
            <v>93.6</v>
          </cell>
          <cell r="DS1043">
            <v>2.1999999999999999E-2</v>
          </cell>
          <cell r="DT1043">
            <v>429</v>
          </cell>
          <cell r="DU1043">
            <v>2.9760000000000002E-2</v>
          </cell>
          <cell r="DV1043">
            <v>580.32000000000005</v>
          </cell>
          <cell r="DW1043">
            <v>0.33752000000000004</v>
          </cell>
          <cell r="DX1043">
            <v>6480.1399999999994</v>
          </cell>
          <cell r="DY1043" t="str">
            <v/>
          </cell>
          <cell r="DZ1043">
            <v>0</v>
          </cell>
          <cell r="EA1043">
            <v>19199.277079876745</v>
          </cell>
        </row>
        <row r="1044">
          <cell r="A1044">
            <v>55</v>
          </cell>
          <cell r="C1044" t="str">
            <v>Kuru MAYA</v>
          </cell>
          <cell r="E1044">
            <v>0</v>
          </cell>
          <cell r="F1044">
            <v>0</v>
          </cell>
          <cell r="G1044">
            <v>2.4199999999999999E-2</v>
          </cell>
          <cell r="H1044">
            <v>409.81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O1044">
            <v>2.4199999999999999E-2</v>
          </cell>
          <cell r="P1044">
            <v>409.81</v>
          </cell>
          <cell r="Q1044">
            <v>0</v>
          </cell>
          <cell r="R1044">
            <v>0</v>
          </cell>
          <cell r="S1044">
            <v>1.6E-2</v>
          </cell>
          <cell r="T1044">
            <v>286.08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1.6E-2</v>
          </cell>
          <cell r="Z1044">
            <v>286.08</v>
          </cell>
          <cell r="AA1044">
            <v>0</v>
          </cell>
          <cell r="AB1044">
            <v>0</v>
          </cell>
          <cell r="AC1044">
            <v>6.4000000000000003E-3</v>
          </cell>
          <cell r="AD1044">
            <v>151.59</v>
          </cell>
          <cell r="AE1044">
            <v>0</v>
          </cell>
          <cell r="AF1044">
            <v>0</v>
          </cell>
          <cell r="AG1044">
            <v>8.0000000000000004E-4</v>
          </cell>
          <cell r="AH1044">
            <v>15.6</v>
          </cell>
          <cell r="AI1044">
            <v>1.2880000000000001E-2</v>
          </cell>
          <cell r="AJ1044">
            <v>251.16</v>
          </cell>
          <cell r="AK1044">
            <v>2.9680000000000002E-2</v>
          </cell>
          <cell r="AL1044">
            <v>578.76</v>
          </cell>
          <cell r="AO1044">
            <v>4.9759999999999999E-2</v>
          </cell>
          <cell r="AP1044">
            <v>997.11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0.39595999999999998</v>
          </cell>
          <cell r="AV1044">
            <v>7169.9000000000005</v>
          </cell>
          <cell r="AW1044">
            <v>0</v>
          </cell>
          <cell r="AX1044">
            <v>0</v>
          </cell>
          <cell r="AY1044">
            <v>3.2000000000000002E-3</v>
          </cell>
          <cell r="AZ1044">
            <v>62.4</v>
          </cell>
          <cell r="BA1044">
            <v>0</v>
          </cell>
          <cell r="BB1044">
            <v>0</v>
          </cell>
          <cell r="BC1044">
            <v>1.1300000000000001E-2</v>
          </cell>
          <cell r="BD1044">
            <v>189.42</v>
          </cell>
          <cell r="BE1044">
            <v>1.4500000000000001E-2</v>
          </cell>
          <cell r="BF1044">
            <v>251.82</v>
          </cell>
          <cell r="BG1044">
            <v>1.7999999999999999E-2</v>
          </cell>
          <cell r="BH1044">
            <v>351</v>
          </cell>
          <cell r="BI1044">
            <v>1.6E-2</v>
          </cell>
          <cell r="BJ1044">
            <v>312</v>
          </cell>
          <cell r="BK1044">
            <v>3.492E-2</v>
          </cell>
          <cell r="BL1044">
            <v>645.36</v>
          </cell>
          <cell r="BM1044">
            <v>3.5520000000000003E-2</v>
          </cell>
          <cell r="BN1044">
            <v>653.29999999999995</v>
          </cell>
          <cell r="BO1044">
            <v>1.9439999999999999E-2</v>
          </cell>
          <cell r="BP1044">
            <v>379.08</v>
          </cell>
          <cell r="BQ1044">
            <v>0</v>
          </cell>
          <cell r="BR1044">
            <v>0</v>
          </cell>
          <cell r="BS1044">
            <v>0.12388</v>
          </cell>
          <cell r="BT1044">
            <v>2340.7400000000002</v>
          </cell>
          <cell r="BU1044">
            <v>0</v>
          </cell>
          <cell r="BV1044">
            <v>0</v>
          </cell>
          <cell r="BW1044">
            <v>0</v>
          </cell>
          <cell r="BX1044">
            <v>0</v>
          </cell>
          <cell r="BY1044">
            <v>2.3599999999999999E-2</v>
          </cell>
          <cell r="BZ1044">
            <v>437.76</v>
          </cell>
          <cell r="CA1044">
            <v>1.3599999999999999E-2</v>
          </cell>
          <cell r="CB1044">
            <v>265.2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3.7199999999999997E-2</v>
          </cell>
          <cell r="CJ1044">
            <v>702.96</v>
          </cell>
          <cell r="CK1044">
            <v>0.16108</v>
          </cell>
          <cell r="CL1044">
            <v>3043.7000000000003</v>
          </cell>
          <cell r="CO1044">
            <v>0</v>
          </cell>
          <cell r="CP1044">
            <v>0</v>
          </cell>
          <cell r="CQ1044">
            <v>0</v>
          </cell>
          <cell r="CR1044">
            <v>0</v>
          </cell>
          <cell r="CS1044">
            <v>0</v>
          </cell>
          <cell r="CT1044">
            <v>0</v>
          </cell>
          <cell r="CU1044">
            <v>3.576E-2</v>
          </cell>
          <cell r="CV1044">
            <v>704.32</v>
          </cell>
          <cell r="CW1044">
            <v>0</v>
          </cell>
          <cell r="CX1044">
            <v>0</v>
          </cell>
          <cell r="CY1044">
            <v>2.5600000000000001E-2</v>
          </cell>
          <cell r="CZ1044">
            <v>499.2</v>
          </cell>
          <cell r="DA1044">
            <v>9.5999999999999992E-3</v>
          </cell>
          <cell r="DB1044">
            <v>187.2</v>
          </cell>
          <cell r="DC1044">
            <v>1.92E-3</v>
          </cell>
          <cell r="DD1044">
            <v>37.44</v>
          </cell>
          <cell r="DE1044">
            <v>3.712E-2</v>
          </cell>
          <cell r="DF1044">
            <v>723.83999999999992</v>
          </cell>
          <cell r="DG1044">
            <v>2.7779999999999999E-2</v>
          </cell>
          <cell r="DH1044">
            <v>346.9</v>
          </cell>
          <cell r="DI1044">
            <v>2.8400000000000002E-2</v>
          </cell>
          <cell r="DJ1044">
            <v>379.8</v>
          </cell>
          <cell r="DK1044">
            <v>1.3600000000000001E-3</v>
          </cell>
          <cell r="DL1044">
            <v>26.52</v>
          </cell>
          <cell r="DM1044">
            <v>5.7540000000000001E-2</v>
          </cell>
          <cell r="DN1044">
            <v>753.22</v>
          </cell>
          <cell r="DO1044">
            <v>2.96E-3</v>
          </cell>
          <cell r="DP1044">
            <v>57.72</v>
          </cell>
          <cell r="DQ1044">
            <v>8.3999999999999995E-3</v>
          </cell>
          <cell r="DR1044">
            <v>168</v>
          </cell>
          <cell r="DS1044">
            <v>2.4399999999999998E-2</v>
          </cell>
          <cell r="DT1044">
            <v>478.6</v>
          </cell>
          <cell r="DU1044">
            <v>3.576E-2</v>
          </cell>
          <cell r="DV1044">
            <v>704.32</v>
          </cell>
          <cell r="DW1044">
            <v>0.39596000000000003</v>
          </cell>
          <cell r="DX1044">
            <v>7169.9</v>
          </cell>
          <cell r="DZ1044">
            <v>0</v>
          </cell>
          <cell r="EA1044">
            <v>18107.637135064146</v>
          </cell>
        </row>
        <row r="1045">
          <cell r="B1045">
            <v>110826</v>
          </cell>
          <cell r="C1045" t="str">
            <v>YAS MAYA_500GR*24_LE LION</v>
          </cell>
          <cell r="D1045" t="str">
            <v>TON</v>
          </cell>
          <cell r="E1045">
            <v>0</v>
          </cell>
          <cell r="F1045">
            <v>0</v>
          </cell>
          <cell r="G1045">
            <v>0.216</v>
          </cell>
          <cell r="H1045">
            <v>746.34</v>
          </cell>
          <cell r="I1045">
            <v>0.20699999999999999</v>
          </cell>
          <cell r="J1045">
            <v>774.18</v>
          </cell>
          <cell r="K1045">
            <v>0</v>
          </cell>
          <cell r="L1045">
            <v>0</v>
          </cell>
          <cell r="O1045">
            <v>0.42299999999999999</v>
          </cell>
          <cell r="P1045">
            <v>1520.52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2.0345</v>
          </cell>
          <cell r="AV1045">
            <v>6947.03</v>
          </cell>
          <cell r="AW1045">
            <v>0</v>
          </cell>
          <cell r="AX1045">
            <v>0</v>
          </cell>
          <cell r="AY1045">
            <v>0.32400000000000001</v>
          </cell>
          <cell r="AZ1045">
            <v>1206</v>
          </cell>
          <cell r="BA1045">
            <v>0</v>
          </cell>
          <cell r="BB1045">
            <v>0</v>
          </cell>
          <cell r="BC1045">
            <v>8.4000000000000005E-2</v>
          </cell>
          <cell r="BD1045">
            <v>184</v>
          </cell>
          <cell r="BE1045">
            <v>0.40800000000000003</v>
          </cell>
          <cell r="BF1045">
            <v>1390</v>
          </cell>
          <cell r="BG1045">
            <v>0</v>
          </cell>
          <cell r="BH1045">
            <v>0</v>
          </cell>
          <cell r="BI1045">
            <v>0.06</v>
          </cell>
          <cell r="BJ1045">
            <v>221.52</v>
          </cell>
          <cell r="BK1045">
            <v>0</v>
          </cell>
          <cell r="BL1045">
            <v>0</v>
          </cell>
          <cell r="BM1045">
            <v>5.8000000000000003E-2</v>
          </cell>
          <cell r="BN1045">
            <v>198.54</v>
          </cell>
          <cell r="BO1045">
            <v>1.2E-2</v>
          </cell>
          <cell r="BP1045">
            <v>42</v>
          </cell>
          <cell r="BQ1045">
            <v>0</v>
          </cell>
          <cell r="BR1045">
            <v>0</v>
          </cell>
          <cell r="BS1045">
            <v>0.13</v>
          </cell>
          <cell r="BT1045">
            <v>462.06</v>
          </cell>
          <cell r="BU1045">
            <v>0.108</v>
          </cell>
          <cell r="BV1045">
            <v>372.96</v>
          </cell>
          <cell r="BW1045">
            <v>0</v>
          </cell>
          <cell r="BX1045">
            <v>0</v>
          </cell>
          <cell r="BY1045">
            <v>0.156</v>
          </cell>
          <cell r="BZ1045">
            <v>532.14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9.6000000000000002E-2</v>
          </cell>
          <cell r="CH1045">
            <v>338.4</v>
          </cell>
          <cell r="CI1045">
            <v>0.36</v>
          </cell>
          <cell r="CJ1045">
            <v>1243.5</v>
          </cell>
          <cell r="CK1045">
            <v>0.49</v>
          </cell>
          <cell r="CL1045">
            <v>1705.56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0.36</v>
          </cell>
          <cell r="CT1045">
            <v>1171.8</v>
          </cell>
          <cell r="CU1045">
            <v>0.23100000000000001</v>
          </cell>
          <cell r="CV1045">
            <v>791.94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2.4E-2</v>
          </cell>
          <cell r="DD1045">
            <v>89.76</v>
          </cell>
          <cell r="DE1045">
            <v>2.4E-2</v>
          </cell>
          <cell r="DF1045">
            <v>89.76</v>
          </cell>
          <cell r="DG1045">
            <v>0.06</v>
          </cell>
          <cell r="DH1045">
            <v>187.96</v>
          </cell>
          <cell r="DI1045">
            <v>1.2E-2</v>
          </cell>
          <cell r="DJ1045">
            <v>40.74</v>
          </cell>
          <cell r="DK1045">
            <v>2.4E-2</v>
          </cell>
          <cell r="DL1045">
            <v>40</v>
          </cell>
          <cell r="DM1045">
            <v>9.8500000000000004E-2</v>
          </cell>
          <cell r="DN1045">
            <v>277.45</v>
          </cell>
          <cell r="DO1045">
            <v>0</v>
          </cell>
          <cell r="DP1045">
            <v>0</v>
          </cell>
          <cell r="DQ1045">
            <v>1.4999999999999999E-2</v>
          </cell>
          <cell r="DR1045">
            <v>52.5</v>
          </cell>
          <cell r="DS1045">
            <v>0.216</v>
          </cell>
          <cell r="DT1045">
            <v>739.44</v>
          </cell>
          <cell r="DU1045">
            <v>0.23100000000000001</v>
          </cell>
          <cell r="DV1045">
            <v>791.94</v>
          </cell>
          <cell r="DW1045">
            <v>2.0345</v>
          </cell>
          <cell r="DX1045">
            <v>6947.0300000000007</v>
          </cell>
          <cell r="DY1045" t="str">
            <v/>
          </cell>
          <cell r="DZ1045">
            <v>0</v>
          </cell>
          <cell r="EA1045">
            <v>3414.6129270090937</v>
          </cell>
        </row>
        <row r="1046">
          <cell r="A1046">
            <v>1E-3</v>
          </cell>
          <cell r="B1046">
            <v>252254</v>
          </cell>
          <cell r="C1046" t="str">
            <v>საფუარი_500გ_აზერმაია</v>
          </cell>
          <cell r="D1046" t="str">
            <v>TON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O1046">
            <v>0</v>
          </cell>
          <cell r="CP1046">
            <v>0</v>
          </cell>
          <cell r="CQ1046">
            <v>0</v>
          </cell>
          <cell r="CR1046">
            <v>0</v>
          </cell>
          <cell r="CS1046">
            <v>0</v>
          </cell>
          <cell r="CT1046">
            <v>0</v>
          </cell>
          <cell r="CU1046">
            <v>0</v>
          </cell>
          <cell r="CV1046">
            <v>0</v>
          </cell>
          <cell r="CW1046">
            <v>0</v>
          </cell>
          <cell r="CX1046">
            <v>0</v>
          </cell>
          <cell r="CY1046">
            <v>0</v>
          </cell>
          <cell r="CZ1046">
            <v>0</v>
          </cell>
          <cell r="DA1046">
            <v>0</v>
          </cell>
          <cell r="DB1046">
            <v>0</v>
          </cell>
          <cell r="DC1046">
            <v>0</v>
          </cell>
          <cell r="DD1046">
            <v>0</v>
          </cell>
          <cell r="DE1046">
            <v>0</v>
          </cell>
          <cell r="DF1046">
            <v>0</v>
          </cell>
          <cell r="DG1046">
            <v>0</v>
          </cell>
          <cell r="DH1046">
            <v>0</v>
          </cell>
          <cell r="DI1046">
            <v>0</v>
          </cell>
          <cell r="DJ1046">
            <v>0</v>
          </cell>
          <cell r="DK1046">
            <v>0</v>
          </cell>
          <cell r="DL1046">
            <v>0</v>
          </cell>
          <cell r="DM1046">
            <v>0</v>
          </cell>
          <cell r="DN1046">
            <v>0</v>
          </cell>
          <cell r="DO1046">
            <v>0</v>
          </cell>
          <cell r="DP1046">
            <v>0</v>
          </cell>
          <cell r="DQ1046">
            <v>0</v>
          </cell>
          <cell r="DR1046">
            <v>0</v>
          </cell>
          <cell r="DS1046">
            <v>0</v>
          </cell>
          <cell r="DT1046">
            <v>0</v>
          </cell>
          <cell r="DU1046">
            <v>0</v>
          </cell>
          <cell r="DV1046">
            <v>0</v>
          </cell>
          <cell r="DW1046">
            <v>0</v>
          </cell>
          <cell r="DX1046">
            <v>0</v>
          </cell>
          <cell r="DY1046" t="str">
            <v/>
          </cell>
          <cell r="DZ1046" t="str">
            <v>pasiv</v>
          </cell>
          <cell r="EA1046" t="e">
            <v>#DIV/0!</v>
          </cell>
        </row>
        <row r="1047">
          <cell r="B1047">
            <v>110833</v>
          </cell>
          <cell r="C1047" t="str">
            <v>INTENSE VITAMIN_10GR*288_OZMAYA</v>
          </cell>
          <cell r="D1047" t="str">
            <v>TON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6.2399999999999999E-3</v>
          </cell>
          <cell r="AV1047">
            <v>433.77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4.8000000000000001E-4</v>
          </cell>
          <cell r="CH1047">
            <v>33.6</v>
          </cell>
          <cell r="CI1047">
            <v>4.8000000000000001E-4</v>
          </cell>
          <cell r="CJ1047">
            <v>33.6</v>
          </cell>
          <cell r="CK1047">
            <v>4.8000000000000001E-4</v>
          </cell>
          <cell r="CL1047">
            <v>33.6</v>
          </cell>
          <cell r="CO1047">
            <v>0</v>
          </cell>
          <cell r="CP1047">
            <v>0</v>
          </cell>
          <cell r="CQ1047">
            <v>0</v>
          </cell>
          <cell r="CR1047">
            <v>0</v>
          </cell>
          <cell r="CS1047">
            <v>0</v>
          </cell>
          <cell r="CT1047">
            <v>0</v>
          </cell>
          <cell r="CU1047">
            <v>3.8400000000000001E-3</v>
          </cell>
          <cell r="CV1047">
            <v>268.8</v>
          </cell>
          <cell r="CW1047">
            <v>0</v>
          </cell>
          <cell r="CX1047">
            <v>0</v>
          </cell>
          <cell r="CY1047">
            <v>0</v>
          </cell>
          <cell r="CZ1047">
            <v>0</v>
          </cell>
          <cell r="DA1047">
            <v>0</v>
          </cell>
          <cell r="DB1047">
            <v>0</v>
          </cell>
          <cell r="DC1047">
            <v>0</v>
          </cell>
          <cell r="DD1047">
            <v>0</v>
          </cell>
          <cell r="DE1047">
            <v>0</v>
          </cell>
          <cell r="DF1047">
            <v>0</v>
          </cell>
          <cell r="DG1047">
            <v>1.4400000000000001E-3</v>
          </cell>
          <cell r="DH1047">
            <v>98.78</v>
          </cell>
          <cell r="DI1047">
            <v>4.8000000000000001E-4</v>
          </cell>
          <cell r="DJ1047">
            <v>32.590000000000003</v>
          </cell>
          <cell r="DK1047">
            <v>0</v>
          </cell>
          <cell r="DL1047">
            <v>0</v>
          </cell>
          <cell r="DM1047">
            <v>1.92E-3</v>
          </cell>
          <cell r="DN1047">
            <v>131.37</v>
          </cell>
          <cell r="DO1047">
            <v>2.8800000000000002E-3</v>
          </cell>
          <cell r="DP1047">
            <v>201.6</v>
          </cell>
          <cell r="DQ1047">
            <v>0</v>
          </cell>
          <cell r="DR1047">
            <v>0</v>
          </cell>
          <cell r="DS1047">
            <v>9.6000000000000002E-4</v>
          </cell>
          <cell r="DT1047">
            <v>67.2</v>
          </cell>
          <cell r="DU1047">
            <v>3.8400000000000001E-3</v>
          </cell>
          <cell r="DV1047">
            <v>268.8</v>
          </cell>
          <cell r="DW1047">
            <v>6.2400000000000008E-3</v>
          </cell>
          <cell r="DX1047">
            <v>433.77000000000004</v>
          </cell>
          <cell r="DY1047" t="str">
            <v/>
          </cell>
          <cell r="DZ1047">
            <v>0</v>
          </cell>
          <cell r="EA1047">
            <v>69514.423076923078</v>
          </cell>
        </row>
        <row r="1048">
          <cell r="A1048">
            <v>52</v>
          </cell>
          <cell r="C1048" t="str">
            <v>YAS MAYA</v>
          </cell>
          <cell r="E1048">
            <v>0</v>
          </cell>
          <cell r="F1048">
            <v>0</v>
          </cell>
          <cell r="G1048">
            <v>0.216</v>
          </cell>
          <cell r="H1048">
            <v>746.34</v>
          </cell>
          <cell r="I1048">
            <v>0.20699999999999999</v>
          </cell>
          <cell r="J1048">
            <v>774.18</v>
          </cell>
          <cell r="K1048">
            <v>0</v>
          </cell>
          <cell r="L1048">
            <v>0</v>
          </cell>
          <cell r="O1048">
            <v>0.42299999999999999</v>
          </cell>
          <cell r="P1048">
            <v>1520.52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2.04074</v>
          </cell>
          <cell r="AV1048">
            <v>7380.7999999999993</v>
          </cell>
          <cell r="AW1048">
            <v>0</v>
          </cell>
          <cell r="AX1048">
            <v>0</v>
          </cell>
          <cell r="AY1048">
            <v>0.32400000000000001</v>
          </cell>
          <cell r="AZ1048">
            <v>1206</v>
          </cell>
          <cell r="BA1048">
            <v>0</v>
          </cell>
          <cell r="BB1048">
            <v>0</v>
          </cell>
          <cell r="BC1048">
            <v>8.4000000000000005E-2</v>
          </cell>
          <cell r="BD1048">
            <v>184</v>
          </cell>
          <cell r="BE1048">
            <v>0.40800000000000003</v>
          </cell>
          <cell r="BF1048">
            <v>1390</v>
          </cell>
          <cell r="BG1048">
            <v>0</v>
          </cell>
          <cell r="BH1048">
            <v>0</v>
          </cell>
          <cell r="BI1048">
            <v>0.06</v>
          </cell>
          <cell r="BJ1048">
            <v>221.52</v>
          </cell>
          <cell r="BK1048">
            <v>0</v>
          </cell>
          <cell r="BL1048">
            <v>0</v>
          </cell>
          <cell r="BM1048">
            <v>5.8000000000000003E-2</v>
          </cell>
          <cell r="BN1048">
            <v>198.54</v>
          </cell>
          <cell r="BO1048">
            <v>1.2E-2</v>
          </cell>
          <cell r="BP1048">
            <v>42</v>
          </cell>
          <cell r="BQ1048">
            <v>0</v>
          </cell>
          <cell r="BR1048">
            <v>0</v>
          </cell>
          <cell r="BS1048">
            <v>0.13</v>
          </cell>
          <cell r="BT1048">
            <v>462.06</v>
          </cell>
          <cell r="BU1048">
            <v>0.108</v>
          </cell>
          <cell r="BV1048">
            <v>372.96</v>
          </cell>
          <cell r="BW1048">
            <v>0</v>
          </cell>
          <cell r="BX1048">
            <v>0</v>
          </cell>
          <cell r="BY1048">
            <v>0.156</v>
          </cell>
          <cell r="BZ1048">
            <v>532.14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9.6479999999999996E-2</v>
          </cell>
          <cell r="CH1048">
            <v>372</v>
          </cell>
          <cell r="CI1048">
            <v>0.36047999999999997</v>
          </cell>
          <cell r="CJ1048">
            <v>1277.0999999999999</v>
          </cell>
          <cell r="CK1048">
            <v>0.49047999999999997</v>
          </cell>
          <cell r="CL1048">
            <v>1739.1599999999999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0.36</v>
          </cell>
          <cell r="CT1048">
            <v>1171.8</v>
          </cell>
          <cell r="CU1048">
            <v>0.23484000000000002</v>
          </cell>
          <cell r="CV1048">
            <v>1060.74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2.4E-2</v>
          </cell>
          <cell r="DD1048">
            <v>89.76</v>
          </cell>
          <cell r="DE1048">
            <v>2.4E-2</v>
          </cell>
          <cell r="DF1048">
            <v>89.76</v>
          </cell>
          <cell r="DG1048">
            <v>6.1439999999999995E-2</v>
          </cell>
          <cell r="DH1048">
            <v>286.74</v>
          </cell>
          <cell r="DI1048">
            <v>1.248E-2</v>
          </cell>
          <cell r="DJ1048">
            <v>73.330000000000013</v>
          </cell>
          <cell r="DK1048">
            <v>2.4E-2</v>
          </cell>
          <cell r="DL1048">
            <v>40</v>
          </cell>
          <cell r="DM1048">
            <v>0.10042000000000001</v>
          </cell>
          <cell r="DN1048">
            <v>408.82</v>
          </cell>
          <cell r="DO1048">
            <v>2.8800000000000002E-3</v>
          </cell>
          <cell r="DP1048">
            <v>201.6</v>
          </cell>
          <cell r="DQ1048">
            <v>1.4999999999999999E-2</v>
          </cell>
          <cell r="DR1048">
            <v>52.5</v>
          </cell>
          <cell r="DS1048">
            <v>0.21695999999999999</v>
          </cell>
          <cell r="DT1048">
            <v>806.6400000000001</v>
          </cell>
          <cell r="DU1048">
            <v>0.23484000000000002</v>
          </cell>
          <cell r="DV1048">
            <v>1060.74</v>
          </cell>
          <cell r="DW1048">
            <v>2.04074</v>
          </cell>
          <cell r="DX1048">
            <v>7380.8000000000011</v>
          </cell>
          <cell r="DZ1048">
            <v>0</v>
          </cell>
          <cell r="EA1048">
            <v>3616.727265599734</v>
          </cell>
        </row>
        <row r="1049">
          <cell r="B1049">
            <v>216900</v>
          </cell>
          <cell r="C1049" t="str">
            <v>სოუსი_სავილე ბროწ.(ნაშარაფი)_345გ*20</v>
          </cell>
          <cell r="D1049" t="str">
            <v>TON</v>
          </cell>
          <cell r="E1049">
            <v>0</v>
          </cell>
          <cell r="F1049">
            <v>0</v>
          </cell>
          <cell r="G1049">
            <v>6.8999999999999997E-4</v>
          </cell>
          <cell r="H1049">
            <v>13.56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O1049">
            <v>6.8999999999999997E-4</v>
          </cell>
          <cell r="P1049">
            <v>13.56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O1049">
            <v>0</v>
          </cell>
          <cell r="AP1049">
            <v>0</v>
          </cell>
          <cell r="AS1049">
            <v>0</v>
          </cell>
          <cell r="AT1049">
            <v>0</v>
          </cell>
          <cell r="AU1049">
            <v>2.7599999999999999E-3</v>
          </cell>
          <cell r="AV1049">
            <v>56.55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1.0349999999999999E-3</v>
          </cell>
          <cell r="BL1049">
            <v>22.02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1.0349999999999999E-3</v>
          </cell>
          <cell r="BT1049">
            <v>22.02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1.0349999999999999E-3</v>
          </cell>
          <cell r="BZ1049">
            <v>20.97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1.0349999999999999E-3</v>
          </cell>
          <cell r="CJ1049">
            <v>20.97</v>
          </cell>
          <cell r="CK1049">
            <v>2.0699999999999998E-3</v>
          </cell>
          <cell r="CL1049">
            <v>42.989999999999995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  <cell r="DL1049">
            <v>0</v>
          </cell>
          <cell r="DM1049">
            <v>0</v>
          </cell>
          <cell r="DN1049">
            <v>0</v>
          </cell>
          <cell r="DO1049">
            <v>0</v>
          </cell>
          <cell r="DP1049">
            <v>0</v>
          </cell>
          <cell r="DQ1049">
            <v>0</v>
          </cell>
          <cell r="DR1049">
            <v>0</v>
          </cell>
          <cell r="DS1049">
            <v>0</v>
          </cell>
          <cell r="DT1049">
            <v>0</v>
          </cell>
          <cell r="DU1049">
            <v>0</v>
          </cell>
          <cell r="DV1049">
            <v>0</v>
          </cell>
          <cell r="DW1049">
            <v>2.7599999999999999E-3</v>
          </cell>
          <cell r="DX1049">
            <v>56.55</v>
          </cell>
          <cell r="DY1049" t="str">
            <v/>
          </cell>
          <cell r="DZ1049">
            <v>0</v>
          </cell>
          <cell r="EA1049">
            <v>20489.130434782608</v>
          </cell>
        </row>
        <row r="1050">
          <cell r="B1050">
            <v>228953</v>
          </cell>
          <cell r="C1050" t="str">
            <v>სოუსი_ბიზ.ტარლა ბროწ.(ნაშარაფი)_260გ*25</v>
          </cell>
          <cell r="D1050" t="str">
            <v>TON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  <cell r="AL1050">
            <v>0</v>
          </cell>
          <cell r="AO1050">
            <v>0</v>
          </cell>
          <cell r="AP1050">
            <v>0</v>
          </cell>
          <cell r="AS1050">
            <v>0</v>
          </cell>
          <cell r="AT1050">
            <v>0</v>
          </cell>
          <cell r="AU1050">
            <v>1.56E-3</v>
          </cell>
          <cell r="AV1050">
            <v>35.58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1.56E-3</v>
          </cell>
          <cell r="BN1050">
            <v>35.58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1.56E-3</v>
          </cell>
          <cell r="BT1050">
            <v>35.58</v>
          </cell>
          <cell r="BU1050">
            <v>0</v>
          </cell>
          <cell r="BV1050">
            <v>0</v>
          </cell>
          <cell r="BW1050">
            <v>0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1.56E-3</v>
          </cell>
          <cell r="CL1050">
            <v>35.58</v>
          </cell>
          <cell r="CO1050">
            <v>0</v>
          </cell>
          <cell r="CP1050">
            <v>0</v>
          </cell>
          <cell r="CQ1050">
            <v>0</v>
          </cell>
          <cell r="CR1050">
            <v>0</v>
          </cell>
          <cell r="CS1050">
            <v>0</v>
          </cell>
          <cell r="CT1050">
            <v>0</v>
          </cell>
          <cell r="CU1050">
            <v>0</v>
          </cell>
          <cell r="CV1050">
            <v>0</v>
          </cell>
          <cell r="CW1050">
            <v>0</v>
          </cell>
          <cell r="CX1050">
            <v>0</v>
          </cell>
          <cell r="CY1050">
            <v>0</v>
          </cell>
          <cell r="CZ1050">
            <v>0</v>
          </cell>
          <cell r="DA1050">
            <v>0</v>
          </cell>
          <cell r="DB1050">
            <v>0</v>
          </cell>
          <cell r="DC1050">
            <v>0</v>
          </cell>
          <cell r="DD1050">
            <v>0</v>
          </cell>
          <cell r="DE1050">
            <v>0</v>
          </cell>
          <cell r="DF1050">
            <v>0</v>
          </cell>
          <cell r="DG1050">
            <v>0</v>
          </cell>
          <cell r="DH1050">
            <v>0</v>
          </cell>
          <cell r="DI1050">
            <v>0</v>
          </cell>
          <cell r="DJ1050">
            <v>0</v>
          </cell>
          <cell r="DK1050">
            <v>0</v>
          </cell>
          <cell r="DL1050">
            <v>0</v>
          </cell>
          <cell r="DM1050">
            <v>0</v>
          </cell>
          <cell r="DN1050">
            <v>0</v>
          </cell>
          <cell r="DO1050">
            <v>0</v>
          </cell>
          <cell r="DP1050">
            <v>0</v>
          </cell>
          <cell r="DQ1050">
            <v>0</v>
          </cell>
          <cell r="DR1050">
            <v>0</v>
          </cell>
          <cell r="DS1050">
            <v>0</v>
          </cell>
          <cell r="DT1050">
            <v>0</v>
          </cell>
          <cell r="DU1050">
            <v>0</v>
          </cell>
          <cell r="DV1050">
            <v>0</v>
          </cell>
          <cell r="DW1050">
            <v>1.56E-3</v>
          </cell>
          <cell r="DX1050">
            <v>35.58</v>
          </cell>
          <cell r="DY1050" t="str">
            <v/>
          </cell>
          <cell r="DZ1050">
            <v>0</v>
          </cell>
          <cell r="EA1050">
            <v>22807.692307692309</v>
          </cell>
        </row>
        <row r="1051">
          <cell r="B1051">
            <v>71391</v>
          </cell>
          <cell r="C1051" t="str">
            <v>წვენი-სავილე-ლიმონის-0.25ლ*25-შესქელებული</v>
          </cell>
          <cell r="D1051" t="str">
            <v>TON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O1051">
            <v>0</v>
          </cell>
          <cell r="AP1051">
            <v>0</v>
          </cell>
          <cell r="AS1051">
            <v>0</v>
          </cell>
          <cell r="AT1051">
            <v>0</v>
          </cell>
          <cell r="AU1051">
            <v>4.7750000000000001E-2</v>
          </cell>
          <cell r="AV1051">
            <v>325.99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O1051">
            <v>0</v>
          </cell>
          <cell r="CP1051">
            <v>0</v>
          </cell>
          <cell r="CQ1051">
            <v>0</v>
          </cell>
          <cell r="CR1051">
            <v>0</v>
          </cell>
          <cell r="CS1051">
            <v>3.125E-2</v>
          </cell>
          <cell r="CT1051">
            <v>209.25</v>
          </cell>
          <cell r="CU1051">
            <v>3.5000000000000001E-3</v>
          </cell>
          <cell r="CV1051">
            <v>25.2</v>
          </cell>
          <cell r="CW1051">
            <v>0</v>
          </cell>
          <cell r="CX1051">
            <v>0</v>
          </cell>
          <cell r="CY1051">
            <v>0</v>
          </cell>
          <cell r="CZ1051">
            <v>0</v>
          </cell>
          <cell r="DA1051">
            <v>3.0000000000000001E-3</v>
          </cell>
          <cell r="DB1051">
            <v>22.68</v>
          </cell>
          <cell r="DC1051">
            <v>0.01</v>
          </cell>
          <cell r="DD1051">
            <v>68.86</v>
          </cell>
          <cell r="DE1051">
            <v>1.3000000000000001E-2</v>
          </cell>
          <cell r="DF1051">
            <v>91.539999999999992</v>
          </cell>
          <cell r="DG1051">
            <v>0</v>
          </cell>
          <cell r="DH1051">
            <v>0</v>
          </cell>
          <cell r="DI1051">
            <v>0</v>
          </cell>
          <cell r="DJ1051">
            <v>0</v>
          </cell>
          <cell r="DK1051">
            <v>0</v>
          </cell>
          <cell r="DL1051">
            <v>0</v>
          </cell>
          <cell r="DM1051">
            <v>0</v>
          </cell>
          <cell r="DN1051">
            <v>0</v>
          </cell>
          <cell r="DO1051">
            <v>0</v>
          </cell>
          <cell r="DP1051">
            <v>0</v>
          </cell>
          <cell r="DQ1051">
            <v>0</v>
          </cell>
          <cell r="DR1051">
            <v>0</v>
          </cell>
          <cell r="DS1051">
            <v>3.5000000000000001E-3</v>
          </cell>
          <cell r="DT1051">
            <v>25.2</v>
          </cell>
          <cell r="DU1051">
            <v>3.5000000000000001E-3</v>
          </cell>
          <cell r="DV1051">
            <v>25.2</v>
          </cell>
          <cell r="DW1051">
            <v>4.7750000000000001E-2</v>
          </cell>
          <cell r="DX1051">
            <v>325.99</v>
          </cell>
          <cell r="DY1051" t="str">
            <v/>
          </cell>
          <cell r="DZ1051">
            <v>0</v>
          </cell>
          <cell r="EA1051">
            <v>6827.0157068062827</v>
          </cell>
        </row>
        <row r="1052">
          <cell r="B1052">
            <v>71392</v>
          </cell>
          <cell r="C1052" t="str">
            <v>წვენი-სავილე-ლიმონის-0.50ლ*16-შესქელებული</v>
          </cell>
          <cell r="D1052" t="str">
            <v>TON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1.5E-3</v>
          </cell>
          <cell r="AD1052">
            <v>8.8800000000000008</v>
          </cell>
          <cell r="AE1052">
            <v>0</v>
          </cell>
          <cell r="AF1052">
            <v>0</v>
          </cell>
          <cell r="AG1052">
            <v>1.5E-3</v>
          </cell>
          <cell r="AH1052">
            <v>8.82</v>
          </cell>
          <cell r="AI1052">
            <v>2E-3</v>
          </cell>
          <cell r="AJ1052">
            <v>11.76</v>
          </cell>
          <cell r="AK1052">
            <v>8.0000000000000002E-3</v>
          </cell>
          <cell r="AL1052">
            <v>47.04</v>
          </cell>
          <cell r="AO1052">
            <v>1.3000000000000001E-2</v>
          </cell>
          <cell r="AP1052">
            <v>76.5</v>
          </cell>
          <cell r="AS1052">
            <v>0</v>
          </cell>
          <cell r="AT1052">
            <v>0</v>
          </cell>
          <cell r="AU1052">
            <v>0.13800000000000001</v>
          </cell>
          <cell r="AV1052">
            <v>762.37</v>
          </cell>
          <cell r="AW1052">
            <v>0</v>
          </cell>
          <cell r="AX1052">
            <v>0</v>
          </cell>
          <cell r="AY1052">
            <v>1.7500000000000002E-2</v>
          </cell>
          <cell r="AZ1052">
            <v>98.87</v>
          </cell>
          <cell r="BA1052">
            <v>0</v>
          </cell>
          <cell r="BB1052">
            <v>0</v>
          </cell>
          <cell r="BC1052">
            <v>8.0000000000000002E-3</v>
          </cell>
          <cell r="BD1052">
            <v>43.46</v>
          </cell>
          <cell r="BE1052">
            <v>2.5500000000000002E-2</v>
          </cell>
          <cell r="BF1052">
            <v>142.33000000000001</v>
          </cell>
          <cell r="BG1052">
            <v>0</v>
          </cell>
          <cell r="BH1052">
            <v>0</v>
          </cell>
          <cell r="BI1052">
            <v>8.0000000000000002E-3</v>
          </cell>
          <cell r="BJ1052">
            <v>47.04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2E-3</v>
          </cell>
          <cell r="BP1052">
            <v>11.76</v>
          </cell>
          <cell r="BQ1052">
            <v>0</v>
          </cell>
          <cell r="BR1052">
            <v>0</v>
          </cell>
          <cell r="BS1052">
            <v>0.01</v>
          </cell>
          <cell r="BT1052">
            <v>58.8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0.01</v>
          </cell>
          <cell r="CL1052">
            <v>58.8</v>
          </cell>
          <cell r="CO1052">
            <v>0</v>
          </cell>
          <cell r="CP1052">
            <v>0</v>
          </cell>
          <cell r="CQ1052">
            <v>0</v>
          </cell>
          <cell r="CR1052">
            <v>0</v>
          </cell>
          <cell r="CS1052">
            <v>0.04</v>
          </cell>
          <cell r="CT1052">
            <v>208.32</v>
          </cell>
          <cell r="CU1052">
            <v>1.7999999999999999E-2</v>
          </cell>
          <cell r="CV1052">
            <v>100.13</v>
          </cell>
          <cell r="CW1052">
            <v>0</v>
          </cell>
          <cell r="CX1052">
            <v>0</v>
          </cell>
          <cell r="CY1052">
            <v>8.0000000000000002E-3</v>
          </cell>
          <cell r="CZ1052">
            <v>47.04</v>
          </cell>
          <cell r="DA1052">
            <v>0</v>
          </cell>
          <cell r="DB1052">
            <v>0</v>
          </cell>
          <cell r="DC1052">
            <v>1.7500000000000002E-2</v>
          </cell>
          <cell r="DD1052">
            <v>93.97</v>
          </cell>
          <cell r="DE1052">
            <v>2.5500000000000002E-2</v>
          </cell>
          <cell r="DF1052">
            <v>141.01</v>
          </cell>
          <cell r="DG1052">
            <v>6.0000000000000001E-3</v>
          </cell>
          <cell r="DH1052">
            <v>35.28</v>
          </cell>
          <cell r="DI1052">
            <v>0</v>
          </cell>
          <cell r="DJ1052">
            <v>0</v>
          </cell>
          <cell r="DK1052">
            <v>0</v>
          </cell>
          <cell r="DL1052">
            <v>0</v>
          </cell>
          <cell r="DM1052">
            <v>6.0000000000000001E-3</v>
          </cell>
          <cell r="DN1052">
            <v>35.28</v>
          </cell>
          <cell r="DO1052">
            <v>3.0000000000000001E-3</v>
          </cell>
          <cell r="DP1052">
            <v>16.13</v>
          </cell>
          <cell r="DQ1052">
            <v>0</v>
          </cell>
          <cell r="DR1052">
            <v>0</v>
          </cell>
          <cell r="DS1052">
            <v>1.4999999999999999E-2</v>
          </cell>
          <cell r="DT1052">
            <v>84</v>
          </cell>
          <cell r="DU1052">
            <v>1.7999999999999999E-2</v>
          </cell>
          <cell r="DV1052">
            <v>100.13</v>
          </cell>
          <cell r="DW1052">
            <v>0.13800000000000001</v>
          </cell>
          <cell r="DX1052">
            <v>762.37</v>
          </cell>
          <cell r="DY1052" t="str">
            <v/>
          </cell>
          <cell r="DZ1052">
            <v>0</v>
          </cell>
          <cell r="EA1052">
            <v>5524.420289855072</v>
          </cell>
        </row>
        <row r="1053">
          <cell r="B1053">
            <v>369933</v>
          </cell>
          <cell r="C1053" t="str">
            <v>წვენი-სავილე-ბროწეულის-0.25ლ*20</v>
          </cell>
          <cell r="D1053" t="str">
            <v>TON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O1053">
            <v>0</v>
          </cell>
          <cell r="AP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O1053">
            <v>0</v>
          </cell>
          <cell r="CP1053">
            <v>0</v>
          </cell>
          <cell r="CQ1053">
            <v>0</v>
          </cell>
          <cell r="CR1053">
            <v>0</v>
          </cell>
          <cell r="CS1053">
            <v>0</v>
          </cell>
          <cell r="CT1053">
            <v>0</v>
          </cell>
          <cell r="CU1053">
            <v>0</v>
          </cell>
          <cell r="CV1053">
            <v>0</v>
          </cell>
          <cell r="CW1053">
            <v>0</v>
          </cell>
          <cell r="CX1053">
            <v>0</v>
          </cell>
          <cell r="CY1053">
            <v>0</v>
          </cell>
          <cell r="CZ1053">
            <v>0</v>
          </cell>
          <cell r="DA1053">
            <v>0</v>
          </cell>
          <cell r="DB1053">
            <v>0</v>
          </cell>
          <cell r="DC1053">
            <v>0</v>
          </cell>
          <cell r="DD1053">
            <v>0</v>
          </cell>
          <cell r="DE1053">
            <v>0</v>
          </cell>
          <cell r="DF1053">
            <v>0</v>
          </cell>
          <cell r="DG1053">
            <v>0</v>
          </cell>
          <cell r="DH1053">
            <v>0</v>
          </cell>
          <cell r="DI1053">
            <v>0</v>
          </cell>
          <cell r="DJ1053">
            <v>0</v>
          </cell>
          <cell r="DK1053">
            <v>0</v>
          </cell>
          <cell r="DL1053">
            <v>0</v>
          </cell>
          <cell r="DM1053">
            <v>0</v>
          </cell>
          <cell r="DN1053">
            <v>0</v>
          </cell>
          <cell r="DO1053">
            <v>0</v>
          </cell>
          <cell r="DP1053">
            <v>0</v>
          </cell>
          <cell r="DQ1053">
            <v>0</v>
          </cell>
          <cell r="DR1053">
            <v>0</v>
          </cell>
          <cell r="DS1053">
            <v>0</v>
          </cell>
          <cell r="DT1053">
            <v>0</v>
          </cell>
          <cell r="DU1053">
            <v>0</v>
          </cell>
          <cell r="DV1053">
            <v>0</v>
          </cell>
          <cell r="DW1053">
            <v>0</v>
          </cell>
          <cell r="DX1053">
            <v>0</v>
          </cell>
          <cell r="DY1053" t="str">
            <v/>
          </cell>
          <cell r="DZ1053" t="str">
            <v>pasiv</v>
          </cell>
          <cell r="EA1053" t="e">
            <v>#DIV/0!</v>
          </cell>
        </row>
        <row r="1054">
          <cell r="B1054">
            <v>372009</v>
          </cell>
          <cell r="C1054" t="str">
            <v>ძმარი-ბოსტანი-ყურძნის-0.5ლ*20</v>
          </cell>
          <cell r="D1054" t="str">
            <v>TON</v>
          </cell>
          <cell r="E1054">
            <v>0</v>
          </cell>
          <cell r="F1054">
            <v>0</v>
          </cell>
          <cell r="G1054">
            <v>5.0000000000000001E-3</v>
          </cell>
          <cell r="H1054">
            <v>27.84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O1054">
            <v>5.0000000000000001E-3</v>
          </cell>
          <cell r="P1054">
            <v>27.84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O1054">
            <v>0</v>
          </cell>
          <cell r="AP1054">
            <v>0</v>
          </cell>
          <cell r="AS1054">
            <v>0</v>
          </cell>
          <cell r="AT1054">
            <v>0</v>
          </cell>
          <cell r="AU1054">
            <v>1.7500000000000002E-2</v>
          </cell>
          <cell r="AV1054">
            <v>98.17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2.5000000000000001E-3</v>
          </cell>
          <cell r="BD1054">
            <v>14.07</v>
          </cell>
          <cell r="BE1054">
            <v>2.5000000000000001E-3</v>
          </cell>
          <cell r="BF1054">
            <v>14.07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5.0000000000000001E-3</v>
          </cell>
          <cell r="BP1054">
            <v>28.13</v>
          </cell>
          <cell r="BQ1054">
            <v>0</v>
          </cell>
          <cell r="BR1054">
            <v>0</v>
          </cell>
          <cell r="BS1054">
            <v>5.0000000000000001E-3</v>
          </cell>
          <cell r="BT1054">
            <v>28.13</v>
          </cell>
          <cell r="BU1054">
            <v>0</v>
          </cell>
          <cell r="BV1054">
            <v>0</v>
          </cell>
          <cell r="BW1054">
            <v>5.0000000000000001E-3</v>
          </cell>
          <cell r="BX1054">
            <v>28.13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5.0000000000000001E-3</v>
          </cell>
          <cell r="CJ1054">
            <v>28.13</v>
          </cell>
          <cell r="CK1054">
            <v>0.01</v>
          </cell>
          <cell r="CL1054">
            <v>56.26</v>
          </cell>
          <cell r="CO1054">
            <v>0</v>
          </cell>
          <cell r="CP1054">
            <v>0</v>
          </cell>
          <cell r="CQ1054">
            <v>0</v>
          </cell>
          <cell r="CR1054">
            <v>0</v>
          </cell>
          <cell r="CS1054">
            <v>0</v>
          </cell>
          <cell r="CT1054">
            <v>0</v>
          </cell>
          <cell r="CU1054">
            <v>0</v>
          </cell>
          <cell r="CV1054">
            <v>0</v>
          </cell>
          <cell r="CW1054">
            <v>0</v>
          </cell>
          <cell r="CX1054">
            <v>0</v>
          </cell>
          <cell r="CY1054">
            <v>0</v>
          </cell>
          <cell r="CZ1054">
            <v>0</v>
          </cell>
          <cell r="DA1054">
            <v>0</v>
          </cell>
          <cell r="DB1054">
            <v>0</v>
          </cell>
          <cell r="DC1054">
            <v>0</v>
          </cell>
          <cell r="DD1054">
            <v>0</v>
          </cell>
          <cell r="DE1054">
            <v>0</v>
          </cell>
          <cell r="DF1054">
            <v>0</v>
          </cell>
          <cell r="DG1054">
            <v>0</v>
          </cell>
          <cell r="DH1054">
            <v>0</v>
          </cell>
          <cell r="DI1054">
            <v>0</v>
          </cell>
          <cell r="DJ1054">
            <v>0</v>
          </cell>
          <cell r="DK1054">
            <v>0</v>
          </cell>
          <cell r="DL1054">
            <v>0</v>
          </cell>
          <cell r="DM1054">
            <v>0</v>
          </cell>
          <cell r="DN1054">
            <v>0</v>
          </cell>
          <cell r="DO1054">
            <v>0</v>
          </cell>
          <cell r="DP1054">
            <v>0</v>
          </cell>
          <cell r="DQ1054">
            <v>0</v>
          </cell>
          <cell r="DR1054">
            <v>0</v>
          </cell>
          <cell r="DS1054">
            <v>0</v>
          </cell>
          <cell r="DT1054">
            <v>0</v>
          </cell>
          <cell r="DU1054">
            <v>0</v>
          </cell>
          <cell r="DV1054">
            <v>0</v>
          </cell>
          <cell r="DW1054">
            <v>1.7500000000000002E-2</v>
          </cell>
          <cell r="DX1054">
            <v>98.17</v>
          </cell>
          <cell r="DY1054" t="str">
            <v/>
          </cell>
          <cell r="DZ1054">
            <v>0</v>
          </cell>
          <cell r="EA1054">
            <v>5609.7142857142853</v>
          </cell>
        </row>
        <row r="1055">
          <cell r="B1055">
            <v>186091</v>
          </cell>
          <cell r="C1055" t="str">
            <v>SAVILLE NAR SIRESI_1L*12_EXP</v>
          </cell>
          <cell r="D1055" t="str">
            <v>TON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4.0000000000000001E-3</v>
          </cell>
          <cell r="AL1055">
            <v>25.2</v>
          </cell>
          <cell r="AO1055">
            <v>4.0000000000000001E-3</v>
          </cell>
          <cell r="AP1055">
            <v>25.2</v>
          </cell>
          <cell r="AS1055">
            <v>0</v>
          </cell>
          <cell r="AT1055">
            <v>0</v>
          </cell>
          <cell r="AU1055">
            <v>0.04</v>
          </cell>
          <cell r="AV1055">
            <v>254.4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1E-3</v>
          </cell>
          <cell r="BL1055">
            <v>6.3</v>
          </cell>
          <cell r="BM1055">
            <v>0</v>
          </cell>
          <cell r="BN1055">
            <v>0</v>
          </cell>
          <cell r="BO1055">
            <v>1.2E-2</v>
          </cell>
          <cell r="BP1055">
            <v>75.599999999999994</v>
          </cell>
          <cell r="BQ1055">
            <v>0</v>
          </cell>
          <cell r="BR1055">
            <v>0</v>
          </cell>
          <cell r="BS1055">
            <v>1.2999999999999999E-2</v>
          </cell>
          <cell r="BT1055">
            <v>81.900000000000006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6.0000000000000001E-3</v>
          </cell>
          <cell r="CB1055">
            <v>37.799999999999997</v>
          </cell>
          <cell r="CC1055">
            <v>0</v>
          </cell>
          <cell r="CD1055">
            <v>0</v>
          </cell>
          <cell r="CE1055">
            <v>8.0000000000000002E-3</v>
          </cell>
          <cell r="CF1055">
            <v>52.8</v>
          </cell>
          <cell r="CG1055">
            <v>0</v>
          </cell>
          <cell r="CH1055">
            <v>0</v>
          </cell>
          <cell r="CI1055">
            <v>1.4E-2</v>
          </cell>
          <cell r="CJ1055">
            <v>90.6</v>
          </cell>
          <cell r="CK1055">
            <v>2.7E-2</v>
          </cell>
          <cell r="CL1055">
            <v>172.5</v>
          </cell>
          <cell r="CO1055">
            <v>0</v>
          </cell>
          <cell r="CP1055">
            <v>0</v>
          </cell>
          <cell r="CQ1055">
            <v>0</v>
          </cell>
          <cell r="CR1055">
            <v>0</v>
          </cell>
          <cell r="CS1055">
            <v>0</v>
          </cell>
          <cell r="CT1055">
            <v>0</v>
          </cell>
          <cell r="CU1055">
            <v>8.9999999999999993E-3</v>
          </cell>
          <cell r="CV1055">
            <v>56.7</v>
          </cell>
          <cell r="CW1055">
            <v>0</v>
          </cell>
          <cell r="CX1055">
            <v>0</v>
          </cell>
          <cell r="CY1055">
            <v>0</v>
          </cell>
          <cell r="CZ1055">
            <v>0</v>
          </cell>
          <cell r="DA1055">
            <v>0</v>
          </cell>
          <cell r="DB1055">
            <v>0</v>
          </cell>
          <cell r="DC1055">
            <v>0</v>
          </cell>
          <cell r="DD1055">
            <v>0</v>
          </cell>
          <cell r="DE1055">
            <v>0</v>
          </cell>
          <cell r="DF1055">
            <v>0</v>
          </cell>
          <cell r="DG1055">
            <v>0</v>
          </cell>
          <cell r="DH1055">
            <v>0</v>
          </cell>
          <cell r="DI1055">
            <v>0</v>
          </cell>
          <cell r="DJ1055">
            <v>0</v>
          </cell>
          <cell r="DK1055">
            <v>0</v>
          </cell>
          <cell r="DL1055">
            <v>0</v>
          </cell>
          <cell r="DM1055">
            <v>0</v>
          </cell>
          <cell r="DN1055">
            <v>0</v>
          </cell>
          <cell r="DO1055">
            <v>0</v>
          </cell>
          <cell r="DP1055">
            <v>0</v>
          </cell>
          <cell r="DQ1055">
            <v>8.9999999999999993E-3</v>
          </cell>
          <cell r="DR1055">
            <v>56.7</v>
          </cell>
          <cell r="DS1055">
            <v>0</v>
          </cell>
          <cell r="DT1055">
            <v>0</v>
          </cell>
          <cell r="DU1055">
            <v>8.9999999999999993E-3</v>
          </cell>
          <cell r="DV1055">
            <v>56.7</v>
          </cell>
          <cell r="DW1055">
            <v>3.9999999999999994E-2</v>
          </cell>
          <cell r="DX1055">
            <v>254.39999999999998</v>
          </cell>
          <cell r="DY1055" t="str">
            <v/>
          </cell>
          <cell r="DZ1055">
            <v>0</v>
          </cell>
          <cell r="EA1055">
            <v>6360</v>
          </cell>
        </row>
        <row r="1056">
          <cell r="B1056">
            <v>307461</v>
          </cell>
          <cell r="C1056" t="str">
            <v>წვენი-სავილე-ბროწეულის-0.65ლ*12</v>
          </cell>
          <cell r="D1056" t="str">
            <v>TON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O1056">
            <v>0</v>
          </cell>
          <cell r="AP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O1056">
            <v>0</v>
          </cell>
          <cell r="CP1056">
            <v>0</v>
          </cell>
          <cell r="CQ1056">
            <v>0</v>
          </cell>
          <cell r="CR1056">
            <v>0</v>
          </cell>
          <cell r="CS1056">
            <v>0</v>
          </cell>
          <cell r="CT1056">
            <v>0</v>
          </cell>
          <cell r="CU1056">
            <v>0</v>
          </cell>
          <cell r="CV1056">
            <v>0</v>
          </cell>
          <cell r="CW1056">
            <v>0</v>
          </cell>
          <cell r="CX1056">
            <v>0</v>
          </cell>
          <cell r="CY1056">
            <v>0</v>
          </cell>
          <cell r="CZ1056">
            <v>0</v>
          </cell>
          <cell r="DA1056">
            <v>0</v>
          </cell>
          <cell r="DB1056">
            <v>0</v>
          </cell>
          <cell r="DC1056">
            <v>0</v>
          </cell>
          <cell r="DD1056">
            <v>0</v>
          </cell>
          <cell r="DE1056">
            <v>0</v>
          </cell>
          <cell r="DF1056">
            <v>0</v>
          </cell>
          <cell r="DG1056">
            <v>0</v>
          </cell>
          <cell r="DH1056">
            <v>0</v>
          </cell>
          <cell r="DI1056">
            <v>0</v>
          </cell>
          <cell r="DJ1056">
            <v>0</v>
          </cell>
          <cell r="DK1056">
            <v>0</v>
          </cell>
          <cell r="DL1056">
            <v>0</v>
          </cell>
          <cell r="DM1056">
            <v>0</v>
          </cell>
          <cell r="DN1056">
            <v>0</v>
          </cell>
          <cell r="DO1056">
            <v>0</v>
          </cell>
          <cell r="DP1056">
            <v>0</v>
          </cell>
          <cell r="DQ1056">
            <v>0</v>
          </cell>
          <cell r="DR1056">
            <v>0</v>
          </cell>
          <cell r="DS1056">
            <v>0</v>
          </cell>
          <cell r="DT1056">
            <v>0</v>
          </cell>
          <cell r="DU1056">
            <v>0</v>
          </cell>
          <cell r="DV1056">
            <v>0</v>
          </cell>
          <cell r="DW1056">
            <v>0</v>
          </cell>
          <cell r="DX1056">
            <v>0</v>
          </cell>
          <cell r="DY1056" t="str">
            <v/>
          </cell>
          <cell r="DZ1056" t="str">
            <v>pasiv</v>
          </cell>
          <cell r="EA1056" t="e">
            <v>#DIV/0!</v>
          </cell>
        </row>
        <row r="1057">
          <cell r="B1057">
            <v>71393</v>
          </cell>
          <cell r="C1057" t="str">
            <v>ძმარი-სავილე-ვაშლის-0.5ლ*16</v>
          </cell>
          <cell r="D1057" t="str">
            <v>TON</v>
          </cell>
          <cell r="E1057">
            <v>0</v>
          </cell>
          <cell r="F1057">
            <v>0</v>
          </cell>
          <cell r="G1057">
            <v>1.4500000000000001E-2</v>
          </cell>
          <cell r="H1057">
            <v>81.290000000000006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O1057">
            <v>1.4500000000000001E-2</v>
          </cell>
          <cell r="P1057">
            <v>81.290000000000006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5.0000000000000001E-4</v>
          </cell>
          <cell r="AF1057">
            <v>2.73</v>
          </cell>
          <cell r="AG1057">
            <v>6.0000000000000001E-3</v>
          </cell>
          <cell r="AH1057">
            <v>36.6</v>
          </cell>
          <cell r="AI1057">
            <v>2E-3</v>
          </cell>
          <cell r="AJ1057">
            <v>12.2</v>
          </cell>
          <cell r="AK1057">
            <v>5.4999999999999997E-3</v>
          </cell>
          <cell r="AL1057">
            <v>33.549999999999997</v>
          </cell>
          <cell r="AO1057">
            <v>1.4E-2</v>
          </cell>
          <cell r="AP1057">
            <v>85.08</v>
          </cell>
          <cell r="AS1057">
            <v>0</v>
          </cell>
          <cell r="AT1057">
            <v>0</v>
          </cell>
          <cell r="AU1057">
            <v>0.50549999999999995</v>
          </cell>
          <cell r="AV1057">
            <v>3016.11</v>
          </cell>
          <cell r="AW1057">
            <v>0</v>
          </cell>
          <cell r="AX1057">
            <v>0</v>
          </cell>
          <cell r="AY1057">
            <v>1.2E-2</v>
          </cell>
          <cell r="AZ1057">
            <v>68.94</v>
          </cell>
          <cell r="BA1057">
            <v>0</v>
          </cell>
          <cell r="BB1057">
            <v>0</v>
          </cell>
          <cell r="BC1057">
            <v>1.0500000000000001E-2</v>
          </cell>
          <cell r="BD1057">
            <v>60.26</v>
          </cell>
          <cell r="BE1057">
            <v>2.2499999999999999E-2</v>
          </cell>
          <cell r="BF1057">
            <v>129.19999999999999</v>
          </cell>
          <cell r="BG1057">
            <v>2.75E-2</v>
          </cell>
          <cell r="BH1057">
            <v>167.75</v>
          </cell>
          <cell r="BI1057">
            <v>1.9E-2</v>
          </cell>
          <cell r="BJ1057">
            <v>110.22</v>
          </cell>
          <cell r="BK1057">
            <v>0.02</v>
          </cell>
          <cell r="BL1057">
            <v>122</v>
          </cell>
          <cell r="BM1057">
            <v>1.7999999999999999E-2</v>
          </cell>
          <cell r="BN1057">
            <v>109.8</v>
          </cell>
          <cell r="BO1057">
            <v>5.0500000000000003E-2</v>
          </cell>
          <cell r="BP1057">
            <v>308.05</v>
          </cell>
          <cell r="BQ1057">
            <v>0</v>
          </cell>
          <cell r="BR1057">
            <v>0</v>
          </cell>
          <cell r="BS1057">
            <v>0.13500000000000001</v>
          </cell>
          <cell r="BT1057">
            <v>817.82</v>
          </cell>
          <cell r="BU1057">
            <v>0</v>
          </cell>
          <cell r="BV1057">
            <v>0</v>
          </cell>
          <cell r="BW1057">
            <v>1.55E-2</v>
          </cell>
          <cell r="BX1057">
            <v>88.51</v>
          </cell>
          <cell r="BY1057">
            <v>0.01</v>
          </cell>
          <cell r="BZ1057">
            <v>61</v>
          </cell>
          <cell r="CA1057">
            <v>4.5499999999999999E-2</v>
          </cell>
          <cell r="CB1057">
            <v>277.55</v>
          </cell>
          <cell r="CC1057">
            <v>8.0000000000000002E-3</v>
          </cell>
          <cell r="CD1057">
            <v>48.8</v>
          </cell>
          <cell r="CE1057">
            <v>0.01</v>
          </cell>
          <cell r="CF1057">
            <v>57.31</v>
          </cell>
          <cell r="CG1057">
            <v>0</v>
          </cell>
          <cell r="CH1057">
            <v>0</v>
          </cell>
          <cell r="CI1057">
            <v>8.8999999999999996E-2</v>
          </cell>
          <cell r="CJ1057">
            <v>533.16999999999996</v>
          </cell>
          <cell r="CK1057">
            <v>0.224</v>
          </cell>
          <cell r="CL1057">
            <v>1350.99</v>
          </cell>
          <cell r="CO1057">
            <v>0</v>
          </cell>
          <cell r="CP1057">
            <v>0</v>
          </cell>
          <cell r="CQ1057">
            <v>0</v>
          </cell>
          <cell r="CR1057">
            <v>0</v>
          </cell>
          <cell r="CS1057">
            <v>0</v>
          </cell>
          <cell r="CT1057">
            <v>0</v>
          </cell>
          <cell r="CU1057">
            <v>9.4500000000000001E-2</v>
          </cell>
          <cell r="CV1057">
            <v>553.32000000000005</v>
          </cell>
          <cell r="CW1057">
            <v>0</v>
          </cell>
          <cell r="CX1057">
            <v>0</v>
          </cell>
          <cell r="CY1057">
            <v>6.8000000000000005E-2</v>
          </cell>
          <cell r="CZ1057">
            <v>412.4</v>
          </cell>
          <cell r="DA1057">
            <v>6.0000000000000001E-3</v>
          </cell>
          <cell r="DB1057">
            <v>36.6</v>
          </cell>
          <cell r="DC1057">
            <v>6.0000000000000001E-3</v>
          </cell>
          <cell r="DD1057">
            <v>32.72</v>
          </cell>
          <cell r="DE1057">
            <v>8.0000000000000016E-2</v>
          </cell>
          <cell r="DF1057">
            <v>481.72</v>
          </cell>
          <cell r="DG1057">
            <v>8.9999999999999993E-3</v>
          </cell>
          <cell r="DH1057">
            <v>54.9</v>
          </cell>
          <cell r="DI1057">
            <v>1.4500000000000001E-2</v>
          </cell>
          <cell r="DJ1057">
            <v>88.45</v>
          </cell>
          <cell r="DK1057">
            <v>3.2500000000000001E-2</v>
          </cell>
          <cell r="DL1057">
            <v>191.16</v>
          </cell>
          <cell r="DM1057">
            <v>5.6000000000000001E-2</v>
          </cell>
          <cell r="DN1057">
            <v>334.51</v>
          </cell>
          <cell r="DO1057">
            <v>3.7499999999999999E-2</v>
          </cell>
          <cell r="DP1057">
            <v>214.17</v>
          </cell>
          <cell r="DQ1057">
            <v>9.4999999999999998E-3</v>
          </cell>
          <cell r="DR1057">
            <v>57.5</v>
          </cell>
          <cell r="DS1057">
            <v>4.7500000000000001E-2</v>
          </cell>
          <cell r="DT1057">
            <v>281.64999999999998</v>
          </cell>
          <cell r="DU1057">
            <v>9.4500000000000001E-2</v>
          </cell>
          <cell r="DV1057">
            <v>553.32000000000005</v>
          </cell>
          <cell r="DW1057">
            <v>0.50550000000000006</v>
          </cell>
          <cell r="DX1057">
            <v>3016.1099999999997</v>
          </cell>
          <cell r="DY1057" t="str">
            <v/>
          </cell>
          <cell r="DZ1057">
            <v>0</v>
          </cell>
          <cell r="EA1057">
            <v>5966.5875370919866</v>
          </cell>
        </row>
        <row r="1058">
          <cell r="B1058">
            <v>138786</v>
          </cell>
          <cell r="C1058" t="str">
            <v>ძმარი-სავილე-ყურძნის-0.5ლ*16</v>
          </cell>
          <cell r="D1058" t="str">
            <v>TON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1E-3</v>
          </cell>
          <cell r="AD1058">
            <v>5.26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O1058">
            <v>1E-3</v>
          </cell>
          <cell r="AP1058">
            <v>5.26</v>
          </cell>
          <cell r="AS1058">
            <v>0</v>
          </cell>
          <cell r="AT1058">
            <v>0</v>
          </cell>
          <cell r="AU1058">
            <v>2.5000000000000001E-3</v>
          </cell>
          <cell r="AV1058">
            <v>13.15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1.5E-3</v>
          </cell>
          <cell r="BD1058">
            <v>7.89</v>
          </cell>
          <cell r="BE1058">
            <v>1.5E-3</v>
          </cell>
          <cell r="BF1058">
            <v>7.89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  <cell r="CL1058">
            <v>0</v>
          </cell>
          <cell r="CO1058">
            <v>0</v>
          </cell>
          <cell r="CP1058">
            <v>0</v>
          </cell>
          <cell r="CQ1058">
            <v>0</v>
          </cell>
          <cell r="CR1058">
            <v>0</v>
          </cell>
          <cell r="CS1058">
            <v>0</v>
          </cell>
          <cell r="CT1058">
            <v>0</v>
          </cell>
          <cell r="CU1058">
            <v>0</v>
          </cell>
          <cell r="CV1058">
            <v>0</v>
          </cell>
          <cell r="CW1058">
            <v>0</v>
          </cell>
          <cell r="CX1058">
            <v>0</v>
          </cell>
          <cell r="CY1058">
            <v>0</v>
          </cell>
          <cell r="CZ1058">
            <v>0</v>
          </cell>
          <cell r="DA1058">
            <v>0</v>
          </cell>
          <cell r="DB1058">
            <v>0</v>
          </cell>
          <cell r="DC1058">
            <v>0</v>
          </cell>
          <cell r="DD1058">
            <v>0</v>
          </cell>
          <cell r="DE1058">
            <v>0</v>
          </cell>
          <cell r="DF1058">
            <v>0</v>
          </cell>
          <cell r="DG1058">
            <v>0</v>
          </cell>
          <cell r="DH1058">
            <v>0</v>
          </cell>
          <cell r="DI1058">
            <v>0</v>
          </cell>
          <cell r="DJ1058">
            <v>0</v>
          </cell>
          <cell r="DK1058">
            <v>0</v>
          </cell>
          <cell r="DL1058">
            <v>0</v>
          </cell>
          <cell r="DM1058">
            <v>0</v>
          </cell>
          <cell r="DN1058">
            <v>0</v>
          </cell>
          <cell r="DO1058">
            <v>0</v>
          </cell>
          <cell r="DP1058">
            <v>0</v>
          </cell>
          <cell r="DQ1058">
            <v>0</v>
          </cell>
          <cell r="DR1058">
            <v>0</v>
          </cell>
          <cell r="DS1058">
            <v>0</v>
          </cell>
          <cell r="DT1058">
            <v>0</v>
          </cell>
          <cell r="DU1058">
            <v>0</v>
          </cell>
          <cell r="DV1058">
            <v>0</v>
          </cell>
          <cell r="DW1058">
            <v>2.5000000000000001E-3</v>
          </cell>
          <cell r="DX1058">
            <v>13.149999999999999</v>
          </cell>
          <cell r="DY1058" t="str">
            <v/>
          </cell>
          <cell r="DZ1058">
            <v>0</v>
          </cell>
          <cell r="EA1058">
            <v>5259.9999999999991</v>
          </cell>
        </row>
        <row r="1059">
          <cell r="A1059">
            <v>71</v>
          </cell>
          <cell r="C1059" t="str">
            <v>Sirke-Sous-Kisel</v>
          </cell>
          <cell r="E1059">
            <v>0</v>
          </cell>
          <cell r="F1059">
            <v>0</v>
          </cell>
          <cell r="G1059">
            <v>2.019E-2</v>
          </cell>
          <cell r="H1059">
            <v>122.69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O1059">
            <v>2.019E-2</v>
          </cell>
          <cell r="P1059">
            <v>122.69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2.5000000000000001E-3</v>
          </cell>
          <cell r="AD1059">
            <v>14.14</v>
          </cell>
          <cell r="AE1059">
            <v>5.0000000000000001E-4</v>
          </cell>
          <cell r="AF1059">
            <v>2.73</v>
          </cell>
          <cell r="AG1059">
            <v>7.4999999999999997E-3</v>
          </cell>
          <cell r="AH1059">
            <v>45.42</v>
          </cell>
          <cell r="AI1059">
            <v>4.0000000000000001E-3</v>
          </cell>
          <cell r="AJ1059">
            <v>23.96</v>
          </cell>
          <cell r="AK1059">
            <v>1.7500000000000002E-2</v>
          </cell>
          <cell r="AL1059">
            <v>105.78999999999999</v>
          </cell>
          <cell r="AO1059">
            <v>3.2000000000000001E-2</v>
          </cell>
          <cell r="AP1059">
            <v>192.04</v>
          </cell>
          <cell r="AS1059">
            <v>0</v>
          </cell>
          <cell r="AT1059">
            <v>0</v>
          </cell>
          <cell r="AU1059">
            <v>0.75556999999999996</v>
          </cell>
          <cell r="AV1059">
            <v>4562.32</v>
          </cell>
          <cell r="AW1059">
            <v>0</v>
          </cell>
          <cell r="AX1059">
            <v>0</v>
          </cell>
          <cell r="AY1059">
            <v>2.9500000000000002E-2</v>
          </cell>
          <cell r="AZ1059">
            <v>167.81</v>
          </cell>
          <cell r="BA1059">
            <v>0</v>
          </cell>
          <cell r="BB1059">
            <v>0</v>
          </cell>
          <cell r="BC1059">
            <v>2.2500000000000003E-2</v>
          </cell>
          <cell r="BD1059">
            <v>125.67999999999999</v>
          </cell>
          <cell r="BE1059">
            <v>5.2000000000000005E-2</v>
          </cell>
          <cell r="BF1059">
            <v>293.49</v>
          </cell>
          <cell r="BG1059">
            <v>2.75E-2</v>
          </cell>
          <cell r="BH1059">
            <v>167.75</v>
          </cell>
          <cell r="BI1059">
            <v>2.7E-2</v>
          </cell>
          <cell r="BJ1059">
            <v>157.26</v>
          </cell>
          <cell r="BK1059">
            <v>2.2034999999999999E-2</v>
          </cell>
          <cell r="BL1059">
            <v>150.32</v>
          </cell>
          <cell r="BM1059">
            <v>1.9559999999999998E-2</v>
          </cell>
          <cell r="BN1059">
            <v>145.38</v>
          </cell>
          <cell r="BO1059">
            <v>6.9500000000000006E-2</v>
          </cell>
          <cell r="BP1059">
            <v>423.54</v>
          </cell>
          <cell r="BQ1059">
            <v>0</v>
          </cell>
          <cell r="BR1059">
            <v>0</v>
          </cell>
          <cell r="BS1059">
            <v>0.16559499999999999</v>
          </cell>
          <cell r="BT1059">
            <v>1044.25</v>
          </cell>
          <cell r="BU1059">
            <v>0</v>
          </cell>
          <cell r="BV1059">
            <v>0</v>
          </cell>
          <cell r="BW1059">
            <v>2.0500000000000001E-2</v>
          </cell>
          <cell r="BX1059">
            <v>116.64</v>
          </cell>
          <cell r="BY1059">
            <v>1.1035E-2</v>
          </cell>
          <cell r="BZ1059">
            <v>81.97</v>
          </cell>
          <cell r="CA1059">
            <v>5.1499999999999997E-2</v>
          </cell>
          <cell r="CB1059">
            <v>315.35000000000002</v>
          </cell>
          <cell r="CC1059">
            <v>8.0000000000000002E-3</v>
          </cell>
          <cell r="CD1059">
            <v>48.8</v>
          </cell>
          <cell r="CE1059">
            <v>1.8000000000000002E-2</v>
          </cell>
          <cell r="CF1059">
            <v>110.11</v>
          </cell>
          <cell r="CG1059">
            <v>0</v>
          </cell>
          <cell r="CH1059">
            <v>0</v>
          </cell>
          <cell r="CI1059">
            <v>0.10903499999999999</v>
          </cell>
          <cell r="CJ1059">
            <v>672.86999999999989</v>
          </cell>
          <cell r="CK1059">
            <v>0.27462999999999999</v>
          </cell>
          <cell r="CL1059">
            <v>1717.12</v>
          </cell>
          <cell r="CO1059">
            <v>0</v>
          </cell>
          <cell r="CP1059">
            <v>0</v>
          </cell>
          <cell r="CQ1059">
            <v>0</v>
          </cell>
          <cell r="CR1059">
            <v>0</v>
          </cell>
          <cell r="CS1059">
            <v>7.1250000000000008E-2</v>
          </cell>
          <cell r="CT1059">
            <v>417.57</v>
          </cell>
          <cell r="CU1059">
            <v>0.125</v>
          </cell>
          <cell r="CV1059">
            <v>735.35</v>
          </cell>
          <cell r="CW1059">
            <v>0</v>
          </cell>
          <cell r="CX1059">
            <v>0</v>
          </cell>
          <cell r="CY1059">
            <v>7.6000000000000012E-2</v>
          </cell>
          <cell r="CZ1059">
            <v>459.44</v>
          </cell>
          <cell r="DA1059">
            <v>9.0000000000000011E-3</v>
          </cell>
          <cell r="DB1059">
            <v>59.28</v>
          </cell>
          <cell r="DC1059">
            <v>3.3500000000000002E-2</v>
          </cell>
          <cell r="DD1059">
            <v>195.54999999999998</v>
          </cell>
          <cell r="DE1059">
            <v>0.11850000000000002</v>
          </cell>
          <cell r="DF1059">
            <v>714.27</v>
          </cell>
          <cell r="DG1059">
            <v>1.4999999999999999E-2</v>
          </cell>
          <cell r="DH1059">
            <v>90.18</v>
          </cell>
          <cell r="DI1059">
            <v>1.4500000000000001E-2</v>
          </cell>
          <cell r="DJ1059">
            <v>88.45</v>
          </cell>
          <cell r="DK1059">
            <v>3.2500000000000001E-2</v>
          </cell>
          <cell r="DL1059">
            <v>191.16</v>
          </cell>
          <cell r="DM1059">
            <v>6.2E-2</v>
          </cell>
          <cell r="DN1059">
            <v>369.78999999999996</v>
          </cell>
          <cell r="DO1059">
            <v>4.0500000000000001E-2</v>
          </cell>
          <cell r="DP1059">
            <v>230.29999999999998</v>
          </cell>
          <cell r="DQ1059">
            <v>1.8499999999999999E-2</v>
          </cell>
          <cell r="DR1059">
            <v>114.2</v>
          </cell>
          <cell r="DS1059">
            <v>6.6000000000000003E-2</v>
          </cell>
          <cell r="DT1059">
            <v>390.84999999999997</v>
          </cell>
          <cell r="DU1059">
            <v>0.125</v>
          </cell>
          <cell r="DV1059">
            <v>735.35</v>
          </cell>
          <cell r="DW1059">
            <v>0.75557000000000007</v>
          </cell>
          <cell r="DX1059">
            <v>4562.32</v>
          </cell>
          <cell r="DZ1059">
            <v>0</v>
          </cell>
          <cell r="EA1059">
            <v>6038.2492687639788</v>
          </cell>
        </row>
        <row r="1060">
          <cell r="B1060">
            <v>304853</v>
          </cell>
          <cell r="C1060" t="str">
            <v>ულქერი_ალბენი_რძიანი შოკოლადი_40გ*24*6</v>
          </cell>
          <cell r="D1060" t="str">
            <v>TON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1.2359999999999999E-2</v>
          </cell>
          <cell r="AD1060">
            <v>287.43</v>
          </cell>
          <cell r="AE1060">
            <v>0</v>
          </cell>
          <cell r="AF1060">
            <v>0</v>
          </cell>
          <cell r="AG1060">
            <v>2.8800000000000002E-3</v>
          </cell>
          <cell r="AH1060">
            <v>65.66</v>
          </cell>
          <cell r="AI1060">
            <v>9.5999999999999992E-3</v>
          </cell>
          <cell r="AJ1060">
            <v>223.2</v>
          </cell>
          <cell r="AK1060">
            <v>1.8239999999999999E-2</v>
          </cell>
          <cell r="AL1060">
            <v>417.5</v>
          </cell>
          <cell r="AO1060">
            <v>4.308E-2</v>
          </cell>
          <cell r="AP1060">
            <v>993.79</v>
          </cell>
          <cell r="AS1060">
            <v>0</v>
          </cell>
          <cell r="AT1060">
            <v>0</v>
          </cell>
          <cell r="AU1060">
            <v>0.17984</v>
          </cell>
          <cell r="AV1060">
            <v>4076.2800000000102</v>
          </cell>
          <cell r="AW1060">
            <v>0</v>
          </cell>
          <cell r="AX1060">
            <v>0</v>
          </cell>
          <cell r="AY1060">
            <v>2.8800000000000002E-3</v>
          </cell>
          <cell r="AZ1060">
            <v>66.64</v>
          </cell>
          <cell r="BA1060">
            <v>0</v>
          </cell>
          <cell r="BB1060">
            <v>0</v>
          </cell>
          <cell r="BC1060">
            <v>9.6000000000000002E-4</v>
          </cell>
          <cell r="BD1060">
            <v>21.34</v>
          </cell>
          <cell r="BE1060">
            <v>3.8400000000000001E-3</v>
          </cell>
          <cell r="BF1060">
            <v>87.98</v>
          </cell>
          <cell r="BG1060">
            <v>2.112E-2</v>
          </cell>
          <cell r="BH1060">
            <v>489.74</v>
          </cell>
          <cell r="BI1060">
            <v>0</v>
          </cell>
          <cell r="BJ1060">
            <v>0</v>
          </cell>
          <cell r="BK1060">
            <v>1.536E-2</v>
          </cell>
          <cell r="BL1060">
            <v>356.14</v>
          </cell>
          <cell r="BM1060">
            <v>0</v>
          </cell>
          <cell r="BN1060">
            <v>0</v>
          </cell>
          <cell r="BO1060">
            <v>1.44E-2</v>
          </cell>
          <cell r="BP1060">
            <v>333.5</v>
          </cell>
          <cell r="BQ1060">
            <v>0</v>
          </cell>
          <cell r="BR1060">
            <v>0</v>
          </cell>
          <cell r="BS1060">
            <v>5.0880000000000002E-2</v>
          </cell>
          <cell r="BT1060">
            <v>1179.3800000000001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7.6800000000000002E-3</v>
          </cell>
          <cell r="BZ1060">
            <v>177.26</v>
          </cell>
          <cell r="CA1060">
            <v>1.3440000000000001E-2</v>
          </cell>
          <cell r="CB1060">
            <v>312.48</v>
          </cell>
          <cell r="CC1060">
            <v>9.2000000000000003E-4</v>
          </cell>
          <cell r="CD1060">
            <v>21.41</v>
          </cell>
          <cell r="CE1060">
            <v>6.7200000000000003E-3</v>
          </cell>
          <cell r="CF1060">
            <v>133.19999999999999</v>
          </cell>
          <cell r="CG1060">
            <v>0</v>
          </cell>
          <cell r="CH1060">
            <v>0</v>
          </cell>
          <cell r="CI1060">
            <v>2.8760000000000001E-2</v>
          </cell>
          <cell r="CJ1060">
            <v>644.35</v>
          </cell>
          <cell r="CK1060">
            <v>7.9640000000000002E-2</v>
          </cell>
          <cell r="CL1060">
            <v>1823.73</v>
          </cell>
          <cell r="CO1060">
            <v>0</v>
          </cell>
          <cell r="CP1060">
            <v>0</v>
          </cell>
          <cell r="CQ1060">
            <v>0</v>
          </cell>
          <cell r="CR1060">
            <v>0</v>
          </cell>
          <cell r="CS1060">
            <v>0</v>
          </cell>
          <cell r="CT1060">
            <v>0</v>
          </cell>
          <cell r="CU1060">
            <v>2.8320000000000001E-2</v>
          </cell>
          <cell r="CV1060">
            <v>610.74</v>
          </cell>
          <cell r="CW1060">
            <v>0</v>
          </cell>
          <cell r="CX1060">
            <v>0</v>
          </cell>
          <cell r="CY1060">
            <v>3.8400000000000001E-3</v>
          </cell>
          <cell r="CZ1060">
            <v>89.28</v>
          </cell>
          <cell r="DA1060">
            <v>9.6000000000000002E-4</v>
          </cell>
          <cell r="DB1060">
            <v>22.32</v>
          </cell>
          <cell r="DC1060">
            <v>1.1520000000000001E-2</v>
          </cell>
          <cell r="DD1060">
            <v>249.8</v>
          </cell>
          <cell r="DE1060">
            <v>1.6320000000000001E-2</v>
          </cell>
          <cell r="DF1060">
            <v>361.4</v>
          </cell>
          <cell r="DG1060">
            <v>3.8400000000000001E-3</v>
          </cell>
          <cell r="DH1060">
            <v>88.32</v>
          </cell>
          <cell r="DI1060">
            <v>2.8800000000000002E-3</v>
          </cell>
          <cell r="DJ1060">
            <v>66</v>
          </cell>
          <cell r="DK1060">
            <v>1.92E-3</v>
          </cell>
          <cell r="DL1060">
            <v>44.32</v>
          </cell>
          <cell r="DM1060">
            <v>8.6400000000000001E-3</v>
          </cell>
          <cell r="DN1060">
            <v>198.64</v>
          </cell>
          <cell r="DO1060">
            <v>3.3600000000000001E-3</v>
          </cell>
          <cell r="DP1060">
            <v>78.12</v>
          </cell>
          <cell r="DQ1060">
            <v>2.2079999999999999E-2</v>
          </cell>
          <cell r="DR1060">
            <v>465.66</v>
          </cell>
          <cell r="DS1060">
            <v>2.8800000000000002E-3</v>
          </cell>
          <cell r="DT1060">
            <v>66.959999999999994</v>
          </cell>
          <cell r="DU1060">
            <v>2.8320000000000001E-2</v>
          </cell>
          <cell r="DV1060">
            <v>610.74</v>
          </cell>
          <cell r="DW1060">
            <v>0.17984000000000003</v>
          </cell>
          <cell r="DX1060">
            <v>4076.28</v>
          </cell>
          <cell r="DY1060" t="str">
            <v/>
          </cell>
          <cell r="DZ1060">
            <v>0</v>
          </cell>
          <cell r="EA1060">
            <v>22666.147686832737</v>
          </cell>
        </row>
        <row r="1061">
          <cell r="B1061">
            <v>305269</v>
          </cell>
          <cell r="C1061" t="str">
            <v>ULKER BEBE_172Q*12</v>
          </cell>
          <cell r="D1061" t="str">
            <v>TON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2.0639999999999999E-3</v>
          </cell>
          <cell r="AJ1061">
            <v>33.36</v>
          </cell>
          <cell r="AK1061">
            <v>3.0959999999999998E-3</v>
          </cell>
          <cell r="AL1061">
            <v>50.04</v>
          </cell>
          <cell r="AO1061">
            <v>5.1599999999999997E-3</v>
          </cell>
          <cell r="AP1061">
            <v>83.4</v>
          </cell>
          <cell r="AS1061">
            <v>0</v>
          </cell>
          <cell r="AT1061">
            <v>0</v>
          </cell>
          <cell r="AU1061">
            <v>2.8208E-2</v>
          </cell>
          <cell r="AV1061">
            <v>456.95</v>
          </cell>
          <cell r="AW1061">
            <v>0</v>
          </cell>
          <cell r="AX1061">
            <v>0</v>
          </cell>
          <cell r="AY1061">
            <v>2.0639999999999999E-3</v>
          </cell>
          <cell r="AZ1061">
            <v>33.36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2.0639999999999999E-3</v>
          </cell>
          <cell r="BF1061">
            <v>33.36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O1061">
            <v>0</v>
          </cell>
          <cell r="CP1061">
            <v>0</v>
          </cell>
          <cell r="CQ1061">
            <v>0</v>
          </cell>
          <cell r="CR1061">
            <v>0</v>
          </cell>
          <cell r="CS1061">
            <v>0</v>
          </cell>
          <cell r="CT1061">
            <v>0</v>
          </cell>
          <cell r="CU1061">
            <v>5.1599999999999997E-3</v>
          </cell>
          <cell r="CV1061">
            <v>82.39</v>
          </cell>
          <cell r="CW1061">
            <v>0</v>
          </cell>
          <cell r="CX1061">
            <v>0</v>
          </cell>
          <cell r="CY1061">
            <v>2.0639999999999999E-3</v>
          </cell>
          <cell r="CZ1061">
            <v>35.4</v>
          </cell>
          <cell r="DA1061">
            <v>8.9440000000000006E-3</v>
          </cell>
          <cell r="DB1061">
            <v>144.56</v>
          </cell>
          <cell r="DC1061">
            <v>2.0639999999999999E-3</v>
          </cell>
          <cell r="DD1061">
            <v>33.36</v>
          </cell>
          <cell r="DE1061">
            <v>1.3072E-2</v>
          </cell>
          <cell r="DF1061">
            <v>213.32</v>
          </cell>
          <cell r="DG1061">
            <v>0</v>
          </cell>
          <cell r="DH1061">
            <v>0</v>
          </cell>
          <cell r="DI1061">
            <v>8.5999999999999998E-4</v>
          </cell>
          <cell r="DJ1061">
            <v>13.9</v>
          </cell>
          <cell r="DK1061">
            <v>1.892E-3</v>
          </cell>
          <cell r="DL1061">
            <v>30.58</v>
          </cell>
          <cell r="DM1061">
            <v>2.7520000000000001E-3</v>
          </cell>
          <cell r="DN1061">
            <v>44.48</v>
          </cell>
          <cell r="DO1061">
            <v>1.0319999999999999E-3</v>
          </cell>
          <cell r="DP1061">
            <v>16.68</v>
          </cell>
          <cell r="DQ1061">
            <v>1.0319999999999999E-3</v>
          </cell>
          <cell r="DR1061">
            <v>15.67</v>
          </cell>
          <cell r="DS1061">
            <v>3.0959999999999998E-3</v>
          </cell>
          <cell r="DT1061">
            <v>50.04</v>
          </cell>
          <cell r="DU1061">
            <v>5.1599999999999997E-3</v>
          </cell>
          <cell r="DV1061">
            <v>82.39</v>
          </cell>
          <cell r="DW1061">
            <v>2.8208000000000004E-2</v>
          </cell>
          <cell r="DX1061">
            <v>456.95000000000005</v>
          </cell>
          <cell r="DY1061" t="str">
            <v/>
          </cell>
          <cell r="DZ1061">
            <v>0</v>
          </cell>
          <cell r="EA1061">
            <v>16199.305161656268</v>
          </cell>
        </row>
        <row r="1062">
          <cell r="B1062">
            <v>303702</v>
          </cell>
          <cell r="C1062" t="str">
            <v>ULKER COKOKREM_100Q*24</v>
          </cell>
          <cell r="D1062" t="str">
            <v>TON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O1062">
            <v>0</v>
          </cell>
          <cell r="AP1062">
            <v>0</v>
          </cell>
          <cell r="AS1062">
            <v>0</v>
          </cell>
          <cell r="AT1062">
            <v>0</v>
          </cell>
          <cell r="AU1062">
            <v>1.95E-2</v>
          </cell>
          <cell r="AV1062">
            <v>370.9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5.0000000000000001E-4</v>
          </cell>
          <cell r="BX1062">
            <v>10.43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1.3299999999999999E-2</v>
          </cell>
          <cell r="CF1062">
            <v>242.99</v>
          </cell>
          <cell r="CG1062">
            <v>0</v>
          </cell>
          <cell r="CH1062">
            <v>0</v>
          </cell>
          <cell r="CI1062">
            <v>1.38E-2</v>
          </cell>
          <cell r="CJ1062">
            <v>253.42</v>
          </cell>
          <cell r="CK1062">
            <v>1.38E-2</v>
          </cell>
          <cell r="CL1062">
            <v>253.42</v>
          </cell>
          <cell r="CO1062">
            <v>0</v>
          </cell>
          <cell r="CP1062">
            <v>0</v>
          </cell>
          <cell r="CQ1062">
            <v>0</v>
          </cell>
          <cell r="CR1062">
            <v>0</v>
          </cell>
          <cell r="CS1062">
            <v>0</v>
          </cell>
          <cell r="CT1062">
            <v>0</v>
          </cell>
          <cell r="CU1062">
            <v>2.3999999999999998E-3</v>
          </cell>
          <cell r="CV1062">
            <v>50.4</v>
          </cell>
          <cell r="CW1062">
            <v>0</v>
          </cell>
          <cell r="CX1062">
            <v>0</v>
          </cell>
          <cell r="CY1062">
            <v>0</v>
          </cell>
          <cell r="CZ1062">
            <v>0</v>
          </cell>
          <cell r="DA1062">
            <v>0</v>
          </cell>
          <cell r="DB1062">
            <v>0</v>
          </cell>
          <cell r="DC1062">
            <v>3.0000000000000001E-3</v>
          </cell>
          <cell r="DD1062">
            <v>60.63</v>
          </cell>
          <cell r="DE1062">
            <v>3.0000000000000001E-3</v>
          </cell>
          <cell r="DF1062">
            <v>60.63</v>
          </cell>
          <cell r="DG1062">
            <v>0</v>
          </cell>
          <cell r="DH1062">
            <v>0</v>
          </cell>
          <cell r="DI1062">
            <v>0</v>
          </cell>
          <cell r="DJ1062">
            <v>0</v>
          </cell>
          <cell r="DK1062">
            <v>2.9999999999999997E-4</v>
          </cell>
          <cell r="DL1062">
            <v>6.45</v>
          </cell>
          <cell r="DM1062">
            <v>2.9999999999999997E-4</v>
          </cell>
          <cell r="DN1062">
            <v>6.45</v>
          </cell>
          <cell r="DO1062">
            <v>0</v>
          </cell>
          <cell r="DP1062">
            <v>0</v>
          </cell>
          <cell r="DQ1062">
            <v>2.3999999999999998E-3</v>
          </cell>
          <cell r="DR1062">
            <v>50.4</v>
          </cell>
          <cell r="DS1062">
            <v>0</v>
          </cell>
          <cell r="DT1062">
            <v>0</v>
          </cell>
          <cell r="DU1062">
            <v>2.3999999999999998E-3</v>
          </cell>
          <cell r="DV1062">
            <v>50.4</v>
          </cell>
          <cell r="DW1062">
            <v>1.95E-2</v>
          </cell>
          <cell r="DX1062">
            <v>370.9</v>
          </cell>
          <cell r="DY1062" t="str">
            <v/>
          </cell>
          <cell r="DZ1062">
            <v>0</v>
          </cell>
          <cell r="EA1062">
            <v>19020.51282051282</v>
          </cell>
        </row>
        <row r="1063">
          <cell r="B1063">
            <v>303712</v>
          </cell>
          <cell r="C1063" t="str">
            <v>ULKER COKOKREM_180Q*12</v>
          </cell>
          <cell r="D1063" t="str">
            <v>TON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O1063">
            <v>0</v>
          </cell>
          <cell r="AP1063">
            <v>0</v>
          </cell>
          <cell r="AS1063">
            <v>0</v>
          </cell>
          <cell r="AT1063">
            <v>0</v>
          </cell>
          <cell r="AU1063">
            <v>1.8720000000000001E-2</v>
          </cell>
          <cell r="AV1063">
            <v>353.44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8.9999999999999998E-4</v>
          </cell>
          <cell r="BX1063">
            <v>18.190000000000001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1.512E-2</v>
          </cell>
          <cell r="CF1063">
            <v>279</v>
          </cell>
          <cell r="CG1063">
            <v>0</v>
          </cell>
          <cell r="CH1063">
            <v>0</v>
          </cell>
          <cell r="CI1063">
            <v>1.602E-2</v>
          </cell>
          <cell r="CJ1063">
            <v>297.19</v>
          </cell>
          <cell r="CK1063">
            <v>1.602E-2</v>
          </cell>
          <cell r="CL1063">
            <v>297.19</v>
          </cell>
          <cell r="CO1063">
            <v>0</v>
          </cell>
          <cell r="CP1063">
            <v>0</v>
          </cell>
          <cell r="CQ1063">
            <v>0</v>
          </cell>
          <cell r="CR1063">
            <v>0</v>
          </cell>
          <cell r="CS1063">
            <v>0</v>
          </cell>
          <cell r="CT1063">
            <v>0</v>
          </cell>
          <cell r="CU1063">
            <v>2.16E-3</v>
          </cell>
          <cell r="CV1063">
            <v>45</v>
          </cell>
          <cell r="CW1063">
            <v>0</v>
          </cell>
          <cell r="CX1063">
            <v>0</v>
          </cell>
          <cell r="CY1063">
            <v>0</v>
          </cell>
          <cell r="CZ1063">
            <v>0</v>
          </cell>
          <cell r="DA1063">
            <v>0</v>
          </cell>
          <cell r="DB1063">
            <v>0</v>
          </cell>
          <cell r="DC1063">
            <v>0</v>
          </cell>
          <cell r="DD1063">
            <v>0</v>
          </cell>
          <cell r="DE1063">
            <v>0</v>
          </cell>
          <cell r="DF1063">
            <v>0</v>
          </cell>
          <cell r="DG1063">
            <v>0</v>
          </cell>
          <cell r="DH1063">
            <v>0</v>
          </cell>
          <cell r="DI1063">
            <v>0</v>
          </cell>
          <cell r="DJ1063">
            <v>0</v>
          </cell>
          <cell r="DK1063">
            <v>5.4000000000000001E-4</v>
          </cell>
          <cell r="DL1063">
            <v>11.25</v>
          </cell>
          <cell r="DM1063">
            <v>5.4000000000000001E-4</v>
          </cell>
          <cell r="DN1063">
            <v>11.25</v>
          </cell>
          <cell r="DO1063">
            <v>0</v>
          </cell>
          <cell r="DP1063">
            <v>0</v>
          </cell>
          <cell r="DQ1063">
            <v>0</v>
          </cell>
          <cell r="DR1063">
            <v>0</v>
          </cell>
          <cell r="DS1063">
            <v>2.16E-3</v>
          </cell>
          <cell r="DT1063">
            <v>45</v>
          </cell>
          <cell r="DU1063">
            <v>2.16E-3</v>
          </cell>
          <cell r="DV1063">
            <v>45</v>
          </cell>
          <cell r="DW1063">
            <v>1.8720000000000001E-2</v>
          </cell>
          <cell r="DX1063">
            <v>353.44</v>
          </cell>
          <cell r="DY1063" t="str">
            <v/>
          </cell>
          <cell r="DZ1063">
            <v>0</v>
          </cell>
          <cell r="EA1063">
            <v>18880.341880341879</v>
          </cell>
        </row>
        <row r="1064">
          <cell r="B1064">
            <v>305364</v>
          </cell>
          <cell r="C1064" t="str">
            <v>ALBENI BITE CHOC.BISKVIT-72QR*24</v>
          </cell>
          <cell r="D1064" t="str">
            <v>TON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O1064">
            <v>0</v>
          </cell>
          <cell r="AP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O1064">
            <v>0</v>
          </cell>
          <cell r="CP1064">
            <v>0</v>
          </cell>
          <cell r="CQ1064">
            <v>0</v>
          </cell>
          <cell r="CR1064">
            <v>0</v>
          </cell>
          <cell r="CS1064">
            <v>0</v>
          </cell>
          <cell r="CT1064">
            <v>0</v>
          </cell>
          <cell r="CU1064">
            <v>0</v>
          </cell>
          <cell r="CV1064">
            <v>0</v>
          </cell>
          <cell r="CW1064">
            <v>0</v>
          </cell>
          <cell r="CX1064">
            <v>0</v>
          </cell>
          <cell r="CY1064">
            <v>0</v>
          </cell>
          <cell r="CZ1064">
            <v>0</v>
          </cell>
          <cell r="DA1064">
            <v>0</v>
          </cell>
          <cell r="DB1064">
            <v>0</v>
          </cell>
          <cell r="DC1064">
            <v>0</v>
          </cell>
          <cell r="DD1064">
            <v>0</v>
          </cell>
          <cell r="DE1064">
            <v>0</v>
          </cell>
          <cell r="DF1064">
            <v>0</v>
          </cell>
          <cell r="DG1064">
            <v>0</v>
          </cell>
          <cell r="DH1064">
            <v>0</v>
          </cell>
          <cell r="DI1064">
            <v>0</v>
          </cell>
          <cell r="DJ1064">
            <v>0</v>
          </cell>
          <cell r="DK1064">
            <v>0</v>
          </cell>
          <cell r="DL1064">
            <v>0</v>
          </cell>
          <cell r="DM1064">
            <v>0</v>
          </cell>
          <cell r="DN1064">
            <v>0</v>
          </cell>
          <cell r="DO1064">
            <v>0</v>
          </cell>
          <cell r="DP1064">
            <v>0</v>
          </cell>
          <cell r="DQ1064">
            <v>0</v>
          </cell>
          <cell r="DR1064">
            <v>0</v>
          </cell>
          <cell r="DS1064">
            <v>0</v>
          </cell>
          <cell r="DT1064">
            <v>0</v>
          </cell>
          <cell r="DU1064">
            <v>0</v>
          </cell>
          <cell r="DV1064">
            <v>0</v>
          </cell>
          <cell r="DW1064">
            <v>0</v>
          </cell>
          <cell r="DX1064">
            <v>0</v>
          </cell>
          <cell r="DY1064" t="str">
            <v/>
          </cell>
          <cell r="DZ1064" t="str">
            <v>pasiv</v>
          </cell>
          <cell r="EA1064" t="e">
            <v>#DIV/0!</v>
          </cell>
        </row>
        <row r="1065">
          <cell r="B1065">
            <v>319861</v>
          </cell>
          <cell r="C1065" t="str">
            <v>ULKER CICI BALIK CRAKER_135GR*12</v>
          </cell>
          <cell r="D1065" t="str">
            <v>TON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O1065">
            <v>0</v>
          </cell>
          <cell r="AP1065">
            <v>0</v>
          </cell>
          <cell r="AS1065">
            <v>0</v>
          </cell>
          <cell r="AT1065">
            <v>0</v>
          </cell>
          <cell r="AU1065">
            <v>1.242E-2</v>
          </cell>
          <cell r="AV1065">
            <v>195.21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8.0999999999999996E-4</v>
          </cell>
          <cell r="BX1065">
            <v>12.22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1.89E-3</v>
          </cell>
          <cell r="CF1065">
            <v>29.15</v>
          </cell>
          <cell r="CG1065">
            <v>0</v>
          </cell>
          <cell r="CH1065">
            <v>0</v>
          </cell>
          <cell r="CI1065">
            <v>2.7000000000000001E-3</v>
          </cell>
          <cell r="CJ1065">
            <v>41.37</v>
          </cell>
          <cell r="CK1065">
            <v>2.7000000000000001E-3</v>
          </cell>
          <cell r="CL1065">
            <v>41.37</v>
          </cell>
          <cell r="CO1065">
            <v>0</v>
          </cell>
          <cell r="CP1065">
            <v>0</v>
          </cell>
          <cell r="CQ1065">
            <v>0</v>
          </cell>
          <cell r="CR1065">
            <v>0</v>
          </cell>
          <cell r="CS1065">
            <v>0</v>
          </cell>
          <cell r="CT1065">
            <v>0</v>
          </cell>
          <cell r="CU1065">
            <v>0</v>
          </cell>
          <cell r="CV1065">
            <v>0</v>
          </cell>
          <cell r="CW1065">
            <v>0</v>
          </cell>
          <cell r="CX1065">
            <v>0</v>
          </cell>
          <cell r="CY1065">
            <v>9.7199999999999995E-3</v>
          </cell>
          <cell r="CZ1065">
            <v>153.84</v>
          </cell>
          <cell r="DA1065">
            <v>0</v>
          </cell>
          <cell r="DB1065">
            <v>0</v>
          </cell>
          <cell r="DC1065">
            <v>0</v>
          </cell>
          <cell r="DD1065">
            <v>0</v>
          </cell>
          <cell r="DE1065">
            <v>9.7199999999999995E-3</v>
          </cell>
          <cell r="DF1065">
            <v>153.84</v>
          </cell>
          <cell r="DG1065">
            <v>0</v>
          </cell>
          <cell r="DH1065">
            <v>0</v>
          </cell>
          <cell r="DI1065">
            <v>0</v>
          </cell>
          <cell r="DJ1065">
            <v>0</v>
          </cell>
          <cell r="DK1065">
            <v>0</v>
          </cell>
          <cell r="DL1065">
            <v>0</v>
          </cell>
          <cell r="DM1065">
            <v>0</v>
          </cell>
          <cell r="DN1065">
            <v>0</v>
          </cell>
          <cell r="DO1065">
            <v>0</v>
          </cell>
          <cell r="DP1065">
            <v>0</v>
          </cell>
          <cell r="DQ1065">
            <v>0</v>
          </cell>
          <cell r="DR1065">
            <v>0</v>
          </cell>
          <cell r="DS1065">
            <v>0</v>
          </cell>
          <cell r="DT1065">
            <v>0</v>
          </cell>
          <cell r="DU1065">
            <v>0</v>
          </cell>
          <cell r="DV1065">
            <v>0</v>
          </cell>
          <cell r="DW1065">
            <v>1.242E-2</v>
          </cell>
          <cell r="DX1065">
            <v>195.21</v>
          </cell>
          <cell r="DY1065" t="str">
            <v/>
          </cell>
          <cell r="DZ1065">
            <v>0</v>
          </cell>
          <cell r="EA1065">
            <v>15717.391304347826</v>
          </cell>
        </row>
        <row r="1066">
          <cell r="B1066">
            <v>338438</v>
          </cell>
          <cell r="C1066" t="str">
            <v>ულქერი_ალბენი_რძ.შოკ_40გ_22ც+2ც</v>
          </cell>
          <cell r="D1066" t="str">
            <v>TON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O1066">
            <v>0</v>
          </cell>
          <cell r="AP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O1066">
            <v>0</v>
          </cell>
          <cell r="CP1066">
            <v>0</v>
          </cell>
          <cell r="CQ1066">
            <v>0</v>
          </cell>
          <cell r="CR1066">
            <v>0</v>
          </cell>
          <cell r="CS1066">
            <v>0</v>
          </cell>
          <cell r="CT1066">
            <v>0</v>
          </cell>
          <cell r="CU1066">
            <v>0</v>
          </cell>
          <cell r="CV1066">
            <v>0</v>
          </cell>
          <cell r="CW1066">
            <v>0</v>
          </cell>
          <cell r="CX1066">
            <v>0</v>
          </cell>
          <cell r="CY1066">
            <v>0</v>
          </cell>
          <cell r="CZ1066">
            <v>0</v>
          </cell>
          <cell r="DA1066">
            <v>0</v>
          </cell>
          <cell r="DB1066">
            <v>0</v>
          </cell>
          <cell r="DC1066">
            <v>0</v>
          </cell>
          <cell r="DD1066">
            <v>0</v>
          </cell>
          <cell r="DE1066">
            <v>0</v>
          </cell>
          <cell r="DF1066">
            <v>0</v>
          </cell>
          <cell r="DG1066">
            <v>0</v>
          </cell>
          <cell r="DH1066">
            <v>0</v>
          </cell>
          <cell r="DI1066">
            <v>0</v>
          </cell>
          <cell r="DJ1066">
            <v>0</v>
          </cell>
          <cell r="DK1066">
            <v>0</v>
          </cell>
          <cell r="DL1066">
            <v>0</v>
          </cell>
          <cell r="DM1066">
            <v>0</v>
          </cell>
          <cell r="DN1066">
            <v>0</v>
          </cell>
          <cell r="DO1066">
            <v>0</v>
          </cell>
          <cell r="DP1066">
            <v>0</v>
          </cell>
          <cell r="DQ1066">
            <v>0</v>
          </cell>
          <cell r="DR1066">
            <v>0</v>
          </cell>
          <cell r="DS1066">
            <v>0</v>
          </cell>
          <cell r="DT1066">
            <v>0</v>
          </cell>
          <cell r="DU1066">
            <v>0</v>
          </cell>
          <cell r="DV1066">
            <v>0</v>
          </cell>
          <cell r="DW1066">
            <v>0</v>
          </cell>
          <cell r="DX1066">
            <v>0</v>
          </cell>
          <cell r="DY1066" t="str">
            <v/>
          </cell>
          <cell r="DZ1066" t="str">
            <v>pasiv</v>
          </cell>
          <cell r="EA1066" t="e">
            <v>#DIV/0!</v>
          </cell>
        </row>
        <row r="1067">
          <cell r="B1067">
            <v>373773</v>
          </cell>
          <cell r="C1067" t="str">
            <v>ულქერი_KANKY_26.5გ*24_კორნეტოს ფორმის</v>
          </cell>
          <cell r="D1067" t="str">
            <v>TON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O1067">
            <v>0</v>
          </cell>
          <cell r="AP1067">
            <v>0</v>
          </cell>
          <cell r="AS1067">
            <v>0</v>
          </cell>
          <cell r="AT1067">
            <v>0</v>
          </cell>
          <cell r="AU1067">
            <v>1.1606999999999999E-2</v>
          </cell>
          <cell r="AV1067">
            <v>514.65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6.3599999999999996E-4</v>
          </cell>
          <cell r="CD1067">
            <v>28.2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6.3599999999999996E-4</v>
          </cell>
          <cell r="CJ1067">
            <v>28.2</v>
          </cell>
          <cell r="CK1067">
            <v>6.3599999999999996E-4</v>
          </cell>
          <cell r="CL1067">
            <v>28.2</v>
          </cell>
          <cell r="CO1067">
            <v>0</v>
          </cell>
          <cell r="CP1067">
            <v>0</v>
          </cell>
          <cell r="CQ1067">
            <v>0</v>
          </cell>
          <cell r="CR1067">
            <v>0</v>
          </cell>
          <cell r="CS1067">
            <v>0</v>
          </cell>
          <cell r="CT1067">
            <v>0</v>
          </cell>
          <cell r="CU1067">
            <v>0</v>
          </cell>
          <cell r="CV1067">
            <v>0</v>
          </cell>
          <cell r="CW1067">
            <v>0</v>
          </cell>
          <cell r="CX1067">
            <v>0</v>
          </cell>
          <cell r="CY1067">
            <v>0</v>
          </cell>
          <cell r="CZ1067">
            <v>0</v>
          </cell>
          <cell r="DA1067">
            <v>0</v>
          </cell>
          <cell r="DB1067">
            <v>0</v>
          </cell>
          <cell r="DC1067">
            <v>1.0971E-2</v>
          </cell>
          <cell r="DD1067">
            <v>486.45</v>
          </cell>
          <cell r="DE1067">
            <v>1.0971E-2</v>
          </cell>
          <cell r="DF1067">
            <v>486.45</v>
          </cell>
          <cell r="DG1067">
            <v>0</v>
          </cell>
          <cell r="DH1067">
            <v>0</v>
          </cell>
          <cell r="DI1067">
            <v>0</v>
          </cell>
          <cell r="DJ1067">
            <v>0</v>
          </cell>
          <cell r="DK1067">
            <v>0</v>
          </cell>
          <cell r="DL1067">
            <v>0</v>
          </cell>
          <cell r="DM1067">
            <v>0</v>
          </cell>
          <cell r="DN1067">
            <v>0</v>
          </cell>
          <cell r="DO1067">
            <v>0</v>
          </cell>
          <cell r="DP1067">
            <v>0</v>
          </cell>
          <cell r="DQ1067">
            <v>0</v>
          </cell>
          <cell r="DR1067">
            <v>0</v>
          </cell>
          <cell r="DS1067">
            <v>0</v>
          </cell>
          <cell r="DT1067">
            <v>0</v>
          </cell>
          <cell r="DU1067">
            <v>0</v>
          </cell>
          <cell r="DV1067">
            <v>0</v>
          </cell>
          <cell r="DW1067">
            <v>1.1606999999999999E-2</v>
          </cell>
          <cell r="DX1067">
            <v>514.65</v>
          </cell>
          <cell r="DY1067" t="str">
            <v/>
          </cell>
          <cell r="DZ1067">
            <v>0</v>
          </cell>
          <cell r="EA1067">
            <v>44339.622641509435</v>
          </cell>
        </row>
        <row r="1068">
          <cell r="B1068">
            <v>338520</v>
          </cell>
          <cell r="C1068" t="str">
            <v>ულქერი_ჩხირები_მარილიანი_220გ_22ც+2ც</v>
          </cell>
          <cell r="D1068" t="str">
            <v>TON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5.28E-3</v>
          </cell>
          <cell r="T1068">
            <v>59.14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5.28E-3</v>
          </cell>
          <cell r="Z1068">
            <v>59.14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O1068">
            <v>0</v>
          </cell>
          <cell r="AP1068">
            <v>0</v>
          </cell>
          <cell r="AS1068">
            <v>0</v>
          </cell>
          <cell r="AT1068">
            <v>0</v>
          </cell>
          <cell r="AU1068">
            <v>3.696E-2</v>
          </cell>
          <cell r="AV1068">
            <v>421.35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1.056E-2</v>
          </cell>
          <cell r="BV1068">
            <v>123.2</v>
          </cell>
          <cell r="BW1068">
            <v>0</v>
          </cell>
          <cell r="BX1068">
            <v>0</v>
          </cell>
          <cell r="BY1068">
            <v>2.112E-2</v>
          </cell>
          <cell r="BZ1068">
            <v>239.01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3.168E-2</v>
          </cell>
          <cell r="CJ1068">
            <v>362.21</v>
          </cell>
          <cell r="CK1068">
            <v>3.168E-2</v>
          </cell>
          <cell r="CL1068">
            <v>362.21</v>
          </cell>
          <cell r="CO1068">
            <v>0</v>
          </cell>
          <cell r="CP1068">
            <v>0</v>
          </cell>
          <cell r="CQ1068">
            <v>0</v>
          </cell>
          <cell r="CR1068">
            <v>0</v>
          </cell>
          <cell r="CS1068">
            <v>0</v>
          </cell>
          <cell r="CT1068">
            <v>0</v>
          </cell>
          <cell r="CU1068">
            <v>0</v>
          </cell>
          <cell r="CV1068">
            <v>0</v>
          </cell>
          <cell r="CW1068">
            <v>0</v>
          </cell>
          <cell r="CX1068">
            <v>0</v>
          </cell>
          <cell r="CY1068">
            <v>0</v>
          </cell>
          <cell r="CZ1068">
            <v>0</v>
          </cell>
          <cell r="DA1068">
            <v>0</v>
          </cell>
          <cell r="DB1068">
            <v>0</v>
          </cell>
          <cell r="DC1068">
            <v>0</v>
          </cell>
          <cell r="DD1068">
            <v>0</v>
          </cell>
          <cell r="DE1068">
            <v>0</v>
          </cell>
          <cell r="DF1068">
            <v>0</v>
          </cell>
          <cell r="DG1068">
            <v>0</v>
          </cell>
          <cell r="DH1068">
            <v>0</v>
          </cell>
          <cell r="DI1068">
            <v>0</v>
          </cell>
          <cell r="DJ1068">
            <v>0</v>
          </cell>
          <cell r="DK1068">
            <v>0</v>
          </cell>
          <cell r="DL1068">
            <v>0</v>
          </cell>
          <cell r="DM1068">
            <v>0</v>
          </cell>
          <cell r="DN1068">
            <v>0</v>
          </cell>
          <cell r="DO1068">
            <v>0</v>
          </cell>
          <cell r="DP1068">
            <v>0</v>
          </cell>
          <cell r="DQ1068">
            <v>0</v>
          </cell>
          <cell r="DR1068">
            <v>0</v>
          </cell>
          <cell r="DS1068">
            <v>0</v>
          </cell>
          <cell r="DT1068">
            <v>0</v>
          </cell>
          <cell r="DU1068">
            <v>0</v>
          </cell>
          <cell r="DV1068">
            <v>0</v>
          </cell>
          <cell r="DW1068">
            <v>3.696E-2</v>
          </cell>
          <cell r="DX1068">
            <v>421.34999999999997</v>
          </cell>
          <cell r="DY1068" t="str">
            <v/>
          </cell>
          <cell r="DZ1068">
            <v>0</v>
          </cell>
          <cell r="EA1068">
            <v>11400.162337662337</v>
          </cell>
        </row>
        <row r="1069">
          <cell r="B1069">
            <v>346972</v>
          </cell>
          <cell r="C1069" t="str">
            <v>ულქერი_ალბენი_PETITS_192გ*7_KZ</v>
          </cell>
          <cell r="D1069" t="str">
            <v>TON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O1069">
            <v>0</v>
          </cell>
          <cell r="AP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O1069">
            <v>0</v>
          </cell>
          <cell r="CP1069">
            <v>0</v>
          </cell>
          <cell r="CQ1069">
            <v>0</v>
          </cell>
          <cell r="CR1069">
            <v>0</v>
          </cell>
          <cell r="CS1069">
            <v>0</v>
          </cell>
          <cell r="CT1069">
            <v>0</v>
          </cell>
          <cell r="CU1069">
            <v>0</v>
          </cell>
          <cell r="CV1069">
            <v>0</v>
          </cell>
          <cell r="CW1069">
            <v>0</v>
          </cell>
          <cell r="CX1069">
            <v>0</v>
          </cell>
          <cell r="CY1069">
            <v>0</v>
          </cell>
          <cell r="CZ1069">
            <v>0</v>
          </cell>
          <cell r="DA1069">
            <v>0</v>
          </cell>
          <cell r="DB1069">
            <v>0</v>
          </cell>
          <cell r="DC1069">
            <v>0</v>
          </cell>
          <cell r="DD1069">
            <v>0</v>
          </cell>
          <cell r="DE1069">
            <v>0</v>
          </cell>
          <cell r="DF1069">
            <v>0</v>
          </cell>
          <cell r="DG1069">
            <v>0</v>
          </cell>
          <cell r="DH1069">
            <v>0</v>
          </cell>
          <cell r="DI1069">
            <v>0</v>
          </cell>
          <cell r="DJ1069">
            <v>0</v>
          </cell>
          <cell r="DK1069">
            <v>0</v>
          </cell>
          <cell r="DL1069">
            <v>0</v>
          </cell>
          <cell r="DM1069">
            <v>0</v>
          </cell>
          <cell r="DN1069">
            <v>0</v>
          </cell>
          <cell r="DO1069">
            <v>0</v>
          </cell>
          <cell r="DP1069">
            <v>0</v>
          </cell>
          <cell r="DQ1069">
            <v>0</v>
          </cell>
          <cell r="DR1069">
            <v>0</v>
          </cell>
          <cell r="DS1069">
            <v>0</v>
          </cell>
          <cell r="DT1069">
            <v>0</v>
          </cell>
          <cell r="DU1069">
            <v>0</v>
          </cell>
          <cell r="DV1069">
            <v>0</v>
          </cell>
          <cell r="DW1069">
            <v>0</v>
          </cell>
          <cell r="DX1069">
            <v>0</v>
          </cell>
          <cell r="DY1069" t="str">
            <v/>
          </cell>
          <cell r="DZ1069" t="str">
            <v>pasiv</v>
          </cell>
          <cell r="EA1069" t="e">
            <v>#DIV/0!</v>
          </cell>
        </row>
        <row r="1070">
          <cell r="B1070">
            <v>319747</v>
          </cell>
          <cell r="C1070" t="str">
            <v>ულქერი_YUPO_ჟელე_დათუნია_80გ*24</v>
          </cell>
          <cell r="D1070" t="str">
            <v>TON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O1070">
            <v>0</v>
          </cell>
          <cell r="AP1070">
            <v>0</v>
          </cell>
          <cell r="AS1070">
            <v>0</v>
          </cell>
          <cell r="AT1070">
            <v>0</v>
          </cell>
          <cell r="AU1070">
            <v>1.1599999999999999E-2</v>
          </cell>
          <cell r="AV1070">
            <v>208.77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1.92E-3</v>
          </cell>
          <cell r="BD1070">
            <v>34.92</v>
          </cell>
          <cell r="BE1070">
            <v>1.92E-3</v>
          </cell>
          <cell r="BF1070">
            <v>34.92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8.0000000000000004E-4</v>
          </cell>
          <cell r="BV1070">
            <v>14.55</v>
          </cell>
          <cell r="BW1070">
            <v>1.92E-3</v>
          </cell>
          <cell r="BX1070">
            <v>34.92</v>
          </cell>
          <cell r="BY1070">
            <v>0</v>
          </cell>
          <cell r="BZ1070">
            <v>0</v>
          </cell>
          <cell r="CA1070">
            <v>0</v>
          </cell>
          <cell r="CB1070">
            <v>0</v>
          </cell>
          <cell r="CC1070">
            <v>0</v>
          </cell>
          <cell r="CD1070">
            <v>0</v>
          </cell>
          <cell r="CE1070">
            <v>1.92E-3</v>
          </cell>
          <cell r="CF1070">
            <v>33.840000000000003</v>
          </cell>
          <cell r="CG1070">
            <v>0</v>
          </cell>
          <cell r="CH1070">
            <v>0</v>
          </cell>
          <cell r="CI1070">
            <v>4.64E-3</v>
          </cell>
          <cell r="CJ1070">
            <v>83.31</v>
          </cell>
          <cell r="CK1070">
            <v>4.64E-3</v>
          </cell>
          <cell r="CL1070">
            <v>83.31</v>
          </cell>
          <cell r="CO1070">
            <v>0</v>
          </cell>
          <cell r="CP1070">
            <v>0</v>
          </cell>
          <cell r="CQ1070">
            <v>0</v>
          </cell>
          <cell r="CR1070">
            <v>0</v>
          </cell>
          <cell r="CS1070">
            <v>0</v>
          </cell>
          <cell r="CT1070">
            <v>0</v>
          </cell>
          <cell r="CU1070">
            <v>9.6000000000000002E-4</v>
          </cell>
          <cell r="CV1070">
            <v>17.28</v>
          </cell>
          <cell r="CW1070">
            <v>0</v>
          </cell>
          <cell r="CX1070">
            <v>0</v>
          </cell>
          <cell r="CY1070">
            <v>0</v>
          </cell>
          <cell r="CZ1070">
            <v>0</v>
          </cell>
          <cell r="DA1070">
            <v>0</v>
          </cell>
          <cell r="DB1070">
            <v>0</v>
          </cell>
          <cell r="DC1070">
            <v>2.8800000000000002E-3</v>
          </cell>
          <cell r="DD1070">
            <v>50.76</v>
          </cell>
          <cell r="DE1070">
            <v>2.8800000000000002E-3</v>
          </cell>
          <cell r="DF1070">
            <v>50.76</v>
          </cell>
          <cell r="DG1070">
            <v>0</v>
          </cell>
          <cell r="DH1070">
            <v>0</v>
          </cell>
          <cell r="DI1070">
            <v>0</v>
          </cell>
          <cell r="DJ1070">
            <v>0</v>
          </cell>
          <cell r="DK1070">
            <v>1.1999999999999999E-3</v>
          </cell>
          <cell r="DL1070">
            <v>22.5</v>
          </cell>
          <cell r="DM1070">
            <v>1.1999999999999999E-3</v>
          </cell>
          <cell r="DN1070">
            <v>22.5</v>
          </cell>
          <cell r="DO1070">
            <v>0</v>
          </cell>
          <cell r="DP1070">
            <v>0</v>
          </cell>
          <cell r="DQ1070">
            <v>9.6000000000000002E-4</v>
          </cell>
          <cell r="DR1070">
            <v>17.28</v>
          </cell>
          <cell r="DS1070">
            <v>0</v>
          </cell>
          <cell r="DT1070">
            <v>0</v>
          </cell>
          <cell r="DU1070">
            <v>9.6000000000000002E-4</v>
          </cell>
          <cell r="DV1070">
            <v>17.28</v>
          </cell>
          <cell r="DW1070">
            <v>1.1600000000000001E-2</v>
          </cell>
          <cell r="DX1070">
            <v>208.76999999999998</v>
          </cell>
          <cell r="DY1070" t="str">
            <v/>
          </cell>
          <cell r="DZ1070">
            <v>0</v>
          </cell>
          <cell r="EA1070">
            <v>17997.413793103446</v>
          </cell>
        </row>
        <row r="1071">
          <cell r="B1071">
            <v>319749</v>
          </cell>
          <cell r="C1071" t="str">
            <v>ულქერი_YUPO_ჟელე_კოლა_80გ*24</v>
          </cell>
          <cell r="D1071" t="str">
            <v>TON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O1071">
            <v>0</v>
          </cell>
          <cell r="AP1071">
            <v>0</v>
          </cell>
          <cell r="AS1071">
            <v>0</v>
          </cell>
          <cell r="AT1071">
            <v>0</v>
          </cell>
          <cell r="AU1071">
            <v>1.4E-2</v>
          </cell>
          <cell r="AV1071">
            <v>253.37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1.92E-3</v>
          </cell>
          <cell r="BD1071">
            <v>34.92</v>
          </cell>
          <cell r="BE1071">
            <v>1.92E-3</v>
          </cell>
          <cell r="BF1071">
            <v>34.92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8.0000000000000004E-4</v>
          </cell>
          <cell r="BV1071">
            <v>14.55</v>
          </cell>
          <cell r="BW1071">
            <v>1.92E-3</v>
          </cell>
          <cell r="BX1071">
            <v>34.92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2.32E-3</v>
          </cell>
          <cell r="CF1071">
            <v>40.89</v>
          </cell>
          <cell r="CG1071">
            <v>0</v>
          </cell>
          <cell r="CH1071">
            <v>0</v>
          </cell>
          <cell r="CI1071">
            <v>5.0400000000000002E-3</v>
          </cell>
          <cell r="CJ1071">
            <v>90.36</v>
          </cell>
          <cell r="CK1071">
            <v>5.0400000000000002E-3</v>
          </cell>
          <cell r="CL1071">
            <v>90.36</v>
          </cell>
          <cell r="CO1071">
            <v>0</v>
          </cell>
          <cell r="CP1071">
            <v>0</v>
          </cell>
          <cell r="CQ1071">
            <v>0</v>
          </cell>
          <cell r="CR1071">
            <v>0</v>
          </cell>
          <cell r="CS1071">
            <v>0</v>
          </cell>
          <cell r="CT1071">
            <v>0</v>
          </cell>
          <cell r="CU1071">
            <v>2.8800000000000002E-3</v>
          </cell>
          <cell r="CV1071">
            <v>53.28</v>
          </cell>
          <cell r="CW1071">
            <v>0</v>
          </cell>
          <cell r="CX1071">
            <v>0</v>
          </cell>
          <cell r="CY1071">
            <v>0</v>
          </cell>
          <cell r="CZ1071">
            <v>0</v>
          </cell>
          <cell r="DA1071">
            <v>0</v>
          </cell>
          <cell r="DB1071">
            <v>0</v>
          </cell>
          <cell r="DC1071">
            <v>2.8800000000000002E-3</v>
          </cell>
          <cell r="DD1071">
            <v>50.76</v>
          </cell>
          <cell r="DE1071">
            <v>2.8800000000000002E-3</v>
          </cell>
          <cell r="DF1071">
            <v>50.76</v>
          </cell>
          <cell r="DG1071">
            <v>0</v>
          </cell>
          <cell r="DH1071">
            <v>0</v>
          </cell>
          <cell r="DI1071">
            <v>0</v>
          </cell>
          <cell r="DJ1071">
            <v>0</v>
          </cell>
          <cell r="DK1071">
            <v>1.1999999999999999E-3</v>
          </cell>
          <cell r="DL1071">
            <v>22.5</v>
          </cell>
          <cell r="DM1071">
            <v>1.1999999999999999E-3</v>
          </cell>
          <cell r="DN1071">
            <v>22.5</v>
          </cell>
          <cell r="DO1071">
            <v>0</v>
          </cell>
          <cell r="DP1071">
            <v>0</v>
          </cell>
          <cell r="DQ1071">
            <v>9.6000000000000002E-4</v>
          </cell>
          <cell r="DR1071">
            <v>17.28</v>
          </cell>
          <cell r="DS1071">
            <v>1.92E-3</v>
          </cell>
          <cell r="DT1071">
            <v>36</v>
          </cell>
          <cell r="DU1071">
            <v>2.8800000000000002E-3</v>
          </cell>
          <cell r="DV1071">
            <v>53.28</v>
          </cell>
          <cell r="DW1071">
            <v>1.392E-2</v>
          </cell>
          <cell r="DX1071">
            <v>251.82</v>
          </cell>
          <cell r="DY1071" t="str">
            <v/>
          </cell>
          <cell r="DZ1071">
            <v>0</v>
          </cell>
          <cell r="EA1071">
            <v>18090.517241379308</v>
          </cell>
        </row>
        <row r="1072">
          <cell r="B1072">
            <v>338521</v>
          </cell>
          <cell r="C1072" t="str">
            <v>ულქერი_ბისკრემ_205გ_11ც+1ც_ბისკვ.კაკაოს კრემ</v>
          </cell>
          <cell r="D1072" t="str">
            <v>TON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O1072">
            <v>0</v>
          </cell>
          <cell r="AP1072">
            <v>0</v>
          </cell>
          <cell r="AS1072">
            <v>0</v>
          </cell>
          <cell r="AT1072">
            <v>0</v>
          </cell>
          <cell r="AU1072">
            <v>2.4599999999999999E-3</v>
          </cell>
          <cell r="AV1072">
            <v>34.14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2.4599999999999999E-3</v>
          </cell>
          <cell r="BL1072">
            <v>34.14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2.4599999999999999E-3</v>
          </cell>
          <cell r="BT1072">
            <v>34.14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2.4599999999999999E-3</v>
          </cell>
          <cell r="CL1072">
            <v>34.14</v>
          </cell>
          <cell r="CO1072">
            <v>0</v>
          </cell>
          <cell r="CP1072">
            <v>0</v>
          </cell>
          <cell r="CQ1072">
            <v>0</v>
          </cell>
          <cell r="CR1072">
            <v>0</v>
          </cell>
          <cell r="CS1072">
            <v>0</v>
          </cell>
          <cell r="CT1072">
            <v>0</v>
          </cell>
          <cell r="CU1072">
            <v>0</v>
          </cell>
          <cell r="CV1072">
            <v>0</v>
          </cell>
          <cell r="CW1072">
            <v>0</v>
          </cell>
          <cell r="CX1072">
            <v>0</v>
          </cell>
          <cell r="CY1072">
            <v>0</v>
          </cell>
          <cell r="CZ1072">
            <v>0</v>
          </cell>
          <cell r="DA1072">
            <v>0</v>
          </cell>
          <cell r="DB1072">
            <v>0</v>
          </cell>
          <cell r="DC1072">
            <v>0</v>
          </cell>
          <cell r="DD1072">
            <v>0</v>
          </cell>
          <cell r="DE1072">
            <v>0</v>
          </cell>
          <cell r="DF1072">
            <v>0</v>
          </cell>
          <cell r="DG1072">
            <v>0</v>
          </cell>
          <cell r="DH1072">
            <v>0</v>
          </cell>
          <cell r="DI1072">
            <v>0</v>
          </cell>
          <cell r="DJ1072">
            <v>0</v>
          </cell>
          <cell r="DK1072">
            <v>0</v>
          </cell>
          <cell r="DL1072">
            <v>0</v>
          </cell>
          <cell r="DM1072">
            <v>0</v>
          </cell>
          <cell r="DN1072">
            <v>0</v>
          </cell>
          <cell r="DO1072">
            <v>0</v>
          </cell>
          <cell r="DP1072">
            <v>0</v>
          </cell>
          <cell r="DQ1072">
            <v>0</v>
          </cell>
          <cell r="DR1072">
            <v>0</v>
          </cell>
          <cell r="DS1072">
            <v>0</v>
          </cell>
          <cell r="DT1072">
            <v>0</v>
          </cell>
          <cell r="DU1072">
            <v>0</v>
          </cell>
          <cell r="DV1072">
            <v>0</v>
          </cell>
          <cell r="DW1072">
            <v>2.4599999999999999E-3</v>
          </cell>
          <cell r="DX1072">
            <v>34.14</v>
          </cell>
          <cell r="DY1072" t="str">
            <v/>
          </cell>
          <cell r="DZ1072">
            <v>0</v>
          </cell>
          <cell r="EA1072">
            <v>13878.048780487805</v>
          </cell>
        </row>
        <row r="1073">
          <cell r="B1073">
            <v>303743</v>
          </cell>
          <cell r="C1073" t="str">
            <v>ულქერი_კაკაოს ორცხობილა_450გ*10</v>
          </cell>
          <cell r="D1073" t="str">
            <v>TON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2.7000000000000001E-3</v>
          </cell>
          <cell r="AL1073">
            <v>31.8</v>
          </cell>
          <cell r="AO1073">
            <v>2.7000000000000001E-3</v>
          </cell>
          <cell r="AP1073">
            <v>31.8</v>
          </cell>
          <cell r="AS1073">
            <v>0</v>
          </cell>
          <cell r="AT1073">
            <v>0</v>
          </cell>
          <cell r="AU1073">
            <v>2.7000000000000001E-3</v>
          </cell>
          <cell r="AV1073">
            <v>31.8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O1073">
            <v>0</v>
          </cell>
          <cell r="CP1073">
            <v>0</v>
          </cell>
          <cell r="CQ1073">
            <v>0</v>
          </cell>
          <cell r="CR1073">
            <v>0</v>
          </cell>
          <cell r="CS1073">
            <v>0</v>
          </cell>
          <cell r="CT1073">
            <v>0</v>
          </cell>
          <cell r="CU1073">
            <v>0</v>
          </cell>
          <cell r="CV1073">
            <v>0</v>
          </cell>
          <cell r="CW1073">
            <v>0</v>
          </cell>
          <cell r="CX1073">
            <v>0</v>
          </cell>
          <cell r="CY1073">
            <v>0</v>
          </cell>
          <cell r="CZ1073">
            <v>0</v>
          </cell>
          <cell r="DA1073">
            <v>0</v>
          </cell>
          <cell r="DB1073">
            <v>0</v>
          </cell>
          <cell r="DC1073">
            <v>0</v>
          </cell>
          <cell r="DD1073">
            <v>0</v>
          </cell>
          <cell r="DE1073">
            <v>0</v>
          </cell>
          <cell r="DF1073">
            <v>0</v>
          </cell>
          <cell r="DG1073">
            <v>0</v>
          </cell>
          <cell r="DH1073">
            <v>0</v>
          </cell>
          <cell r="DI1073">
            <v>0</v>
          </cell>
          <cell r="DJ1073">
            <v>0</v>
          </cell>
          <cell r="DK1073">
            <v>0</v>
          </cell>
          <cell r="DL1073">
            <v>0</v>
          </cell>
          <cell r="DM1073">
            <v>0</v>
          </cell>
          <cell r="DN1073">
            <v>0</v>
          </cell>
          <cell r="DO1073">
            <v>0</v>
          </cell>
          <cell r="DP1073">
            <v>0</v>
          </cell>
          <cell r="DQ1073">
            <v>0</v>
          </cell>
          <cell r="DR1073">
            <v>0</v>
          </cell>
          <cell r="DS1073">
            <v>0</v>
          </cell>
          <cell r="DT1073">
            <v>0</v>
          </cell>
          <cell r="DU1073">
            <v>0</v>
          </cell>
          <cell r="DV1073">
            <v>0</v>
          </cell>
          <cell r="DW1073">
            <v>2.7000000000000001E-3</v>
          </cell>
          <cell r="DX1073">
            <v>31.8</v>
          </cell>
          <cell r="DY1073" t="str">
            <v/>
          </cell>
          <cell r="DZ1073">
            <v>0</v>
          </cell>
          <cell r="EA1073">
            <v>11777.777777777777</v>
          </cell>
        </row>
        <row r="1074">
          <cell r="B1074">
            <v>304731</v>
          </cell>
          <cell r="C1074" t="str">
            <v>ულქერი_ჩოკოპრენს_300გ*12</v>
          </cell>
          <cell r="D1074" t="str">
            <v>TON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-2.9999999999999997E-4</v>
          </cell>
          <cell r="AD1074">
            <v>-5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O1074">
            <v>-2.9999999999999997E-4</v>
          </cell>
          <cell r="AP1074">
            <v>-5</v>
          </cell>
          <cell r="AS1074">
            <v>0</v>
          </cell>
          <cell r="AT1074">
            <v>0</v>
          </cell>
          <cell r="AU1074">
            <v>6.2100000000000002E-2</v>
          </cell>
          <cell r="AV1074">
            <v>1049.8</v>
          </cell>
          <cell r="AW1074">
            <v>0</v>
          </cell>
          <cell r="AX1074">
            <v>0</v>
          </cell>
          <cell r="AY1074">
            <v>1.8E-3</v>
          </cell>
          <cell r="AZ1074">
            <v>29.4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1.8E-3</v>
          </cell>
          <cell r="BF1074">
            <v>29.4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3.0000000000000001E-3</v>
          </cell>
          <cell r="BX1074">
            <v>48.12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3.0000000000000001E-3</v>
          </cell>
          <cell r="CJ1074">
            <v>48.12</v>
          </cell>
          <cell r="CK1074">
            <v>3.0000000000000001E-3</v>
          </cell>
          <cell r="CL1074">
            <v>48.12</v>
          </cell>
          <cell r="CO1074">
            <v>0</v>
          </cell>
          <cell r="CP1074">
            <v>0</v>
          </cell>
          <cell r="CQ1074">
            <v>0</v>
          </cell>
          <cell r="CR1074">
            <v>0</v>
          </cell>
          <cell r="CS1074">
            <v>0</v>
          </cell>
          <cell r="CT1074">
            <v>0</v>
          </cell>
          <cell r="CU1074">
            <v>0</v>
          </cell>
          <cell r="CV1074">
            <v>0</v>
          </cell>
          <cell r="CW1074">
            <v>0</v>
          </cell>
          <cell r="CX1074">
            <v>0</v>
          </cell>
          <cell r="CY1074">
            <v>5.7599999999999998E-2</v>
          </cell>
          <cell r="CZ1074">
            <v>977.28</v>
          </cell>
          <cell r="DA1074">
            <v>0</v>
          </cell>
          <cell r="DB1074">
            <v>0</v>
          </cell>
          <cell r="DC1074">
            <v>0</v>
          </cell>
          <cell r="DD1074">
            <v>0</v>
          </cell>
          <cell r="DE1074">
            <v>5.7599999999999998E-2</v>
          </cell>
          <cell r="DF1074">
            <v>977.28</v>
          </cell>
          <cell r="DG1074">
            <v>0</v>
          </cell>
          <cell r="DH1074">
            <v>0</v>
          </cell>
          <cell r="DI1074">
            <v>0</v>
          </cell>
          <cell r="DJ1074">
            <v>0</v>
          </cell>
          <cell r="DK1074">
            <v>0</v>
          </cell>
          <cell r="DL1074">
            <v>0</v>
          </cell>
          <cell r="DM1074">
            <v>0</v>
          </cell>
          <cell r="DN1074">
            <v>0</v>
          </cell>
          <cell r="DO1074">
            <v>0</v>
          </cell>
          <cell r="DP1074">
            <v>0</v>
          </cell>
          <cell r="DQ1074">
            <v>0</v>
          </cell>
          <cell r="DR1074">
            <v>0</v>
          </cell>
          <cell r="DS1074">
            <v>0</v>
          </cell>
          <cell r="DT1074">
            <v>0</v>
          </cell>
          <cell r="DU1074">
            <v>0</v>
          </cell>
          <cell r="DV1074">
            <v>0</v>
          </cell>
          <cell r="DW1074">
            <v>6.2100000000000002E-2</v>
          </cell>
          <cell r="DX1074">
            <v>1049.8</v>
          </cell>
          <cell r="DY1074" t="str">
            <v/>
          </cell>
          <cell r="DZ1074">
            <v>0</v>
          </cell>
          <cell r="EA1074">
            <v>16904.991948470208</v>
          </cell>
        </row>
        <row r="1075">
          <cell r="B1075">
            <v>317315</v>
          </cell>
          <cell r="C1075" t="str">
            <v>ულქერი_მეტრო_რძ.შოკოლადი ნუგა_50.4გ*18*6</v>
          </cell>
          <cell r="D1075" t="str">
            <v>TON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  <cell r="AL1075">
            <v>0</v>
          </cell>
          <cell r="AO1075">
            <v>0</v>
          </cell>
          <cell r="AP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  <cell r="BO1075">
            <v>0</v>
          </cell>
          <cell r="BP1075">
            <v>0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O1075">
            <v>0</v>
          </cell>
          <cell r="CP1075">
            <v>0</v>
          </cell>
          <cell r="CQ1075">
            <v>0</v>
          </cell>
          <cell r="CR1075">
            <v>0</v>
          </cell>
          <cell r="CS1075">
            <v>0</v>
          </cell>
          <cell r="CT1075">
            <v>0</v>
          </cell>
          <cell r="CU1075">
            <v>0</v>
          </cell>
          <cell r="CV1075">
            <v>0</v>
          </cell>
          <cell r="CW1075">
            <v>0</v>
          </cell>
          <cell r="CX1075">
            <v>0</v>
          </cell>
          <cell r="CY1075">
            <v>0</v>
          </cell>
          <cell r="CZ1075">
            <v>0</v>
          </cell>
          <cell r="DA1075">
            <v>0</v>
          </cell>
          <cell r="DB1075">
            <v>0</v>
          </cell>
          <cell r="DC1075">
            <v>0</v>
          </cell>
          <cell r="DD1075">
            <v>0</v>
          </cell>
          <cell r="DE1075">
            <v>0</v>
          </cell>
          <cell r="DF1075">
            <v>0</v>
          </cell>
          <cell r="DG1075">
            <v>0</v>
          </cell>
          <cell r="DH1075">
            <v>0</v>
          </cell>
          <cell r="DI1075">
            <v>0</v>
          </cell>
          <cell r="DJ1075">
            <v>0</v>
          </cell>
          <cell r="DK1075">
            <v>0</v>
          </cell>
          <cell r="DL1075">
            <v>0</v>
          </cell>
          <cell r="DM1075">
            <v>0</v>
          </cell>
          <cell r="DN1075">
            <v>0</v>
          </cell>
          <cell r="DO1075">
            <v>0</v>
          </cell>
          <cell r="DP1075">
            <v>0</v>
          </cell>
          <cell r="DQ1075">
            <v>0</v>
          </cell>
          <cell r="DR1075">
            <v>0</v>
          </cell>
          <cell r="DS1075">
            <v>0</v>
          </cell>
          <cell r="DT1075">
            <v>0</v>
          </cell>
          <cell r="DU1075">
            <v>0</v>
          </cell>
          <cell r="DV1075">
            <v>0</v>
          </cell>
          <cell r="DW1075">
            <v>0</v>
          </cell>
          <cell r="DX1075">
            <v>0</v>
          </cell>
          <cell r="DY1075" t="str">
            <v/>
          </cell>
          <cell r="DZ1075" t="str">
            <v>pasiv</v>
          </cell>
          <cell r="EA1075" t="e">
            <v>#DIV/0!</v>
          </cell>
        </row>
        <row r="1076">
          <cell r="B1076">
            <v>329294</v>
          </cell>
          <cell r="C1076" t="str">
            <v>ულქერი_ალბენი_შოკ.კარამელ ბისკვ_170გ*12</v>
          </cell>
          <cell r="D1076" t="str">
            <v>TON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O1076">
            <v>0</v>
          </cell>
          <cell r="AP1076">
            <v>0</v>
          </cell>
          <cell r="AS1076">
            <v>0</v>
          </cell>
          <cell r="AT1076">
            <v>0</v>
          </cell>
          <cell r="AU1076">
            <v>5.0999999999999997E-2</v>
          </cell>
          <cell r="AV1076">
            <v>1175.0899999999999</v>
          </cell>
          <cell r="AW1076">
            <v>0</v>
          </cell>
          <cell r="AX1076">
            <v>0</v>
          </cell>
          <cell r="AY1076">
            <v>2.0400000000000001E-3</v>
          </cell>
          <cell r="AZ1076">
            <v>52.8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2.0400000000000001E-3</v>
          </cell>
          <cell r="BF1076">
            <v>52.8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5.1000000000000004E-3</v>
          </cell>
          <cell r="BV1076">
            <v>128.05000000000001</v>
          </cell>
          <cell r="BW1076">
            <v>4.0800000000000003E-3</v>
          </cell>
          <cell r="BX1076">
            <v>104.02</v>
          </cell>
          <cell r="BY1076">
            <v>2.0400000000000001E-3</v>
          </cell>
          <cell r="BZ1076">
            <v>51.22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3.0599999999999999E-2</v>
          </cell>
          <cell r="CF1076">
            <v>665.28</v>
          </cell>
          <cell r="CG1076">
            <v>0</v>
          </cell>
          <cell r="CH1076">
            <v>0</v>
          </cell>
          <cell r="CI1076">
            <v>4.1820000000000003E-2</v>
          </cell>
          <cell r="CJ1076">
            <v>948.57</v>
          </cell>
          <cell r="CK1076">
            <v>4.1820000000000003E-2</v>
          </cell>
          <cell r="CL1076">
            <v>948.57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7.1399999999999996E-3</v>
          </cell>
          <cell r="DD1076">
            <v>173.72</v>
          </cell>
          <cell r="DE1076">
            <v>7.1399999999999996E-3</v>
          </cell>
          <cell r="DF1076">
            <v>173.72</v>
          </cell>
          <cell r="DG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  <cell r="DL1076">
            <v>0</v>
          </cell>
          <cell r="DM1076">
            <v>0</v>
          </cell>
          <cell r="DN1076">
            <v>0</v>
          </cell>
          <cell r="DO1076">
            <v>0</v>
          </cell>
          <cell r="DP1076">
            <v>0</v>
          </cell>
          <cell r="DQ1076">
            <v>0</v>
          </cell>
          <cell r="DR1076">
            <v>0</v>
          </cell>
          <cell r="DS1076">
            <v>0</v>
          </cell>
          <cell r="DT1076">
            <v>0</v>
          </cell>
          <cell r="DU1076">
            <v>0</v>
          </cell>
          <cell r="DV1076">
            <v>0</v>
          </cell>
          <cell r="DW1076">
            <v>5.1000000000000004E-2</v>
          </cell>
          <cell r="DX1076">
            <v>1175.0899999999999</v>
          </cell>
          <cell r="DY1076" t="str">
            <v/>
          </cell>
          <cell r="DZ1076">
            <v>0</v>
          </cell>
          <cell r="EA1076">
            <v>23040.98039215686</v>
          </cell>
        </row>
        <row r="1077">
          <cell r="B1077">
            <v>332836</v>
          </cell>
          <cell r="C1077" t="str">
            <v>ულქერი_ალპელა_კაკაოს ბისკვ.შოკოლადით_40გ*24*6</v>
          </cell>
          <cell r="D1077" t="str">
            <v>TON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9.6000000000000002E-4</v>
          </cell>
          <cell r="T1077">
            <v>14.78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9.6000000000000002E-4</v>
          </cell>
          <cell r="Z1077">
            <v>14.78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9.6000000000000002E-4</v>
          </cell>
          <cell r="AJ1077">
            <v>15.84</v>
          </cell>
          <cell r="AK1077">
            <v>6.6800000000000002E-3</v>
          </cell>
          <cell r="AL1077">
            <v>108.46</v>
          </cell>
          <cell r="AO1077">
            <v>7.6400000000000001E-3</v>
          </cell>
          <cell r="AP1077">
            <v>124.3</v>
          </cell>
          <cell r="AS1077">
            <v>0</v>
          </cell>
          <cell r="AT1077">
            <v>0</v>
          </cell>
          <cell r="AU1077">
            <v>6.5680000000000002E-2</v>
          </cell>
          <cell r="AV1077">
            <v>1064.58</v>
          </cell>
          <cell r="AW1077">
            <v>0</v>
          </cell>
          <cell r="AX1077">
            <v>0</v>
          </cell>
          <cell r="AY1077">
            <v>3.8400000000000001E-3</v>
          </cell>
          <cell r="AZ1077">
            <v>62.92</v>
          </cell>
          <cell r="BA1077">
            <v>0</v>
          </cell>
          <cell r="BB1077">
            <v>0</v>
          </cell>
          <cell r="BC1077">
            <v>9.6000000000000002E-4</v>
          </cell>
          <cell r="BD1077">
            <v>15.84</v>
          </cell>
          <cell r="BE1077">
            <v>4.8000000000000004E-3</v>
          </cell>
          <cell r="BF1077">
            <v>78.760000000000005</v>
          </cell>
          <cell r="BG1077">
            <v>1.92E-3</v>
          </cell>
          <cell r="BH1077">
            <v>31.68</v>
          </cell>
          <cell r="BI1077">
            <v>9.6000000000000002E-4</v>
          </cell>
          <cell r="BJ1077">
            <v>15.84</v>
          </cell>
          <cell r="BK1077">
            <v>3.2799999999999999E-3</v>
          </cell>
          <cell r="BL1077">
            <v>54.12</v>
          </cell>
          <cell r="BM1077">
            <v>2.8800000000000002E-3</v>
          </cell>
          <cell r="BN1077">
            <v>47.52</v>
          </cell>
          <cell r="BO1077">
            <v>5.28E-3</v>
          </cell>
          <cell r="BP1077">
            <v>87.12</v>
          </cell>
          <cell r="BQ1077">
            <v>0</v>
          </cell>
          <cell r="BR1077">
            <v>0</v>
          </cell>
          <cell r="BS1077">
            <v>1.528E-2</v>
          </cell>
          <cell r="BT1077">
            <v>252.12</v>
          </cell>
          <cell r="BU1077">
            <v>0</v>
          </cell>
          <cell r="BV1077">
            <v>0</v>
          </cell>
          <cell r="BW1077">
            <v>1.92E-3</v>
          </cell>
          <cell r="BX1077">
            <v>29.88</v>
          </cell>
          <cell r="BY1077">
            <v>2.8800000000000002E-3</v>
          </cell>
          <cell r="BZ1077">
            <v>46.16</v>
          </cell>
          <cell r="CA1077">
            <v>1.9599999999999999E-3</v>
          </cell>
          <cell r="CB1077">
            <v>32.340000000000003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6.7600000000000004E-3</v>
          </cell>
          <cell r="CJ1077">
            <v>108.38</v>
          </cell>
          <cell r="CK1077">
            <v>2.2040000000000001E-2</v>
          </cell>
          <cell r="CL1077">
            <v>360.5</v>
          </cell>
          <cell r="CO1077">
            <v>0</v>
          </cell>
          <cell r="CP1077">
            <v>0</v>
          </cell>
          <cell r="CQ1077">
            <v>0</v>
          </cell>
          <cell r="CR1077">
            <v>0</v>
          </cell>
          <cell r="CS1077">
            <v>0</v>
          </cell>
          <cell r="CT1077">
            <v>0</v>
          </cell>
          <cell r="CU1077">
            <v>6.2399999999999999E-3</v>
          </cell>
          <cell r="CV1077">
            <v>100.56</v>
          </cell>
          <cell r="CW1077">
            <v>0</v>
          </cell>
          <cell r="CX1077">
            <v>0</v>
          </cell>
          <cell r="CY1077">
            <v>1.92E-3</v>
          </cell>
          <cell r="CZ1077">
            <v>31.68</v>
          </cell>
          <cell r="DA1077">
            <v>1.008E-2</v>
          </cell>
          <cell r="DB1077">
            <v>166.32</v>
          </cell>
          <cell r="DC1077">
            <v>6.7200000000000003E-3</v>
          </cell>
          <cell r="DD1077">
            <v>102.72</v>
          </cell>
          <cell r="DE1077">
            <v>1.8720000000000001E-2</v>
          </cell>
          <cell r="DF1077">
            <v>300.72000000000003</v>
          </cell>
          <cell r="DG1077">
            <v>1.4400000000000001E-3</v>
          </cell>
          <cell r="DH1077">
            <v>23.76</v>
          </cell>
          <cell r="DI1077">
            <v>1.8799999999999999E-3</v>
          </cell>
          <cell r="DJ1077">
            <v>29.3</v>
          </cell>
          <cell r="DK1077">
            <v>1.92E-3</v>
          </cell>
          <cell r="DL1077">
            <v>31.24</v>
          </cell>
          <cell r="DM1077">
            <v>5.2399999999999999E-3</v>
          </cell>
          <cell r="DN1077">
            <v>84.3</v>
          </cell>
          <cell r="DO1077">
            <v>9.6000000000000002E-4</v>
          </cell>
          <cell r="DP1077">
            <v>15.84</v>
          </cell>
          <cell r="DQ1077">
            <v>1.4400000000000001E-3</v>
          </cell>
          <cell r="DR1077">
            <v>22.7</v>
          </cell>
          <cell r="DS1077">
            <v>3.8400000000000001E-3</v>
          </cell>
          <cell r="DT1077">
            <v>62.02</v>
          </cell>
          <cell r="DU1077">
            <v>6.2399999999999999E-3</v>
          </cell>
          <cell r="DV1077">
            <v>100.56</v>
          </cell>
          <cell r="DW1077">
            <v>6.5640000000000004E-2</v>
          </cell>
          <cell r="DX1077">
            <v>1063.92</v>
          </cell>
          <cell r="DY1077" t="str">
            <v/>
          </cell>
          <cell r="DZ1077">
            <v>0</v>
          </cell>
          <cell r="EA1077">
            <v>16208.409506398537</v>
          </cell>
        </row>
        <row r="1078">
          <cell r="B1078">
            <v>362167</v>
          </cell>
          <cell r="C1078" t="str">
            <v>ულქერი_ალპელა_კაკაოს ორცხ.კრემით_57გ*24*6</v>
          </cell>
          <cell r="D1078" t="str">
            <v>TON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  <cell r="AL1078">
            <v>0</v>
          </cell>
          <cell r="AO1078">
            <v>0</v>
          </cell>
          <cell r="AP1078">
            <v>0</v>
          </cell>
          <cell r="AS1078">
            <v>0</v>
          </cell>
          <cell r="AT1078">
            <v>0</v>
          </cell>
          <cell r="AU1078">
            <v>-1.539E-3</v>
          </cell>
          <cell r="AV1078">
            <v>-22.95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-1.539E-3</v>
          </cell>
          <cell r="BD1078">
            <v>-22.95</v>
          </cell>
          <cell r="BE1078">
            <v>-1.539E-3</v>
          </cell>
          <cell r="BF1078">
            <v>-22.95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  <cell r="BO1078">
            <v>0</v>
          </cell>
          <cell r="BP1078">
            <v>0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O1078">
            <v>0</v>
          </cell>
          <cell r="CP1078">
            <v>0</v>
          </cell>
          <cell r="CQ1078">
            <v>0</v>
          </cell>
          <cell r="CR1078">
            <v>0</v>
          </cell>
          <cell r="CS1078">
            <v>0</v>
          </cell>
          <cell r="CT1078">
            <v>0</v>
          </cell>
          <cell r="CU1078">
            <v>0</v>
          </cell>
          <cell r="CV1078">
            <v>0</v>
          </cell>
          <cell r="CW1078">
            <v>0</v>
          </cell>
          <cell r="CX1078">
            <v>0</v>
          </cell>
          <cell r="CY1078">
            <v>0</v>
          </cell>
          <cell r="CZ1078">
            <v>0</v>
          </cell>
          <cell r="DA1078">
            <v>0</v>
          </cell>
          <cell r="DB1078">
            <v>0</v>
          </cell>
          <cell r="DC1078">
            <v>0</v>
          </cell>
          <cell r="DD1078">
            <v>0</v>
          </cell>
          <cell r="DE1078">
            <v>0</v>
          </cell>
          <cell r="DF1078">
            <v>0</v>
          </cell>
          <cell r="DG1078">
            <v>0</v>
          </cell>
          <cell r="DH1078">
            <v>0</v>
          </cell>
          <cell r="DI1078">
            <v>0</v>
          </cell>
          <cell r="DJ1078">
            <v>0</v>
          </cell>
          <cell r="DK1078">
            <v>0</v>
          </cell>
          <cell r="DL1078">
            <v>0</v>
          </cell>
          <cell r="DM1078">
            <v>0</v>
          </cell>
          <cell r="DN1078">
            <v>0</v>
          </cell>
          <cell r="DO1078">
            <v>0</v>
          </cell>
          <cell r="DP1078">
            <v>0</v>
          </cell>
          <cell r="DQ1078">
            <v>0</v>
          </cell>
          <cell r="DR1078">
            <v>0</v>
          </cell>
          <cell r="DS1078">
            <v>0</v>
          </cell>
          <cell r="DT1078">
            <v>0</v>
          </cell>
          <cell r="DU1078">
            <v>0</v>
          </cell>
          <cell r="DV1078">
            <v>0</v>
          </cell>
          <cell r="DW1078">
            <v>-1.539E-3</v>
          </cell>
          <cell r="DX1078">
            <v>-22.95</v>
          </cell>
          <cell r="DY1078" t="str">
            <v/>
          </cell>
          <cell r="DZ1078">
            <v>0</v>
          </cell>
          <cell r="EA1078">
            <v>14912.280701754386</v>
          </cell>
        </row>
        <row r="1079">
          <cell r="B1079">
            <v>356070</v>
          </cell>
          <cell r="C1079" t="str">
            <v>ულქერი_კრისპი_ჩხირები_კეტჩ.მაიონ_40გ*15</v>
          </cell>
          <cell r="D1079" t="str">
            <v>TON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  <cell r="AK1079">
            <v>0</v>
          </cell>
          <cell r="AL1079">
            <v>0</v>
          </cell>
          <cell r="AO1079">
            <v>0</v>
          </cell>
          <cell r="AP1079">
            <v>0</v>
          </cell>
          <cell r="AS1079">
            <v>0</v>
          </cell>
          <cell r="AT1079">
            <v>0</v>
          </cell>
          <cell r="AU1079">
            <v>3.0000000000000001E-3</v>
          </cell>
          <cell r="AV1079">
            <v>66.38</v>
          </cell>
          <cell r="AW1079">
            <v>0</v>
          </cell>
          <cell r="AX1079">
            <v>0</v>
          </cell>
          <cell r="AY1079">
            <v>1.1999999999999999E-3</v>
          </cell>
          <cell r="AZ1079">
            <v>27.05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1.1999999999999999E-3</v>
          </cell>
          <cell r="BF1079">
            <v>27.05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5.9999999999999995E-4</v>
          </cell>
          <cell r="BX1079">
            <v>13.39</v>
          </cell>
          <cell r="BY1079">
            <v>0</v>
          </cell>
          <cell r="BZ1079">
            <v>0</v>
          </cell>
          <cell r="CA1079">
            <v>0</v>
          </cell>
          <cell r="CB1079">
            <v>0</v>
          </cell>
          <cell r="CC1079">
            <v>0</v>
          </cell>
          <cell r="CD1079">
            <v>0</v>
          </cell>
          <cell r="CE1079">
            <v>0</v>
          </cell>
          <cell r="CF1079">
            <v>0</v>
          </cell>
          <cell r="CG1079">
            <v>0</v>
          </cell>
          <cell r="CH1079">
            <v>0</v>
          </cell>
          <cell r="CI1079">
            <v>5.9999999999999995E-4</v>
          </cell>
          <cell r="CJ1079">
            <v>13.39</v>
          </cell>
          <cell r="CK1079">
            <v>5.9999999999999995E-4</v>
          </cell>
          <cell r="CL1079">
            <v>13.39</v>
          </cell>
          <cell r="CO1079">
            <v>0</v>
          </cell>
          <cell r="CP1079">
            <v>0</v>
          </cell>
          <cell r="CQ1079">
            <v>0</v>
          </cell>
          <cell r="CR1079">
            <v>0</v>
          </cell>
          <cell r="CS1079">
            <v>0</v>
          </cell>
          <cell r="CT1079">
            <v>0</v>
          </cell>
          <cell r="CU1079">
            <v>0</v>
          </cell>
          <cell r="CV1079">
            <v>0</v>
          </cell>
          <cell r="CW1079">
            <v>0</v>
          </cell>
          <cell r="CX1079">
            <v>0</v>
          </cell>
          <cell r="CY1079">
            <v>0</v>
          </cell>
          <cell r="CZ1079">
            <v>0</v>
          </cell>
          <cell r="DA1079">
            <v>0</v>
          </cell>
          <cell r="DB1079">
            <v>0</v>
          </cell>
          <cell r="DC1079">
            <v>1.1999999999999999E-3</v>
          </cell>
          <cell r="DD1079">
            <v>25.94</v>
          </cell>
          <cell r="DE1079">
            <v>1.1999999999999999E-3</v>
          </cell>
          <cell r="DF1079">
            <v>25.94</v>
          </cell>
          <cell r="DG1079">
            <v>0</v>
          </cell>
          <cell r="DH1079">
            <v>0</v>
          </cell>
          <cell r="DI1079">
            <v>0</v>
          </cell>
          <cell r="DJ1079">
            <v>0</v>
          </cell>
          <cell r="DK1079">
            <v>0</v>
          </cell>
          <cell r="DL1079">
            <v>0</v>
          </cell>
          <cell r="DM1079">
            <v>0</v>
          </cell>
          <cell r="DN1079">
            <v>0</v>
          </cell>
          <cell r="DO1079">
            <v>0</v>
          </cell>
          <cell r="DP1079">
            <v>0</v>
          </cell>
          <cell r="DQ1079">
            <v>0</v>
          </cell>
          <cell r="DR1079">
            <v>0</v>
          </cell>
          <cell r="DS1079">
            <v>0</v>
          </cell>
          <cell r="DT1079">
            <v>0</v>
          </cell>
          <cell r="DU1079">
            <v>0</v>
          </cell>
          <cell r="DV1079">
            <v>0</v>
          </cell>
          <cell r="DW1079">
            <v>3.0000000000000001E-3</v>
          </cell>
          <cell r="DX1079">
            <v>66.38</v>
          </cell>
          <cell r="DY1079" t="str">
            <v/>
          </cell>
          <cell r="DZ1079">
            <v>0</v>
          </cell>
          <cell r="EA1079">
            <v>22126.666666666664</v>
          </cell>
        </row>
        <row r="1080">
          <cell r="B1080">
            <v>356152</v>
          </cell>
          <cell r="C1080" t="str">
            <v>ულქერი_კრისპი_ჩხირები_ტაკო_40გ*15</v>
          </cell>
          <cell r="D1080" t="str">
            <v>TON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O1080">
            <v>0</v>
          </cell>
          <cell r="AP1080">
            <v>0</v>
          </cell>
          <cell r="AS1080">
            <v>0</v>
          </cell>
          <cell r="AT1080">
            <v>0</v>
          </cell>
          <cell r="AU1080">
            <v>5.64E-3</v>
          </cell>
          <cell r="AV1080">
            <v>124.69</v>
          </cell>
          <cell r="AW1080">
            <v>0</v>
          </cell>
          <cell r="AX1080">
            <v>0</v>
          </cell>
          <cell r="AY1080">
            <v>1.1999999999999999E-3</v>
          </cell>
          <cell r="AZ1080">
            <v>27.05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1.1999999999999999E-3</v>
          </cell>
          <cell r="BF1080">
            <v>27.05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2.4000000000000001E-4</v>
          </cell>
          <cell r="CF1080">
            <v>5.19</v>
          </cell>
          <cell r="CG1080">
            <v>0</v>
          </cell>
          <cell r="CH1080">
            <v>0</v>
          </cell>
          <cell r="CI1080">
            <v>2.4000000000000001E-4</v>
          </cell>
          <cell r="CJ1080">
            <v>5.19</v>
          </cell>
          <cell r="CK1080">
            <v>2.4000000000000001E-4</v>
          </cell>
          <cell r="CL1080">
            <v>5.19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5.9999999999999995E-4</v>
          </cell>
          <cell r="CV1080">
            <v>13.8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3.0000000000000001E-3</v>
          </cell>
          <cell r="DD1080">
            <v>64.849999999999994</v>
          </cell>
          <cell r="DE1080">
            <v>3.0000000000000001E-3</v>
          </cell>
          <cell r="DF1080">
            <v>64.849999999999994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K1080">
            <v>5.9999999999999995E-4</v>
          </cell>
          <cell r="DL1080">
            <v>13.8</v>
          </cell>
          <cell r="DM1080">
            <v>5.9999999999999995E-4</v>
          </cell>
          <cell r="DN1080">
            <v>13.8</v>
          </cell>
          <cell r="DO1080">
            <v>0</v>
          </cell>
          <cell r="DP1080">
            <v>0</v>
          </cell>
          <cell r="DQ1080">
            <v>0</v>
          </cell>
          <cell r="DR1080">
            <v>0</v>
          </cell>
          <cell r="DS1080">
            <v>5.9999999999999995E-4</v>
          </cell>
          <cell r="DT1080">
            <v>13.8</v>
          </cell>
          <cell r="DU1080">
            <v>5.9999999999999995E-4</v>
          </cell>
          <cell r="DV1080">
            <v>13.8</v>
          </cell>
          <cell r="DW1080">
            <v>5.6399999999999992E-3</v>
          </cell>
          <cell r="DX1080">
            <v>124.68999999999998</v>
          </cell>
          <cell r="DY1080" t="str">
            <v/>
          </cell>
          <cell r="DZ1080">
            <v>0</v>
          </cell>
          <cell r="EA1080">
            <v>22108.156028368794</v>
          </cell>
        </row>
        <row r="1081">
          <cell r="B1081">
            <v>332848</v>
          </cell>
          <cell r="C1081" t="str">
            <v>ულქერი_ალპელა_კაკაოს ბისკვ.ბანანით_40გ*24*6</v>
          </cell>
          <cell r="D1081" t="str">
            <v>TON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9.6000000000000002E-4</v>
          </cell>
          <cell r="T1081">
            <v>14.78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9.6000000000000002E-4</v>
          </cell>
          <cell r="Z1081">
            <v>14.78</v>
          </cell>
          <cell r="AA1081">
            <v>0</v>
          </cell>
          <cell r="AB1081">
            <v>0</v>
          </cell>
          <cell r="AC1081">
            <v>9.6000000000000002E-4</v>
          </cell>
          <cell r="AD1081">
            <v>15.84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1.92E-3</v>
          </cell>
          <cell r="AJ1081">
            <v>31.68</v>
          </cell>
          <cell r="AK1081">
            <v>4.7999999999999996E-3</v>
          </cell>
          <cell r="AL1081">
            <v>77.42</v>
          </cell>
          <cell r="AO1081">
            <v>7.6799999999999993E-3</v>
          </cell>
          <cell r="AP1081">
            <v>124.94</v>
          </cell>
          <cell r="AS1081">
            <v>0</v>
          </cell>
          <cell r="AT1081">
            <v>0</v>
          </cell>
          <cell r="AU1081">
            <v>5.0799999999999998E-2</v>
          </cell>
          <cell r="AV1081">
            <v>824.4</v>
          </cell>
          <cell r="AW1081">
            <v>0</v>
          </cell>
          <cell r="AX1081">
            <v>0</v>
          </cell>
          <cell r="AY1081">
            <v>9.6000000000000002E-4</v>
          </cell>
          <cell r="AZ1081">
            <v>15.4</v>
          </cell>
          <cell r="BA1081">
            <v>0</v>
          </cell>
          <cell r="BB1081">
            <v>0</v>
          </cell>
          <cell r="BC1081">
            <v>9.6000000000000002E-4</v>
          </cell>
          <cell r="BD1081">
            <v>15.84</v>
          </cell>
          <cell r="BE1081">
            <v>1.92E-3</v>
          </cell>
          <cell r="BF1081">
            <v>31.240000000000002</v>
          </cell>
          <cell r="BG1081">
            <v>0</v>
          </cell>
          <cell r="BH1081">
            <v>0</v>
          </cell>
          <cell r="BI1081">
            <v>9.6000000000000002E-4</v>
          </cell>
          <cell r="BJ1081">
            <v>15.84</v>
          </cell>
          <cell r="BK1081">
            <v>2.8800000000000002E-3</v>
          </cell>
          <cell r="BL1081">
            <v>47.52</v>
          </cell>
          <cell r="BM1081">
            <v>2.8800000000000002E-3</v>
          </cell>
          <cell r="BN1081">
            <v>47.52</v>
          </cell>
          <cell r="BO1081">
            <v>1.92E-3</v>
          </cell>
          <cell r="BP1081">
            <v>31.68</v>
          </cell>
          <cell r="BQ1081">
            <v>0</v>
          </cell>
          <cell r="BR1081">
            <v>0</v>
          </cell>
          <cell r="BS1081">
            <v>8.6400000000000001E-3</v>
          </cell>
          <cell r="BT1081">
            <v>142.56</v>
          </cell>
          <cell r="BU1081">
            <v>0</v>
          </cell>
          <cell r="BV1081">
            <v>0</v>
          </cell>
          <cell r="BW1081">
            <v>9.6000000000000002E-4</v>
          </cell>
          <cell r="BX1081">
            <v>14.94</v>
          </cell>
          <cell r="BY1081">
            <v>0</v>
          </cell>
          <cell r="BZ1081">
            <v>0</v>
          </cell>
          <cell r="CA1081">
            <v>2.8800000000000002E-3</v>
          </cell>
          <cell r="CB1081">
            <v>47.52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3.8400000000000001E-3</v>
          </cell>
          <cell r="CJ1081">
            <v>62.46</v>
          </cell>
          <cell r="CK1081">
            <v>1.248E-2</v>
          </cell>
          <cell r="CL1081">
            <v>205.02</v>
          </cell>
          <cell r="CO1081">
            <v>0</v>
          </cell>
          <cell r="CP1081">
            <v>0</v>
          </cell>
          <cell r="CQ1081">
            <v>0</v>
          </cell>
          <cell r="CR1081">
            <v>0</v>
          </cell>
          <cell r="CS1081">
            <v>0</v>
          </cell>
          <cell r="CT1081">
            <v>0</v>
          </cell>
          <cell r="CU1081">
            <v>7.6800000000000002E-3</v>
          </cell>
          <cell r="CV1081">
            <v>124.32</v>
          </cell>
          <cell r="CW1081">
            <v>0</v>
          </cell>
          <cell r="CX1081">
            <v>0</v>
          </cell>
          <cell r="CY1081">
            <v>0</v>
          </cell>
          <cell r="CZ1081">
            <v>0</v>
          </cell>
          <cell r="DA1081">
            <v>8.1600000000000006E-3</v>
          </cell>
          <cell r="DB1081">
            <v>134.63999999999999</v>
          </cell>
          <cell r="DC1081">
            <v>5.7600000000000004E-3</v>
          </cell>
          <cell r="DD1081">
            <v>89.6</v>
          </cell>
          <cell r="DE1081">
            <v>1.3920000000000002E-2</v>
          </cell>
          <cell r="DF1081">
            <v>224.23999999999998</v>
          </cell>
          <cell r="DG1081">
            <v>-4.0000000000000002E-4</v>
          </cell>
          <cell r="DH1081">
            <v>-5.2</v>
          </cell>
          <cell r="DI1081">
            <v>3.64E-3</v>
          </cell>
          <cell r="DJ1081">
            <v>57.32</v>
          </cell>
          <cell r="DK1081">
            <v>2.8800000000000002E-3</v>
          </cell>
          <cell r="DL1081">
            <v>47.08</v>
          </cell>
          <cell r="DM1081">
            <v>6.1199999999999996E-3</v>
          </cell>
          <cell r="DN1081">
            <v>99.2</v>
          </cell>
          <cell r="DO1081">
            <v>1.92E-3</v>
          </cell>
          <cell r="DP1081">
            <v>31.68</v>
          </cell>
          <cell r="DQ1081">
            <v>9.6000000000000002E-4</v>
          </cell>
          <cell r="DR1081">
            <v>14.78</v>
          </cell>
          <cell r="DS1081">
            <v>4.7999999999999996E-3</v>
          </cell>
          <cell r="DT1081">
            <v>77.86</v>
          </cell>
          <cell r="DU1081">
            <v>7.6800000000000002E-3</v>
          </cell>
          <cell r="DV1081">
            <v>124.32</v>
          </cell>
          <cell r="DW1081">
            <v>5.076E-2</v>
          </cell>
          <cell r="DX1081">
            <v>823.74</v>
          </cell>
          <cell r="DY1081" t="str">
            <v/>
          </cell>
          <cell r="DZ1081">
            <v>0</v>
          </cell>
          <cell r="EA1081">
            <v>16228.132387706855</v>
          </cell>
        </row>
        <row r="1082">
          <cell r="B1082">
            <v>344787</v>
          </cell>
          <cell r="C1082" t="str">
            <v>ულქერი_რონდო_ბისკვ.ბანანის კრემ_61გ*24</v>
          </cell>
          <cell r="D1082" t="str">
            <v>TON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O1082">
            <v>0</v>
          </cell>
          <cell r="AP1082">
            <v>0</v>
          </cell>
          <cell r="AS1082">
            <v>0</v>
          </cell>
          <cell r="AT1082">
            <v>0</v>
          </cell>
          <cell r="AU1082">
            <v>2.2265E-2</v>
          </cell>
          <cell r="AV1082">
            <v>336.1</v>
          </cell>
          <cell r="AW1082">
            <v>0</v>
          </cell>
          <cell r="AX1082">
            <v>0</v>
          </cell>
          <cell r="AY1082">
            <v>2.928E-3</v>
          </cell>
          <cell r="AZ1082">
            <v>44.69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2.928E-3</v>
          </cell>
          <cell r="BF1082">
            <v>44.69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1.464E-3</v>
          </cell>
          <cell r="BV1082">
            <v>22.12</v>
          </cell>
          <cell r="BW1082">
            <v>1.464E-3</v>
          </cell>
          <cell r="BX1082">
            <v>22.12</v>
          </cell>
          <cell r="BY1082">
            <v>0</v>
          </cell>
          <cell r="BZ1082">
            <v>0</v>
          </cell>
          <cell r="CA1082">
            <v>1.464E-3</v>
          </cell>
          <cell r="CB1082">
            <v>24</v>
          </cell>
          <cell r="CC1082">
            <v>0</v>
          </cell>
          <cell r="CD1082">
            <v>0</v>
          </cell>
          <cell r="CE1082">
            <v>4.6969999999999998E-3</v>
          </cell>
          <cell r="CF1082">
            <v>64.2</v>
          </cell>
          <cell r="CG1082">
            <v>0</v>
          </cell>
          <cell r="CH1082">
            <v>0</v>
          </cell>
          <cell r="CI1082">
            <v>9.0889999999999999E-3</v>
          </cell>
          <cell r="CJ1082">
            <v>132.44</v>
          </cell>
          <cell r="CK1082">
            <v>9.0889999999999999E-3</v>
          </cell>
          <cell r="CL1082">
            <v>132.44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5.8560000000000001E-3</v>
          </cell>
          <cell r="CV1082">
            <v>88.85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1.464E-3</v>
          </cell>
          <cell r="DB1082">
            <v>24</v>
          </cell>
          <cell r="DC1082">
            <v>1.464E-3</v>
          </cell>
          <cell r="DD1082">
            <v>24</v>
          </cell>
          <cell r="DE1082">
            <v>2.928E-3</v>
          </cell>
          <cell r="DF1082">
            <v>48</v>
          </cell>
          <cell r="DG1082">
            <v>0</v>
          </cell>
          <cell r="DH1082">
            <v>0</v>
          </cell>
          <cell r="DI1082">
            <v>1.464E-3</v>
          </cell>
          <cell r="DJ1082">
            <v>22.12</v>
          </cell>
          <cell r="DK1082">
            <v>0</v>
          </cell>
          <cell r="DL1082">
            <v>0</v>
          </cell>
          <cell r="DM1082">
            <v>1.464E-3</v>
          </cell>
          <cell r="DN1082">
            <v>22.12</v>
          </cell>
          <cell r="DO1082">
            <v>0</v>
          </cell>
          <cell r="DP1082">
            <v>0</v>
          </cell>
          <cell r="DQ1082">
            <v>2.928E-3</v>
          </cell>
          <cell r="DR1082">
            <v>43.25</v>
          </cell>
          <cell r="DS1082">
            <v>2.928E-3</v>
          </cell>
          <cell r="DT1082">
            <v>45.6</v>
          </cell>
          <cell r="DU1082">
            <v>5.8560000000000001E-3</v>
          </cell>
          <cell r="DV1082">
            <v>88.85</v>
          </cell>
          <cell r="DW1082">
            <v>2.2265E-2</v>
          </cell>
          <cell r="DX1082">
            <v>336.09999999999997</v>
          </cell>
          <cell r="DY1082" t="str">
            <v/>
          </cell>
          <cell r="DZ1082">
            <v>0</v>
          </cell>
          <cell r="EA1082">
            <v>15095.441275544576</v>
          </cell>
        </row>
        <row r="1083">
          <cell r="B1083">
            <v>354254</v>
          </cell>
          <cell r="C1083" t="str">
            <v>ულქერი_კატ კატ_ფენ.ნამცხ.თხილ.კაკაოს კრემ_25გ*24</v>
          </cell>
          <cell r="D1083" t="str">
            <v>TON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O1083">
            <v>0</v>
          </cell>
          <cell r="AP1083">
            <v>0</v>
          </cell>
          <cell r="AS1083">
            <v>0</v>
          </cell>
          <cell r="AT1083">
            <v>0</v>
          </cell>
          <cell r="AU1083">
            <v>2.2499999999999999E-4</v>
          </cell>
          <cell r="AV1083">
            <v>6.37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2.2499999999999999E-4</v>
          </cell>
          <cell r="BX1083">
            <v>6.37</v>
          </cell>
          <cell r="BY1083">
            <v>0</v>
          </cell>
          <cell r="BZ1083">
            <v>0</v>
          </cell>
          <cell r="CA1083">
            <v>0</v>
          </cell>
          <cell r="CB1083">
            <v>0</v>
          </cell>
          <cell r="CC1083">
            <v>0</v>
          </cell>
          <cell r="CD1083">
            <v>0</v>
          </cell>
          <cell r="CE1083">
            <v>0</v>
          </cell>
          <cell r="CF1083">
            <v>0</v>
          </cell>
          <cell r="CG1083">
            <v>0</v>
          </cell>
          <cell r="CH1083">
            <v>0</v>
          </cell>
          <cell r="CI1083">
            <v>2.2499999999999999E-4</v>
          </cell>
          <cell r="CJ1083">
            <v>6.37</v>
          </cell>
          <cell r="CK1083">
            <v>2.2499999999999999E-4</v>
          </cell>
          <cell r="CL1083">
            <v>6.37</v>
          </cell>
          <cell r="CO1083">
            <v>0</v>
          </cell>
          <cell r="CP1083">
            <v>0</v>
          </cell>
          <cell r="CQ1083">
            <v>0</v>
          </cell>
          <cell r="CR1083">
            <v>0</v>
          </cell>
          <cell r="CS1083">
            <v>0</v>
          </cell>
          <cell r="CT1083">
            <v>0</v>
          </cell>
          <cell r="CU1083">
            <v>0</v>
          </cell>
          <cell r="CV1083">
            <v>0</v>
          </cell>
          <cell r="CW1083">
            <v>0</v>
          </cell>
          <cell r="CX1083">
            <v>0</v>
          </cell>
          <cell r="CY1083">
            <v>0</v>
          </cell>
          <cell r="CZ1083">
            <v>0</v>
          </cell>
          <cell r="DA1083">
            <v>0</v>
          </cell>
          <cell r="DB1083">
            <v>0</v>
          </cell>
          <cell r="DC1083">
            <v>0</v>
          </cell>
          <cell r="DD1083">
            <v>0</v>
          </cell>
          <cell r="DE1083">
            <v>0</v>
          </cell>
          <cell r="DF1083">
            <v>0</v>
          </cell>
          <cell r="DG1083">
            <v>0</v>
          </cell>
          <cell r="DH1083">
            <v>0</v>
          </cell>
          <cell r="DI1083">
            <v>0</v>
          </cell>
          <cell r="DJ1083">
            <v>0</v>
          </cell>
          <cell r="DK1083">
            <v>0</v>
          </cell>
          <cell r="DL1083">
            <v>0</v>
          </cell>
          <cell r="DM1083">
            <v>0</v>
          </cell>
          <cell r="DN1083">
            <v>0</v>
          </cell>
          <cell r="DO1083">
            <v>0</v>
          </cell>
          <cell r="DP1083">
            <v>0</v>
          </cell>
          <cell r="DQ1083">
            <v>0</v>
          </cell>
          <cell r="DR1083">
            <v>0</v>
          </cell>
          <cell r="DS1083">
            <v>0</v>
          </cell>
          <cell r="DT1083">
            <v>0</v>
          </cell>
          <cell r="DU1083">
            <v>0</v>
          </cell>
          <cell r="DV1083">
            <v>0</v>
          </cell>
          <cell r="DW1083">
            <v>2.2499999999999999E-4</v>
          </cell>
          <cell r="DX1083">
            <v>6.37</v>
          </cell>
          <cell r="DY1083" t="str">
            <v/>
          </cell>
          <cell r="DZ1083">
            <v>0</v>
          </cell>
          <cell r="EA1083">
            <v>28311.111111111113</v>
          </cell>
        </row>
        <row r="1084">
          <cell r="B1084">
            <v>345347</v>
          </cell>
          <cell r="C1084" t="str">
            <v>ულქერი_ბებე_172გ_11ც+1ც</v>
          </cell>
          <cell r="D1084" t="str">
            <v>TON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O1084">
            <v>0</v>
          </cell>
          <cell r="AP1084">
            <v>0</v>
          </cell>
          <cell r="AS1084">
            <v>0</v>
          </cell>
          <cell r="AT1084">
            <v>0</v>
          </cell>
          <cell r="AU1084">
            <v>8.2559999999999995E-3</v>
          </cell>
          <cell r="AV1084">
            <v>117.88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O1084">
            <v>0</v>
          </cell>
          <cell r="CP1084">
            <v>0</v>
          </cell>
          <cell r="CQ1084">
            <v>0</v>
          </cell>
          <cell r="CR1084">
            <v>0</v>
          </cell>
          <cell r="CS1084">
            <v>0</v>
          </cell>
          <cell r="CT1084">
            <v>0</v>
          </cell>
          <cell r="CU1084">
            <v>2.0639999999999999E-3</v>
          </cell>
          <cell r="CV1084">
            <v>29.92</v>
          </cell>
          <cell r="CW1084">
            <v>0</v>
          </cell>
          <cell r="CX1084">
            <v>0</v>
          </cell>
          <cell r="CY1084">
            <v>0</v>
          </cell>
          <cell r="CZ1084">
            <v>0</v>
          </cell>
          <cell r="DA1084">
            <v>0</v>
          </cell>
          <cell r="DB1084">
            <v>0</v>
          </cell>
          <cell r="DC1084">
            <v>0</v>
          </cell>
          <cell r="DD1084">
            <v>0</v>
          </cell>
          <cell r="DE1084">
            <v>0</v>
          </cell>
          <cell r="DF1084">
            <v>0</v>
          </cell>
          <cell r="DG1084">
            <v>0</v>
          </cell>
          <cell r="DH1084">
            <v>0</v>
          </cell>
          <cell r="DI1084">
            <v>4.1279999999999997E-3</v>
          </cell>
          <cell r="DJ1084">
            <v>58.04</v>
          </cell>
          <cell r="DK1084">
            <v>2.0639999999999999E-3</v>
          </cell>
          <cell r="DL1084">
            <v>29.92</v>
          </cell>
          <cell r="DM1084">
            <v>6.1919999999999996E-3</v>
          </cell>
          <cell r="DN1084">
            <v>87.96</v>
          </cell>
          <cell r="DO1084">
            <v>0</v>
          </cell>
          <cell r="DP1084">
            <v>0</v>
          </cell>
          <cell r="DQ1084">
            <v>0</v>
          </cell>
          <cell r="DR1084">
            <v>0</v>
          </cell>
          <cell r="DS1084">
            <v>2.0639999999999999E-3</v>
          </cell>
          <cell r="DT1084">
            <v>29.92</v>
          </cell>
          <cell r="DU1084">
            <v>2.0639999999999999E-3</v>
          </cell>
          <cell r="DV1084">
            <v>29.92</v>
          </cell>
          <cell r="DW1084">
            <v>8.2559999999999995E-3</v>
          </cell>
          <cell r="DX1084">
            <v>117.88</v>
          </cell>
          <cell r="DY1084" t="str">
            <v/>
          </cell>
          <cell r="DZ1084">
            <v>0</v>
          </cell>
          <cell r="EA1084">
            <v>14278.1007751938</v>
          </cell>
        </row>
        <row r="1085">
          <cell r="B1085">
            <v>345348</v>
          </cell>
          <cell r="C1085" t="str">
            <v>ულქერი_შოკ.პასტა_350გ_11ც+1ც</v>
          </cell>
          <cell r="D1085" t="str">
            <v>TON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O1085">
            <v>0</v>
          </cell>
          <cell r="AP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0</v>
          </cell>
          <cell r="BM1085">
            <v>0</v>
          </cell>
          <cell r="BN1085">
            <v>0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O1085">
            <v>0</v>
          </cell>
          <cell r="CP1085">
            <v>0</v>
          </cell>
          <cell r="CQ1085">
            <v>0</v>
          </cell>
          <cell r="CR1085">
            <v>0</v>
          </cell>
          <cell r="CS1085">
            <v>0</v>
          </cell>
          <cell r="CT1085">
            <v>0</v>
          </cell>
          <cell r="CU1085">
            <v>0</v>
          </cell>
          <cell r="CV1085">
            <v>0</v>
          </cell>
          <cell r="CW1085">
            <v>0</v>
          </cell>
          <cell r="CX1085">
            <v>0</v>
          </cell>
          <cell r="CY1085">
            <v>0</v>
          </cell>
          <cell r="CZ1085">
            <v>0</v>
          </cell>
          <cell r="DA1085">
            <v>0</v>
          </cell>
          <cell r="DB1085">
            <v>0</v>
          </cell>
          <cell r="DC1085">
            <v>0</v>
          </cell>
          <cell r="DD1085">
            <v>0</v>
          </cell>
          <cell r="DE1085">
            <v>0</v>
          </cell>
          <cell r="DF1085">
            <v>0</v>
          </cell>
          <cell r="DG1085">
            <v>0</v>
          </cell>
          <cell r="DH1085">
            <v>0</v>
          </cell>
          <cell r="DI1085">
            <v>0</v>
          </cell>
          <cell r="DJ1085">
            <v>0</v>
          </cell>
          <cell r="DK1085">
            <v>0</v>
          </cell>
          <cell r="DL1085">
            <v>0</v>
          </cell>
          <cell r="DM1085">
            <v>0</v>
          </cell>
          <cell r="DN1085">
            <v>0</v>
          </cell>
          <cell r="DO1085">
            <v>0</v>
          </cell>
          <cell r="DP1085">
            <v>0</v>
          </cell>
          <cell r="DQ1085">
            <v>0</v>
          </cell>
          <cell r="DR1085">
            <v>0</v>
          </cell>
          <cell r="DS1085">
            <v>0</v>
          </cell>
          <cell r="DT1085">
            <v>0</v>
          </cell>
          <cell r="DU1085">
            <v>0</v>
          </cell>
          <cell r="DV1085">
            <v>0</v>
          </cell>
          <cell r="DW1085">
            <v>0</v>
          </cell>
          <cell r="DX1085">
            <v>0</v>
          </cell>
          <cell r="DY1085" t="str">
            <v/>
          </cell>
          <cell r="DZ1085" t="str">
            <v>pasiv</v>
          </cell>
          <cell r="EA1085" t="e">
            <v>#DIV/0!</v>
          </cell>
        </row>
        <row r="1086">
          <cell r="B1086">
            <v>345349</v>
          </cell>
          <cell r="C1086" t="str">
            <v>ულქერი_ალპელა_კაკაოს ბისკვ.ბანანით_40გ_22ც+2ც</v>
          </cell>
          <cell r="D1086" t="str">
            <v>TON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O1086">
            <v>0</v>
          </cell>
          <cell r="AP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O1086">
            <v>0</v>
          </cell>
          <cell r="CP1086">
            <v>0</v>
          </cell>
          <cell r="CQ1086">
            <v>0</v>
          </cell>
          <cell r="CR1086">
            <v>0</v>
          </cell>
          <cell r="CS1086">
            <v>0</v>
          </cell>
          <cell r="CT1086">
            <v>0</v>
          </cell>
          <cell r="CU1086">
            <v>0</v>
          </cell>
          <cell r="CV1086">
            <v>0</v>
          </cell>
          <cell r="CW1086">
            <v>0</v>
          </cell>
          <cell r="CX1086">
            <v>0</v>
          </cell>
          <cell r="CY1086">
            <v>0</v>
          </cell>
          <cell r="CZ1086">
            <v>0</v>
          </cell>
          <cell r="DA1086">
            <v>0</v>
          </cell>
          <cell r="DB1086">
            <v>0</v>
          </cell>
          <cell r="DC1086">
            <v>0</v>
          </cell>
          <cell r="DD1086">
            <v>0</v>
          </cell>
          <cell r="DE1086">
            <v>0</v>
          </cell>
          <cell r="DF1086">
            <v>0</v>
          </cell>
          <cell r="DG1086">
            <v>0</v>
          </cell>
          <cell r="DH1086">
            <v>0</v>
          </cell>
          <cell r="DI1086">
            <v>0</v>
          </cell>
          <cell r="DJ1086">
            <v>0</v>
          </cell>
          <cell r="DK1086">
            <v>0</v>
          </cell>
          <cell r="DL1086">
            <v>0</v>
          </cell>
          <cell r="DM1086">
            <v>0</v>
          </cell>
          <cell r="DN1086">
            <v>0</v>
          </cell>
          <cell r="DO1086">
            <v>0</v>
          </cell>
          <cell r="DP1086">
            <v>0</v>
          </cell>
          <cell r="DQ1086">
            <v>0</v>
          </cell>
          <cell r="DR1086">
            <v>0</v>
          </cell>
          <cell r="DS1086">
            <v>0</v>
          </cell>
          <cell r="DT1086">
            <v>0</v>
          </cell>
          <cell r="DU1086">
            <v>0</v>
          </cell>
          <cell r="DV1086">
            <v>0</v>
          </cell>
          <cell r="DW1086">
            <v>0</v>
          </cell>
          <cell r="DX1086">
            <v>0</v>
          </cell>
          <cell r="DY1086" t="str">
            <v/>
          </cell>
          <cell r="DZ1086" t="str">
            <v>pasiv</v>
          </cell>
          <cell r="EA1086" t="e">
            <v>#DIV/0!</v>
          </cell>
        </row>
        <row r="1087">
          <cell r="B1087">
            <v>345350</v>
          </cell>
          <cell r="C1087" t="str">
            <v>ულქერი_ალპელა_კაკაოს ბისკვ.შოკოლადით_40გ_22ც+2ც</v>
          </cell>
          <cell r="D1087" t="str">
            <v>TON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O1087">
            <v>0</v>
          </cell>
          <cell r="AP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O1087">
            <v>0</v>
          </cell>
          <cell r="CP1087">
            <v>0</v>
          </cell>
          <cell r="CQ1087">
            <v>0</v>
          </cell>
          <cell r="CR1087">
            <v>0</v>
          </cell>
          <cell r="CS1087">
            <v>0</v>
          </cell>
          <cell r="CT1087">
            <v>0</v>
          </cell>
          <cell r="CU1087">
            <v>0</v>
          </cell>
          <cell r="CV1087">
            <v>0</v>
          </cell>
          <cell r="CW1087">
            <v>0</v>
          </cell>
          <cell r="CX1087">
            <v>0</v>
          </cell>
          <cell r="CY1087">
            <v>0</v>
          </cell>
          <cell r="CZ1087">
            <v>0</v>
          </cell>
          <cell r="DA1087">
            <v>0</v>
          </cell>
          <cell r="DB1087">
            <v>0</v>
          </cell>
          <cell r="DC1087">
            <v>0</v>
          </cell>
          <cell r="DD1087">
            <v>0</v>
          </cell>
          <cell r="DE1087">
            <v>0</v>
          </cell>
          <cell r="DF1087">
            <v>0</v>
          </cell>
          <cell r="DG1087">
            <v>0</v>
          </cell>
          <cell r="DH1087">
            <v>0</v>
          </cell>
          <cell r="DI1087">
            <v>0</v>
          </cell>
          <cell r="DJ1087">
            <v>0</v>
          </cell>
          <cell r="DK1087">
            <v>0</v>
          </cell>
          <cell r="DL1087">
            <v>0</v>
          </cell>
          <cell r="DM1087">
            <v>0</v>
          </cell>
          <cell r="DN1087">
            <v>0</v>
          </cell>
          <cell r="DO1087">
            <v>0</v>
          </cell>
          <cell r="DP1087">
            <v>0</v>
          </cell>
          <cell r="DQ1087">
            <v>0</v>
          </cell>
          <cell r="DR1087">
            <v>0</v>
          </cell>
          <cell r="DS1087">
            <v>0</v>
          </cell>
          <cell r="DT1087">
            <v>0</v>
          </cell>
          <cell r="DU1087">
            <v>0</v>
          </cell>
          <cell r="DV1087">
            <v>0</v>
          </cell>
          <cell r="DW1087">
            <v>0</v>
          </cell>
          <cell r="DX1087">
            <v>0</v>
          </cell>
          <cell r="DY1087" t="str">
            <v/>
          </cell>
          <cell r="DZ1087" t="str">
            <v>pasiv</v>
          </cell>
          <cell r="EA1087" t="e">
            <v>#DIV/0!</v>
          </cell>
        </row>
        <row r="1088">
          <cell r="B1088">
            <v>308015</v>
          </cell>
          <cell r="C1088" t="str">
            <v>ულქერი_შავი შოკოლადის ფილა 60%_60გ*6*6</v>
          </cell>
          <cell r="D1088" t="str">
            <v>TON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O1088">
            <v>0</v>
          </cell>
          <cell r="AP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O1088">
            <v>0</v>
          </cell>
          <cell r="CP1088">
            <v>0</v>
          </cell>
          <cell r="CQ1088">
            <v>0</v>
          </cell>
          <cell r="CR1088">
            <v>0</v>
          </cell>
          <cell r="CS1088">
            <v>0</v>
          </cell>
          <cell r="CT1088">
            <v>0</v>
          </cell>
          <cell r="CU1088">
            <v>0</v>
          </cell>
          <cell r="CV1088">
            <v>0</v>
          </cell>
          <cell r="CW1088">
            <v>0</v>
          </cell>
          <cell r="CX1088">
            <v>0</v>
          </cell>
          <cell r="CY1088">
            <v>0</v>
          </cell>
          <cell r="CZ1088">
            <v>0</v>
          </cell>
          <cell r="DA1088">
            <v>0</v>
          </cell>
          <cell r="DB1088">
            <v>0</v>
          </cell>
          <cell r="DC1088">
            <v>0</v>
          </cell>
          <cell r="DD1088">
            <v>0</v>
          </cell>
          <cell r="DE1088">
            <v>0</v>
          </cell>
          <cell r="DF1088">
            <v>0</v>
          </cell>
          <cell r="DG1088">
            <v>0</v>
          </cell>
          <cell r="DH1088">
            <v>0</v>
          </cell>
          <cell r="DI1088">
            <v>0</v>
          </cell>
          <cell r="DJ1088">
            <v>0</v>
          </cell>
          <cell r="DK1088">
            <v>0</v>
          </cell>
          <cell r="DL1088">
            <v>0</v>
          </cell>
          <cell r="DM1088">
            <v>0</v>
          </cell>
          <cell r="DN1088">
            <v>0</v>
          </cell>
          <cell r="DO1088">
            <v>0</v>
          </cell>
          <cell r="DP1088">
            <v>0</v>
          </cell>
          <cell r="DQ1088">
            <v>0</v>
          </cell>
          <cell r="DR1088">
            <v>0</v>
          </cell>
          <cell r="DS1088">
            <v>0</v>
          </cell>
          <cell r="DT1088">
            <v>0</v>
          </cell>
          <cell r="DU1088">
            <v>0</v>
          </cell>
          <cell r="DV1088">
            <v>0</v>
          </cell>
          <cell r="DW1088">
            <v>0</v>
          </cell>
          <cell r="DX1088">
            <v>0</v>
          </cell>
          <cell r="DY1088" t="str">
            <v/>
          </cell>
          <cell r="DZ1088" t="str">
            <v>pasiv</v>
          </cell>
          <cell r="EA1088" t="e">
            <v>#DIV/0!</v>
          </cell>
        </row>
        <row r="1089">
          <cell r="B1089">
            <v>308403</v>
          </cell>
          <cell r="C1089" t="str">
            <v>ულქერი_შოკოლადის ფილა თხილით_65გ*6*6</v>
          </cell>
          <cell r="D1089" t="str">
            <v>TON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O1089">
            <v>0</v>
          </cell>
          <cell r="AP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O1089">
            <v>0</v>
          </cell>
          <cell r="CP1089">
            <v>0</v>
          </cell>
          <cell r="CQ1089">
            <v>0</v>
          </cell>
          <cell r="CR1089">
            <v>0</v>
          </cell>
          <cell r="CS1089">
            <v>0</v>
          </cell>
          <cell r="CT1089">
            <v>0</v>
          </cell>
          <cell r="CU1089">
            <v>0</v>
          </cell>
          <cell r="CV1089">
            <v>0</v>
          </cell>
          <cell r="CW1089">
            <v>0</v>
          </cell>
          <cell r="CX1089">
            <v>0</v>
          </cell>
          <cell r="CY1089">
            <v>0</v>
          </cell>
          <cell r="CZ1089">
            <v>0</v>
          </cell>
          <cell r="DA1089">
            <v>0</v>
          </cell>
          <cell r="DB1089">
            <v>0</v>
          </cell>
          <cell r="DC1089">
            <v>0</v>
          </cell>
          <cell r="DD1089">
            <v>0</v>
          </cell>
          <cell r="DE1089">
            <v>0</v>
          </cell>
          <cell r="DF1089">
            <v>0</v>
          </cell>
          <cell r="DG1089">
            <v>0</v>
          </cell>
          <cell r="DH1089">
            <v>0</v>
          </cell>
          <cell r="DI1089">
            <v>0</v>
          </cell>
          <cell r="DJ1089">
            <v>0</v>
          </cell>
          <cell r="DK1089">
            <v>0</v>
          </cell>
          <cell r="DL1089">
            <v>0</v>
          </cell>
          <cell r="DM1089">
            <v>0</v>
          </cell>
          <cell r="DN1089">
            <v>0</v>
          </cell>
          <cell r="DO1089">
            <v>0</v>
          </cell>
          <cell r="DP1089">
            <v>0</v>
          </cell>
          <cell r="DQ1089">
            <v>0</v>
          </cell>
          <cell r="DR1089">
            <v>0</v>
          </cell>
          <cell r="DS1089">
            <v>0</v>
          </cell>
          <cell r="DT1089">
            <v>0</v>
          </cell>
          <cell r="DU1089">
            <v>0</v>
          </cell>
          <cell r="DV1089">
            <v>0</v>
          </cell>
          <cell r="DW1089">
            <v>0</v>
          </cell>
          <cell r="DX1089">
            <v>0</v>
          </cell>
          <cell r="DY1089" t="str">
            <v/>
          </cell>
          <cell r="DZ1089" t="str">
            <v>pasiv</v>
          </cell>
          <cell r="EA1089" t="e">
            <v>#DIV/0!</v>
          </cell>
        </row>
        <row r="1090">
          <cell r="B1090">
            <v>348004</v>
          </cell>
          <cell r="C1090" t="str">
            <v>ულქერი_მეტრო_რძიანი შოკოლადი_36გ_22ც+2ც</v>
          </cell>
          <cell r="D1090" t="str">
            <v>TON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O1090">
            <v>0</v>
          </cell>
          <cell r="AP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0</v>
          </cell>
          <cell r="BM1090">
            <v>0</v>
          </cell>
          <cell r="BN1090">
            <v>0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O1090">
            <v>0</v>
          </cell>
          <cell r="CP1090">
            <v>0</v>
          </cell>
          <cell r="CQ1090">
            <v>0</v>
          </cell>
          <cell r="CR1090">
            <v>0</v>
          </cell>
          <cell r="CS1090">
            <v>0</v>
          </cell>
          <cell r="CT1090">
            <v>0</v>
          </cell>
          <cell r="CU1090">
            <v>0</v>
          </cell>
          <cell r="CV1090">
            <v>0</v>
          </cell>
          <cell r="CW1090">
            <v>0</v>
          </cell>
          <cell r="CX1090">
            <v>0</v>
          </cell>
          <cell r="CY1090">
            <v>0</v>
          </cell>
          <cell r="CZ1090">
            <v>0</v>
          </cell>
          <cell r="DA1090">
            <v>0</v>
          </cell>
          <cell r="DB1090">
            <v>0</v>
          </cell>
          <cell r="DC1090">
            <v>0</v>
          </cell>
          <cell r="DD1090">
            <v>0</v>
          </cell>
          <cell r="DE1090">
            <v>0</v>
          </cell>
          <cell r="DF1090">
            <v>0</v>
          </cell>
          <cell r="DG1090">
            <v>0</v>
          </cell>
          <cell r="DH1090">
            <v>0</v>
          </cell>
          <cell r="DI1090">
            <v>0</v>
          </cell>
          <cell r="DJ1090">
            <v>0</v>
          </cell>
          <cell r="DK1090">
            <v>0</v>
          </cell>
          <cell r="DL1090">
            <v>0</v>
          </cell>
          <cell r="DM1090">
            <v>0</v>
          </cell>
          <cell r="DN1090">
            <v>0</v>
          </cell>
          <cell r="DO1090">
            <v>0</v>
          </cell>
          <cell r="DP1090">
            <v>0</v>
          </cell>
          <cell r="DQ1090">
            <v>0</v>
          </cell>
          <cell r="DR1090">
            <v>0</v>
          </cell>
          <cell r="DS1090">
            <v>0</v>
          </cell>
          <cell r="DT1090">
            <v>0</v>
          </cell>
          <cell r="DU1090">
            <v>0</v>
          </cell>
          <cell r="DV1090">
            <v>0</v>
          </cell>
          <cell r="DW1090">
            <v>0</v>
          </cell>
          <cell r="DX1090">
            <v>0</v>
          </cell>
          <cell r="DY1090" t="str">
            <v/>
          </cell>
          <cell r="DZ1090" t="str">
            <v>pasiv</v>
          </cell>
          <cell r="EA1090" t="e">
            <v>#DIV/0!</v>
          </cell>
        </row>
        <row r="1091">
          <cell r="B1091">
            <v>366713</v>
          </cell>
          <cell r="C1091" t="str">
            <v>ულქერი_ბისკრემი_ფორთოხ.ბისკვიტი შოკ.კრემ_90გ*18</v>
          </cell>
          <cell r="D1091" t="str">
            <v>TON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O1091">
            <v>0</v>
          </cell>
          <cell r="AP1091">
            <v>0</v>
          </cell>
          <cell r="AS1091">
            <v>0</v>
          </cell>
          <cell r="AT1091">
            <v>0</v>
          </cell>
          <cell r="AU1091">
            <v>3.4199999999999999E-3</v>
          </cell>
          <cell r="AV1091">
            <v>61.68</v>
          </cell>
          <cell r="AW1091">
            <v>0</v>
          </cell>
          <cell r="AX1091">
            <v>0</v>
          </cell>
          <cell r="AY1091">
            <v>1.6199999999999999E-3</v>
          </cell>
          <cell r="AZ1091">
            <v>29.7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1.6199999999999999E-3</v>
          </cell>
          <cell r="BF1091">
            <v>29.7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1.6199999999999999E-3</v>
          </cell>
          <cell r="BX1091">
            <v>28.81</v>
          </cell>
          <cell r="BY1091">
            <v>1.8000000000000001E-4</v>
          </cell>
          <cell r="BZ1091">
            <v>3.17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1.8E-3</v>
          </cell>
          <cell r="CJ1091">
            <v>31.98</v>
          </cell>
          <cell r="CK1091">
            <v>1.8E-3</v>
          </cell>
          <cell r="CL1091">
            <v>31.98</v>
          </cell>
          <cell r="CO1091">
            <v>0</v>
          </cell>
          <cell r="CP1091">
            <v>0</v>
          </cell>
          <cell r="CQ1091">
            <v>0</v>
          </cell>
          <cell r="CR1091">
            <v>0</v>
          </cell>
          <cell r="CS1091">
            <v>0</v>
          </cell>
          <cell r="CT1091">
            <v>0</v>
          </cell>
          <cell r="CU1091">
            <v>0</v>
          </cell>
          <cell r="CV1091">
            <v>0</v>
          </cell>
          <cell r="CW1091">
            <v>0</v>
          </cell>
          <cell r="CX1091">
            <v>0</v>
          </cell>
          <cell r="CY1091">
            <v>0</v>
          </cell>
          <cell r="CZ1091">
            <v>0</v>
          </cell>
          <cell r="DA1091">
            <v>0</v>
          </cell>
          <cell r="DB1091">
            <v>0</v>
          </cell>
          <cell r="DC1091">
            <v>0</v>
          </cell>
          <cell r="DD1091">
            <v>0</v>
          </cell>
          <cell r="DE1091">
            <v>0</v>
          </cell>
          <cell r="DF1091">
            <v>0</v>
          </cell>
          <cell r="DG1091">
            <v>0</v>
          </cell>
          <cell r="DH1091">
            <v>0</v>
          </cell>
          <cell r="DI1091">
            <v>0</v>
          </cell>
          <cell r="DJ1091">
            <v>0</v>
          </cell>
          <cell r="DK1091">
            <v>0</v>
          </cell>
          <cell r="DL1091">
            <v>0</v>
          </cell>
          <cell r="DM1091">
            <v>0</v>
          </cell>
          <cell r="DN1091">
            <v>0</v>
          </cell>
          <cell r="DO1091">
            <v>0</v>
          </cell>
          <cell r="DP1091">
            <v>0</v>
          </cell>
          <cell r="DQ1091">
            <v>0</v>
          </cell>
          <cell r="DR1091">
            <v>0</v>
          </cell>
          <cell r="DS1091">
            <v>0</v>
          </cell>
          <cell r="DT1091">
            <v>0</v>
          </cell>
          <cell r="DU1091">
            <v>0</v>
          </cell>
          <cell r="DV1091">
            <v>0</v>
          </cell>
          <cell r="DW1091">
            <v>3.4199999999999999E-3</v>
          </cell>
          <cell r="DX1091">
            <v>61.68</v>
          </cell>
          <cell r="DY1091" t="str">
            <v/>
          </cell>
          <cell r="DZ1091">
            <v>0</v>
          </cell>
          <cell r="EA1091">
            <v>18035.087719298248</v>
          </cell>
        </row>
        <row r="1092">
          <cell r="B1092">
            <v>349154</v>
          </cell>
          <cell r="C1092" t="str">
            <v>ულქერი_ჰანიმელლერ_კურაბიე_ასორტი_150გ*12</v>
          </cell>
          <cell r="D1092" t="str">
            <v>TON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O1092">
            <v>0</v>
          </cell>
          <cell r="AP1092">
            <v>0</v>
          </cell>
          <cell r="AS1092">
            <v>0</v>
          </cell>
          <cell r="AT1092">
            <v>0</v>
          </cell>
          <cell r="AU1092">
            <v>-4.1999999999999997E-3</v>
          </cell>
          <cell r="AV1092">
            <v>-64.790000000000006</v>
          </cell>
          <cell r="AW1092">
            <v>0</v>
          </cell>
          <cell r="AX1092">
            <v>0</v>
          </cell>
          <cell r="AY1092">
            <v>1.8E-3</v>
          </cell>
          <cell r="AZ1092">
            <v>36.6</v>
          </cell>
          <cell r="BA1092">
            <v>0</v>
          </cell>
          <cell r="BB1092">
            <v>0</v>
          </cell>
          <cell r="BC1092">
            <v>-2.9999999999999997E-4</v>
          </cell>
          <cell r="BD1092">
            <v>-4.9800000000000004</v>
          </cell>
          <cell r="BE1092">
            <v>1.5E-3</v>
          </cell>
          <cell r="BF1092">
            <v>31.62</v>
          </cell>
          <cell r="BG1092">
            <v>0</v>
          </cell>
          <cell r="BH1092">
            <v>0</v>
          </cell>
          <cell r="BI1092">
            <v>-3.5999999999999999E-3</v>
          </cell>
          <cell r="BJ1092">
            <v>-59.64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-3.5999999999999999E-3</v>
          </cell>
          <cell r="BT1092">
            <v>-59.64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-3.5999999999999999E-3</v>
          </cell>
          <cell r="CL1092">
            <v>-59.64</v>
          </cell>
          <cell r="CO1092">
            <v>0</v>
          </cell>
          <cell r="CP1092">
            <v>0</v>
          </cell>
          <cell r="CQ1092">
            <v>0</v>
          </cell>
          <cell r="CR1092">
            <v>0</v>
          </cell>
          <cell r="CS1092">
            <v>0</v>
          </cell>
          <cell r="CT1092">
            <v>0</v>
          </cell>
          <cell r="CU1092">
            <v>0</v>
          </cell>
          <cell r="CV1092">
            <v>0</v>
          </cell>
          <cell r="CW1092">
            <v>0</v>
          </cell>
          <cell r="CX1092">
            <v>0</v>
          </cell>
          <cell r="CY1092">
            <v>-2.0999999999999999E-3</v>
          </cell>
          <cell r="CZ1092">
            <v>-36.770000000000003</v>
          </cell>
          <cell r="DA1092">
            <v>0</v>
          </cell>
          <cell r="DB1092">
            <v>0</v>
          </cell>
          <cell r="DC1092">
            <v>0</v>
          </cell>
          <cell r="DD1092">
            <v>0</v>
          </cell>
          <cell r="DE1092">
            <v>-2.0999999999999999E-3</v>
          </cell>
          <cell r="DF1092">
            <v>-36.770000000000003</v>
          </cell>
          <cell r="DG1092">
            <v>0</v>
          </cell>
          <cell r="DH1092">
            <v>0</v>
          </cell>
          <cell r="DI1092">
            <v>0</v>
          </cell>
          <cell r="DJ1092">
            <v>0</v>
          </cell>
          <cell r="DK1092">
            <v>0</v>
          </cell>
          <cell r="DL1092">
            <v>0</v>
          </cell>
          <cell r="DM1092">
            <v>0</v>
          </cell>
          <cell r="DN1092">
            <v>0</v>
          </cell>
          <cell r="DO1092">
            <v>0</v>
          </cell>
          <cell r="DP1092">
            <v>0</v>
          </cell>
          <cell r="DQ1092">
            <v>0</v>
          </cell>
          <cell r="DR1092">
            <v>0</v>
          </cell>
          <cell r="DS1092">
            <v>0</v>
          </cell>
          <cell r="DT1092">
            <v>0</v>
          </cell>
          <cell r="DU1092">
            <v>0</v>
          </cell>
          <cell r="DV1092">
            <v>0</v>
          </cell>
          <cell r="DW1092">
            <v>-4.2000000000000006E-3</v>
          </cell>
          <cell r="DX1092">
            <v>-64.789999999999992</v>
          </cell>
          <cell r="DY1092" t="str">
            <v/>
          </cell>
          <cell r="DZ1092">
            <v>0</v>
          </cell>
          <cell r="EA1092">
            <v>15426.190476190472</v>
          </cell>
        </row>
        <row r="1093">
          <cell r="B1093">
            <v>367869</v>
          </cell>
          <cell r="C1093" t="str">
            <v>ულქერი_ალბენი_შოკ.კარამელ ბისკვ_144გ_11ც+1ც</v>
          </cell>
          <cell r="D1093" t="str">
            <v>TON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O1093">
            <v>0</v>
          </cell>
          <cell r="AP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O1093">
            <v>0</v>
          </cell>
          <cell r="CP1093">
            <v>0</v>
          </cell>
          <cell r="CQ1093">
            <v>0</v>
          </cell>
          <cell r="CR1093">
            <v>0</v>
          </cell>
          <cell r="CS1093">
            <v>0</v>
          </cell>
          <cell r="CT1093">
            <v>0</v>
          </cell>
          <cell r="CU1093">
            <v>0</v>
          </cell>
          <cell r="CV1093">
            <v>0</v>
          </cell>
          <cell r="CW1093">
            <v>0</v>
          </cell>
          <cell r="CX1093">
            <v>0</v>
          </cell>
          <cell r="CY1093">
            <v>0</v>
          </cell>
          <cell r="CZ1093">
            <v>0</v>
          </cell>
          <cell r="DA1093">
            <v>0</v>
          </cell>
          <cell r="DB1093">
            <v>0</v>
          </cell>
          <cell r="DC1093">
            <v>0</v>
          </cell>
          <cell r="DD1093">
            <v>0</v>
          </cell>
          <cell r="DE1093">
            <v>0</v>
          </cell>
          <cell r="DF1093">
            <v>0</v>
          </cell>
          <cell r="DG1093">
            <v>0</v>
          </cell>
          <cell r="DH1093">
            <v>0</v>
          </cell>
          <cell r="DI1093">
            <v>0</v>
          </cell>
          <cell r="DJ1093">
            <v>0</v>
          </cell>
          <cell r="DK1093">
            <v>0</v>
          </cell>
          <cell r="DL1093">
            <v>0</v>
          </cell>
          <cell r="DM1093">
            <v>0</v>
          </cell>
          <cell r="DN1093">
            <v>0</v>
          </cell>
          <cell r="DO1093">
            <v>0</v>
          </cell>
          <cell r="DP1093">
            <v>0</v>
          </cell>
          <cell r="DQ1093">
            <v>0</v>
          </cell>
          <cell r="DR1093">
            <v>0</v>
          </cell>
          <cell r="DS1093">
            <v>0</v>
          </cell>
          <cell r="DT1093">
            <v>0</v>
          </cell>
          <cell r="DU1093">
            <v>0</v>
          </cell>
          <cell r="DV1093">
            <v>0</v>
          </cell>
          <cell r="DW1093">
            <v>0</v>
          </cell>
          <cell r="DX1093">
            <v>0</v>
          </cell>
          <cell r="DY1093" t="str">
            <v/>
          </cell>
          <cell r="DZ1093" t="str">
            <v>pasiv</v>
          </cell>
          <cell r="EA1093" t="e">
            <v>#DIV/0!</v>
          </cell>
        </row>
        <row r="1094">
          <cell r="B1094">
            <v>349155</v>
          </cell>
          <cell r="C1094" t="str">
            <v>ულქერი_ჰანიმილლერ_ორცხ.შოკოლადით_150გ*12</v>
          </cell>
          <cell r="D1094" t="str">
            <v>TON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O1094">
            <v>0</v>
          </cell>
          <cell r="AP1094">
            <v>0</v>
          </cell>
          <cell r="AS1094">
            <v>0</v>
          </cell>
          <cell r="AT1094">
            <v>0</v>
          </cell>
          <cell r="AU1094">
            <v>9.5999999999999992E-3</v>
          </cell>
          <cell r="AV1094">
            <v>164.2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1.0800000000000001E-2</v>
          </cell>
          <cell r="CF1094">
            <v>182.76</v>
          </cell>
          <cell r="CG1094">
            <v>0</v>
          </cell>
          <cell r="CH1094">
            <v>0</v>
          </cell>
          <cell r="CI1094">
            <v>1.0800000000000001E-2</v>
          </cell>
          <cell r="CJ1094">
            <v>182.76</v>
          </cell>
          <cell r="CK1094">
            <v>1.0800000000000001E-2</v>
          </cell>
          <cell r="CL1094">
            <v>182.76</v>
          </cell>
          <cell r="CO1094">
            <v>0</v>
          </cell>
          <cell r="CP1094">
            <v>0</v>
          </cell>
          <cell r="CQ1094">
            <v>0</v>
          </cell>
          <cell r="CR1094">
            <v>0</v>
          </cell>
          <cell r="CS1094">
            <v>0</v>
          </cell>
          <cell r="CT1094">
            <v>0</v>
          </cell>
          <cell r="CU1094">
            <v>0</v>
          </cell>
          <cell r="CV1094">
            <v>0</v>
          </cell>
          <cell r="CW1094">
            <v>0</v>
          </cell>
          <cell r="CX1094">
            <v>0</v>
          </cell>
          <cell r="CY1094">
            <v>-1.1999999999999999E-3</v>
          </cell>
          <cell r="CZ1094">
            <v>-18.559999999999999</v>
          </cell>
          <cell r="DA1094">
            <v>0</v>
          </cell>
          <cell r="DB1094">
            <v>0</v>
          </cell>
          <cell r="DC1094">
            <v>0</v>
          </cell>
          <cell r="DD1094">
            <v>0</v>
          </cell>
          <cell r="DE1094">
            <v>-1.1999999999999999E-3</v>
          </cell>
          <cell r="DF1094">
            <v>-18.559999999999999</v>
          </cell>
          <cell r="DG1094">
            <v>0</v>
          </cell>
          <cell r="DH1094">
            <v>0</v>
          </cell>
          <cell r="DI1094">
            <v>0</v>
          </cell>
          <cell r="DJ1094">
            <v>0</v>
          </cell>
          <cell r="DK1094">
            <v>0</v>
          </cell>
          <cell r="DL1094">
            <v>0</v>
          </cell>
          <cell r="DM1094">
            <v>0</v>
          </cell>
          <cell r="DN1094">
            <v>0</v>
          </cell>
          <cell r="DO1094">
            <v>0</v>
          </cell>
          <cell r="DP1094">
            <v>0</v>
          </cell>
          <cell r="DQ1094">
            <v>0</v>
          </cell>
          <cell r="DR1094">
            <v>0</v>
          </cell>
          <cell r="DS1094">
            <v>0</v>
          </cell>
          <cell r="DT1094">
            <v>0</v>
          </cell>
          <cell r="DU1094">
            <v>0</v>
          </cell>
          <cell r="DV1094">
            <v>0</v>
          </cell>
          <cell r="DW1094">
            <v>9.6000000000000009E-3</v>
          </cell>
          <cell r="DX1094">
            <v>164.2</v>
          </cell>
          <cell r="DY1094" t="str">
            <v/>
          </cell>
          <cell r="DZ1094">
            <v>0</v>
          </cell>
          <cell r="EA1094">
            <v>17104.166666666664</v>
          </cell>
        </row>
        <row r="1095">
          <cell r="B1095">
            <v>349945</v>
          </cell>
          <cell r="C1095" t="str">
            <v>ულქერი ოლალა- სუფლე 162გ-1ც+1ც შოკ.ფილა-40გ</v>
          </cell>
          <cell r="D1095" t="str">
            <v>TON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O1095">
            <v>0</v>
          </cell>
          <cell r="AP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0</v>
          </cell>
          <cell r="CB1095">
            <v>0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O1095">
            <v>0</v>
          </cell>
          <cell r="CP1095">
            <v>0</v>
          </cell>
          <cell r="CQ1095">
            <v>0</v>
          </cell>
          <cell r="CR1095">
            <v>0</v>
          </cell>
          <cell r="CS1095">
            <v>0</v>
          </cell>
          <cell r="CT1095">
            <v>0</v>
          </cell>
          <cell r="CU1095">
            <v>0</v>
          </cell>
          <cell r="CV1095">
            <v>0</v>
          </cell>
          <cell r="CW1095">
            <v>0</v>
          </cell>
          <cell r="CX1095">
            <v>0</v>
          </cell>
          <cell r="CY1095">
            <v>0</v>
          </cell>
          <cell r="CZ1095">
            <v>0</v>
          </cell>
          <cell r="DA1095">
            <v>0</v>
          </cell>
          <cell r="DB1095">
            <v>0</v>
          </cell>
          <cell r="DC1095">
            <v>0</v>
          </cell>
          <cell r="DD1095">
            <v>0</v>
          </cell>
          <cell r="DE1095">
            <v>0</v>
          </cell>
          <cell r="DF1095">
            <v>0</v>
          </cell>
          <cell r="DG1095">
            <v>0</v>
          </cell>
          <cell r="DH1095">
            <v>0</v>
          </cell>
          <cell r="DI1095">
            <v>0</v>
          </cell>
          <cell r="DJ1095">
            <v>0</v>
          </cell>
          <cell r="DK1095">
            <v>0</v>
          </cell>
          <cell r="DL1095">
            <v>0</v>
          </cell>
          <cell r="DM1095">
            <v>0</v>
          </cell>
          <cell r="DN1095">
            <v>0</v>
          </cell>
          <cell r="DO1095">
            <v>0</v>
          </cell>
          <cell r="DP1095">
            <v>0</v>
          </cell>
          <cell r="DQ1095">
            <v>0</v>
          </cell>
          <cell r="DR1095">
            <v>0</v>
          </cell>
          <cell r="DS1095">
            <v>0</v>
          </cell>
          <cell r="DT1095">
            <v>0</v>
          </cell>
          <cell r="DU1095">
            <v>0</v>
          </cell>
          <cell r="DV1095">
            <v>0</v>
          </cell>
          <cell r="DW1095">
            <v>0</v>
          </cell>
          <cell r="DX1095">
            <v>0</v>
          </cell>
          <cell r="DY1095" t="str">
            <v/>
          </cell>
          <cell r="DZ1095" t="str">
            <v>pasiv</v>
          </cell>
          <cell r="EA1095" t="e">
            <v>#DIV/0!</v>
          </cell>
        </row>
        <row r="1096">
          <cell r="B1096">
            <v>347834</v>
          </cell>
          <cell r="C1096" t="str">
            <v>ულქერი_ჰანიმელლერ_კურაბიე ლიმონის_138გ*9</v>
          </cell>
          <cell r="D1096" t="str">
            <v>TON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O1096">
            <v>0</v>
          </cell>
          <cell r="AP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O1096">
            <v>0</v>
          </cell>
          <cell r="CP1096">
            <v>0</v>
          </cell>
          <cell r="CQ1096">
            <v>0</v>
          </cell>
          <cell r="CR1096">
            <v>0</v>
          </cell>
          <cell r="CS1096">
            <v>0</v>
          </cell>
          <cell r="CT1096">
            <v>0</v>
          </cell>
          <cell r="CU1096">
            <v>0</v>
          </cell>
          <cell r="CV1096">
            <v>0</v>
          </cell>
          <cell r="CW1096">
            <v>0</v>
          </cell>
          <cell r="CX1096">
            <v>0</v>
          </cell>
          <cell r="CY1096">
            <v>0</v>
          </cell>
          <cell r="CZ1096">
            <v>0</v>
          </cell>
          <cell r="DA1096">
            <v>0</v>
          </cell>
          <cell r="DB1096">
            <v>0</v>
          </cell>
          <cell r="DC1096">
            <v>0</v>
          </cell>
          <cell r="DD1096">
            <v>0</v>
          </cell>
          <cell r="DE1096">
            <v>0</v>
          </cell>
          <cell r="DF1096">
            <v>0</v>
          </cell>
          <cell r="DG1096">
            <v>0</v>
          </cell>
          <cell r="DH1096">
            <v>0</v>
          </cell>
          <cell r="DI1096">
            <v>0</v>
          </cell>
          <cell r="DJ1096">
            <v>0</v>
          </cell>
          <cell r="DK1096">
            <v>0</v>
          </cell>
          <cell r="DL1096">
            <v>0</v>
          </cell>
          <cell r="DM1096">
            <v>0</v>
          </cell>
          <cell r="DN1096">
            <v>0</v>
          </cell>
          <cell r="DO1096">
            <v>0</v>
          </cell>
          <cell r="DP1096">
            <v>0</v>
          </cell>
          <cell r="DQ1096">
            <v>0</v>
          </cell>
          <cell r="DR1096">
            <v>0</v>
          </cell>
          <cell r="DS1096">
            <v>0</v>
          </cell>
          <cell r="DT1096">
            <v>0</v>
          </cell>
          <cell r="DU1096">
            <v>0</v>
          </cell>
          <cell r="DV1096">
            <v>0</v>
          </cell>
          <cell r="DW1096">
            <v>0</v>
          </cell>
          <cell r="DX1096">
            <v>0</v>
          </cell>
          <cell r="DY1096" t="str">
            <v/>
          </cell>
          <cell r="DZ1096" t="str">
            <v>pasiv</v>
          </cell>
          <cell r="EA1096" t="e">
            <v>#DIV/0!</v>
          </cell>
        </row>
        <row r="1097">
          <cell r="B1097">
            <v>348020</v>
          </cell>
          <cell r="C1097" t="str">
            <v>ულქერი_კაკაოს ფხვნილი_25გ*24*6</v>
          </cell>
          <cell r="D1097" t="str">
            <v>TON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-5.9999999999999995E-4</v>
          </cell>
          <cell r="AL1097">
            <v>-21.12</v>
          </cell>
          <cell r="AO1097">
            <v>-5.9999999999999995E-4</v>
          </cell>
          <cell r="AP1097">
            <v>-21.12</v>
          </cell>
          <cell r="AS1097">
            <v>0</v>
          </cell>
          <cell r="AT1097">
            <v>0</v>
          </cell>
          <cell r="AU1097">
            <v>-1.175E-3</v>
          </cell>
          <cell r="AV1097">
            <v>-40.270000000000003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-4.75E-4</v>
          </cell>
          <cell r="BD1097">
            <v>-16.149999999999999</v>
          </cell>
          <cell r="BE1097">
            <v>-4.75E-4</v>
          </cell>
          <cell r="BF1097">
            <v>-16.149999999999999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O1097">
            <v>0</v>
          </cell>
          <cell r="CP1097">
            <v>0</v>
          </cell>
          <cell r="CQ1097">
            <v>0</v>
          </cell>
          <cell r="CR1097">
            <v>0</v>
          </cell>
          <cell r="CS1097">
            <v>0</v>
          </cell>
          <cell r="CT1097">
            <v>0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  <cell r="CY1097">
            <v>0</v>
          </cell>
          <cell r="CZ1097">
            <v>0</v>
          </cell>
          <cell r="DA1097">
            <v>-1E-4</v>
          </cell>
          <cell r="DB1097">
            <v>-3</v>
          </cell>
          <cell r="DC1097">
            <v>0</v>
          </cell>
          <cell r="DD1097">
            <v>0</v>
          </cell>
          <cell r="DE1097">
            <v>-1E-4</v>
          </cell>
          <cell r="DF1097">
            <v>-3</v>
          </cell>
          <cell r="DG1097">
            <v>0</v>
          </cell>
          <cell r="DH1097">
            <v>0</v>
          </cell>
          <cell r="DI1097">
            <v>0</v>
          </cell>
          <cell r="DJ1097">
            <v>0</v>
          </cell>
          <cell r="DK1097">
            <v>0</v>
          </cell>
          <cell r="DL1097">
            <v>0</v>
          </cell>
          <cell r="DM1097">
            <v>0</v>
          </cell>
          <cell r="DN1097">
            <v>0</v>
          </cell>
          <cell r="DO1097">
            <v>0</v>
          </cell>
          <cell r="DP1097">
            <v>0</v>
          </cell>
          <cell r="DQ1097">
            <v>0</v>
          </cell>
          <cell r="DR1097">
            <v>0</v>
          </cell>
          <cell r="DS1097">
            <v>0</v>
          </cell>
          <cell r="DT1097">
            <v>0</v>
          </cell>
          <cell r="DU1097">
            <v>0</v>
          </cell>
          <cell r="DV1097">
            <v>0</v>
          </cell>
          <cell r="DW1097">
            <v>-1.1749999999999998E-3</v>
          </cell>
          <cell r="DX1097">
            <v>-40.269999999999996</v>
          </cell>
          <cell r="DY1097" t="str">
            <v/>
          </cell>
          <cell r="DZ1097">
            <v>0</v>
          </cell>
          <cell r="EA1097">
            <v>34272.340425531918</v>
          </cell>
        </row>
        <row r="1098">
          <cell r="B1098">
            <v>305326</v>
          </cell>
          <cell r="C1098" t="str">
            <v>ულქერი_ბებე_190გ*12_ბანანით და თაფლით</v>
          </cell>
          <cell r="D1098" t="str">
            <v>TON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O1098">
            <v>0</v>
          </cell>
          <cell r="AP1098">
            <v>0</v>
          </cell>
          <cell r="AS1098">
            <v>0</v>
          </cell>
          <cell r="AT1098">
            <v>0</v>
          </cell>
          <cell r="AU1098">
            <v>-5.7000000000000002E-3</v>
          </cell>
          <cell r="AV1098">
            <v>-112.8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O1098">
            <v>0</v>
          </cell>
          <cell r="CP1098">
            <v>0</v>
          </cell>
          <cell r="CQ1098">
            <v>0</v>
          </cell>
          <cell r="CR1098">
            <v>0</v>
          </cell>
          <cell r="CS1098">
            <v>0</v>
          </cell>
          <cell r="CT1098">
            <v>0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  <cell r="CY1098">
            <v>-5.7000000000000002E-3</v>
          </cell>
          <cell r="CZ1098">
            <v>-112.8</v>
          </cell>
          <cell r="DA1098">
            <v>0</v>
          </cell>
          <cell r="DB1098">
            <v>0</v>
          </cell>
          <cell r="DC1098">
            <v>0</v>
          </cell>
          <cell r="DD1098">
            <v>0</v>
          </cell>
          <cell r="DE1098">
            <v>-5.7000000000000002E-3</v>
          </cell>
          <cell r="DF1098">
            <v>-112.8</v>
          </cell>
          <cell r="DG1098">
            <v>0</v>
          </cell>
          <cell r="DH1098">
            <v>0</v>
          </cell>
          <cell r="DI1098">
            <v>0</v>
          </cell>
          <cell r="DJ1098">
            <v>0</v>
          </cell>
          <cell r="DK1098">
            <v>0</v>
          </cell>
          <cell r="DL1098">
            <v>0</v>
          </cell>
          <cell r="DM1098">
            <v>0</v>
          </cell>
          <cell r="DN1098">
            <v>0</v>
          </cell>
          <cell r="DO1098">
            <v>0</v>
          </cell>
          <cell r="DP1098">
            <v>0</v>
          </cell>
          <cell r="DQ1098">
            <v>0</v>
          </cell>
          <cell r="DR1098">
            <v>0</v>
          </cell>
          <cell r="DS1098">
            <v>0</v>
          </cell>
          <cell r="DT1098">
            <v>0</v>
          </cell>
          <cell r="DU1098">
            <v>0</v>
          </cell>
          <cell r="DV1098">
            <v>0</v>
          </cell>
          <cell r="DW1098">
            <v>-5.7000000000000002E-3</v>
          </cell>
          <cell r="DX1098">
            <v>-112.8</v>
          </cell>
          <cell r="DY1098" t="str">
            <v/>
          </cell>
          <cell r="DZ1098">
            <v>0</v>
          </cell>
          <cell r="EA1098">
            <v>19789.473684210527</v>
          </cell>
        </row>
        <row r="1099">
          <cell r="B1099">
            <v>329752</v>
          </cell>
          <cell r="C1099" t="str">
            <v>ულქერი_ვაფლი ვანილის არომ_220გ*12</v>
          </cell>
          <cell r="D1099" t="str">
            <v>TON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O1099">
            <v>0</v>
          </cell>
          <cell r="AP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O1099">
            <v>0</v>
          </cell>
          <cell r="CP1099">
            <v>0</v>
          </cell>
          <cell r="CQ1099">
            <v>0</v>
          </cell>
          <cell r="CR1099">
            <v>0</v>
          </cell>
          <cell r="CS1099">
            <v>0</v>
          </cell>
          <cell r="CT1099">
            <v>0</v>
          </cell>
          <cell r="CU1099">
            <v>0</v>
          </cell>
          <cell r="CV1099">
            <v>0</v>
          </cell>
          <cell r="CW1099">
            <v>0</v>
          </cell>
          <cell r="CX1099">
            <v>0</v>
          </cell>
          <cell r="CY1099">
            <v>0</v>
          </cell>
          <cell r="CZ1099">
            <v>0</v>
          </cell>
          <cell r="DA1099">
            <v>0</v>
          </cell>
          <cell r="DB1099">
            <v>0</v>
          </cell>
          <cell r="DC1099">
            <v>0</v>
          </cell>
          <cell r="DD1099">
            <v>0</v>
          </cell>
          <cell r="DE1099">
            <v>0</v>
          </cell>
          <cell r="DF1099">
            <v>0</v>
          </cell>
          <cell r="DG1099">
            <v>0</v>
          </cell>
          <cell r="DH1099">
            <v>0</v>
          </cell>
          <cell r="DI1099">
            <v>0</v>
          </cell>
          <cell r="DJ1099">
            <v>0</v>
          </cell>
          <cell r="DK1099">
            <v>0</v>
          </cell>
          <cell r="DL1099">
            <v>0</v>
          </cell>
          <cell r="DM1099">
            <v>0</v>
          </cell>
          <cell r="DN1099">
            <v>0</v>
          </cell>
          <cell r="DO1099">
            <v>0</v>
          </cell>
          <cell r="DP1099">
            <v>0</v>
          </cell>
          <cell r="DQ1099">
            <v>0</v>
          </cell>
          <cell r="DR1099">
            <v>0</v>
          </cell>
          <cell r="DS1099">
            <v>0</v>
          </cell>
          <cell r="DT1099">
            <v>0</v>
          </cell>
          <cell r="DU1099">
            <v>0</v>
          </cell>
          <cell r="DV1099">
            <v>0</v>
          </cell>
          <cell r="DW1099">
            <v>0</v>
          </cell>
          <cell r="DX1099">
            <v>0</v>
          </cell>
          <cell r="DY1099" t="str">
            <v/>
          </cell>
          <cell r="DZ1099" t="str">
            <v>pasiv</v>
          </cell>
          <cell r="EA1099" t="e">
            <v>#DIV/0!</v>
          </cell>
        </row>
        <row r="1100">
          <cell r="B1100">
            <v>330681</v>
          </cell>
          <cell r="C1100" t="str">
            <v>ულქერი_ვაფლი თხილით_220გ*12</v>
          </cell>
          <cell r="D1100" t="str">
            <v>TON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O1100">
            <v>0</v>
          </cell>
          <cell r="AP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O1100">
            <v>0</v>
          </cell>
          <cell r="CP1100">
            <v>0</v>
          </cell>
          <cell r="CQ1100">
            <v>0</v>
          </cell>
          <cell r="CR1100">
            <v>0</v>
          </cell>
          <cell r="CS1100">
            <v>0</v>
          </cell>
          <cell r="CT1100">
            <v>0</v>
          </cell>
          <cell r="CU1100">
            <v>0</v>
          </cell>
          <cell r="CV1100">
            <v>0</v>
          </cell>
          <cell r="CW1100">
            <v>0</v>
          </cell>
          <cell r="CX1100">
            <v>0</v>
          </cell>
          <cell r="CY1100">
            <v>0</v>
          </cell>
          <cell r="CZ1100">
            <v>0</v>
          </cell>
          <cell r="DA1100">
            <v>0</v>
          </cell>
          <cell r="DB1100">
            <v>0</v>
          </cell>
          <cell r="DC1100">
            <v>0</v>
          </cell>
          <cell r="DD1100">
            <v>0</v>
          </cell>
          <cell r="DE1100">
            <v>0</v>
          </cell>
          <cell r="DF1100">
            <v>0</v>
          </cell>
          <cell r="DG1100">
            <v>0</v>
          </cell>
          <cell r="DH1100">
            <v>0</v>
          </cell>
          <cell r="DI1100">
            <v>0</v>
          </cell>
          <cell r="DJ1100">
            <v>0</v>
          </cell>
          <cell r="DK1100">
            <v>0</v>
          </cell>
          <cell r="DL1100">
            <v>0</v>
          </cell>
          <cell r="DM1100">
            <v>0</v>
          </cell>
          <cell r="DN1100">
            <v>0</v>
          </cell>
          <cell r="DO1100">
            <v>0</v>
          </cell>
          <cell r="DP1100">
            <v>0</v>
          </cell>
          <cell r="DQ1100">
            <v>0</v>
          </cell>
          <cell r="DR1100">
            <v>0</v>
          </cell>
          <cell r="DS1100">
            <v>0</v>
          </cell>
          <cell r="DT1100">
            <v>0</v>
          </cell>
          <cell r="DU1100">
            <v>0</v>
          </cell>
          <cell r="DV1100">
            <v>0</v>
          </cell>
          <cell r="DW1100">
            <v>0</v>
          </cell>
          <cell r="DX1100">
            <v>0</v>
          </cell>
          <cell r="DY1100" t="str">
            <v/>
          </cell>
          <cell r="DZ1100" t="str">
            <v>pasiv</v>
          </cell>
          <cell r="EA1100" t="e">
            <v>#DIV/0!</v>
          </cell>
        </row>
        <row r="1101">
          <cell r="B1101">
            <v>352370</v>
          </cell>
          <cell r="C1101" t="str">
            <v>ულქერი_კაკაოს ფხვნილი_25გ_22ც+2ც</v>
          </cell>
          <cell r="D1101" t="str">
            <v>TON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O1101">
            <v>0</v>
          </cell>
          <cell r="AP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O1101">
            <v>0</v>
          </cell>
          <cell r="CP1101">
            <v>0</v>
          </cell>
          <cell r="CQ1101">
            <v>0</v>
          </cell>
          <cell r="CR1101">
            <v>0</v>
          </cell>
          <cell r="CS1101">
            <v>0</v>
          </cell>
          <cell r="CT1101">
            <v>0</v>
          </cell>
          <cell r="CU1101">
            <v>0</v>
          </cell>
          <cell r="CV1101">
            <v>0</v>
          </cell>
          <cell r="CW1101">
            <v>0</v>
          </cell>
          <cell r="CX1101">
            <v>0</v>
          </cell>
          <cell r="CY1101">
            <v>0</v>
          </cell>
          <cell r="CZ1101">
            <v>0</v>
          </cell>
          <cell r="DA1101">
            <v>0</v>
          </cell>
          <cell r="DB1101">
            <v>0</v>
          </cell>
          <cell r="DC1101">
            <v>0</v>
          </cell>
          <cell r="DD1101">
            <v>0</v>
          </cell>
          <cell r="DE1101">
            <v>0</v>
          </cell>
          <cell r="DF1101">
            <v>0</v>
          </cell>
          <cell r="DG1101">
            <v>0</v>
          </cell>
          <cell r="DH1101">
            <v>0</v>
          </cell>
          <cell r="DI1101">
            <v>0</v>
          </cell>
          <cell r="DJ1101">
            <v>0</v>
          </cell>
          <cell r="DK1101">
            <v>0</v>
          </cell>
          <cell r="DL1101">
            <v>0</v>
          </cell>
          <cell r="DM1101">
            <v>0</v>
          </cell>
          <cell r="DN1101">
            <v>0</v>
          </cell>
          <cell r="DO1101">
            <v>0</v>
          </cell>
          <cell r="DP1101">
            <v>0</v>
          </cell>
          <cell r="DQ1101">
            <v>0</v>
          </cell>
          <cell r="DR1101">
            <v>0</v>
          </cell>
          <cell r="DS1101">
            <v>0</v>
          </cell>
          <cell r="DT1101">
            <v>0</v>
          </cell>
          <cell r="DU1101">
            <v>0</v>
          </cell>
          <cell r="DV1101">
            <v>0</v>
          </cell>
          <cell r="DW1101">
            <v>0</v>
          </cell>
          <cell r="DX1101">
            <v>0</v>
          </cell>
          <cell r="DY1101" t="str">
            <v/>
          </cell>
          <cell r="DZ1101" t="str">
            <v>pasiv</v>
          </cell>
          <cell r="EA1101" t="e">
            <v>#DIV/0!</v>
          </cell>
        </row>
        <row r="1102">
          <cell r="B1102">
            <v>352008</v>
          </cell>
          <cell r="C1102" t="str">
            <v>ულქერი_კრეკერი_შავი სეზამის მარცვ_44გ*20</v>
          </cell>
          <cell r="D1102" t="str">
            <v>TON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O1102">
            <v>0</v>
          </cell>
          <cell r="AP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O1102">
            <v>0</v>
          </cell>
          <cell r="CP1102">
            <v>0</v>
          </cell>
          <cell r="CQ1102">
            <v>0</v>
          </cell>
          <cell r="CR1102">
            <v>0</v>
          </cell>
          <cell r="CS1102">
            <v>0</v>
          </cell>
          <cell r="CT1102">
            <v>0</v>
          </cell>
          <cell r="CU1102">
            <v>0</v>
          </cell>
          <cell r="CV1102">
            <v>0</v>
          </cell>
          <cell r="CW1102">
            <v>0</v>
          </cell>
          <cell r="CX1102">
            <v>0</v>
          </cell>
          <cell r="CY1102">
            <v>0</v>
          </cell>
          <cell r="CZ1102">
            <v>0</v>
          </cell>
          <cell r="DA1102">
            <v>0</v>
          </cell>
          <cell r="DB1102">
            <v>0</v>
          </cell>
          <cell r="DC1102">
            <v>0</v>
          </cell>
          <cell r="DD1102">
            <v>0</v>
          </cell>
          <cell r="DE1102">
            <v>0</v>
          </cell>
          <cell r="DF1102">
            <v>0</v>
          </cell>
          <cell r="DG1102">
            <v>0</v>
          </cell>
          <cell r="DH1102">
            <v>0</v>
          </cell>
          <cell r="DI1102">
            <v>0</v>
          </cell>
          <cell r="DJ1102">
            <v>0</v>
          </cell>
          <cell r="DK1102">
            <v>0</v>
          </cell>
          <cell r="DL1102">
            <v>0</v>
          </cell>
          <cell r="DM1102">
            <v>0</v>
          </cell>
          <cell r="DN1102">
            <v>0</v>
          </cell>
          <cell r="DO1102">
            <v>0</v>
          </cell>
          <cell r="DP1102">
            <v>0</v>
          </cell>
          <cell r="DQ1102">
            <v>0</v>
          </cell>
          <cell r="DR1102">
            <v>0</v>
          </cell>
          <cell r="DS1102">
            <v>0</v>
          </cell>
          <cell r="DT1102">
            <v>0</v>
          </cell>
          <cell r="DU1102">
            <v>0</v>
          </cell>
          <cell r="DV1102">
            <v>0</v>
          </cell>
          <cell r="DW1102">
            <v>0</v>
          </cell>
          <cell r="DX1102">
            <v>0</v>
          </cell>
          <cell r="DY1102" t="str">
            <v/>
          </cell>
          <cell r="DZ1102" t="str">
            <v>pasiv</v>
          </cell>
          <cell r="EA1102" t="e">
            <v>#DIV/0!</v>
          </cell>
        </row>
        <row r="1103">
          <cell r="B1103">
            <v>371124</v>
          </cell>
          <cell r="C1103" t="str">
            <v>ულქერი_შოკ.პასტა-400გ_1ც+1ც ულქერი_კაკაოს ფხვნ.25გ</v>
          </cell>
          <cell r="D1103" t="str">
            <v>TON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O1103">
            <v>0</v>
          </cell>
          <cell r="AP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O1103">
            <v>0</v>
          </cell>
          <cell r="CP1103">
            <v>0</v>
          </cell>
          <cell r="CQ1103">
            <v>0</v>
          </cell>
          <cell r="CR1103">
            <v>0</v>
          </cell>
          <cell r="CS1103">
            <v>0</v>
          </cell>
          <cell r="CT1103">
            <v>0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  <cell r="CY1103">
            <v>0</v>
          </cell>
          <cell r="CZ1103">
            <v>0</v>
          </cell>
          <cell r="DA1103">
            <v>0</v>
          </cell>
          <cell r="DB1103">
            <v>0</v>
          </cell>
          <cell r="DC1103">
            <v>0</v>
          </cell>
          <cell r="DD1103">
            <v>0</v>
          </cell>
          <cell r="DE1103">
            <v>0</v>
          </cell>
          <cell r="DF1103">
            <v>0</v>
          </cell>
          <cell r="DG1103">
            <v>0</v>
          </cell>
          <cell r="DH1103">
            <v>0</v>
          </cell>
          <cell r="DI1103">
            <v>0</v>
          </cell>
          <cell r="DJ1103">
            <v>0</v>
          </cell>
          <cell r="DK1103">
            <v>0</v>
          </cell>
          <cell r="DL1103">
            <v>0</v>
          </cell>
          <cell r="DM1103">
            <v>0</v>
          </cell>
          <cell r="DN1103">
            <v>0</v>
          </cell>
          <cell r="DO1103">
            <v>0</v>
          </cell>
          <cell r="DP1103">
            <v>0</v>
          </cell>
          <cell r="DQ1103">
            <v>0</v>
          </cell>
          <cell r="DR1103">
            <v>0</v>
          </cell>
          <cell r="DS1103">
            <v>0</v>
          </cell>
          <cell r="DT1103">
            <v>0</v>
          </cell>
          <cell r="DU1103">
            <v>0</v>
          </cell>
          <cell r="DV1103">
            <v>0</v>
          </cell>
          <cell r="DW1103">
            <v>0</v>
          </cell>
          <cell r="DX1103">
            <v>0</v>
          </cell>
          <cell r="DY1103" t="str">
            <v/>
          </cell>
          <cell r="DZ1103" t="str">
            <v>pasiv</v>
          </cell>
          <cell r="EA1103" t="e">
            <v>#DIV/0!</v>
          </cell>
        </row>
        <row r="1104">
          <cell r="B1104">
            <v>370633</v>
          </cell>
          <cell r="C1104" t="str">
            <v>ულქერი_შოკოლადის ფილა თხილით_60გ*6*6</v>
          </cell>
          <cell r="D1104" t="str">
            <v>TON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O1104">
            <v>0</v>
          </cell>
          <cell r="AP1104">
            <v>0</v>
          </cell>
          <cell r="AS1104">
            <v>0</v>
          </cell>
          <cell r="AT1104">
            <v>0</v>
          </cell>
          <cell r="AU1104">
            <v>7.2000000000000005E-4</v>
          </cell>
          <cell r="AV1104">
            <v>39.119999999999997</v>
          </cell>
          <cell r="AW1104">
            <v>0</v>
          </cell>
          <cell r="AX1104">
            <v>0</v>
          </cell>
          <cell r="AY1104">
            <v>7.2000000000000005E-4</v>
          </cell>
          <cell r="AZ1104">
            <v>39.119999999999997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7.2000000000000005E-4</v>
          </cell>
          <cell r="BF1104">
            <v>39.119999999999997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O1104">
            <v>0</v>
          </cell>
          <cell r="CP1104">
            <v>0</v>
          </cell>
          <cell r="CQ1104">
            <v>0</v>
          </cell>
          <cell r="CR1104">
            <v>0</v>
          </cell>
          <cell r="CS1104">
            <v>0</v>
          </cell>
          <cell r="CT1104">
            <v>0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  <cell r="CY1104">
            <v>0</v>
          </cell>
          <cell r="CZ1104">
            <v>0</v>
          </cell>
          <cell r="DA1104">
            <v>0</v>
          </cell>
          <cell r="DB1104">
            <v>0</v>
          </cell>
          <cell r="DC1104">
            <v>0</v>
          </cell>
          <cell r="DD1104">
            <v>0</v>
          </cell>
          <cell r="DE1104">
            <v>0</v>
          </cell>
          <cell r="DF1104">
            <v>0</v>
          </cell>
          <cell r="DG1104">
            <v>0</v>
          </cell>
          <cell r="DH1104">
            <v>0</v>
          </cell>
          <cell r="DI1104">
            <v>0</v>
          </cell>
          <cell r="DJ1104">
            <v>0</v>
          </cell>
          <cell r="DK1104">
            <v>0</v>
          </cell>
          <cell r="DL1104">
            <v>0</v>
          </cell>
          <cell r="DM1104">
            <v>0</v>
          </cell>
          <cell r="DN1104">
            <v>0</v>
          </cell>
          <cell r="DO1104">
            <v>0</v>
          </cell>
          <cell r="DP1104">
            <v>0</v>
          </cell>
          <cell r="DQ1104">
            <v>0</v>
          </cell>
          <cell r="DR1104">
            <v>0</v>
          </cell>
          <cell r="DS1104">
            <v>0</v>
          </cell>
          <cell r="DT1104">
            <v>0</v>
          </cell>
          <cell r="DU1104">
            <v>0</v>
          </cell>
          <cell r="DV1104">
            <v>0</v>
          </cell>
          <cell r="DW1104">
            <v>7.2000000000000005E-4</v>
          </cell>
          <cell r="DX1104">
            <v>39.119999999999997</v>
          </cell>
          <cell r="DY1104" t="str">
            <v/>
          </cell>
          <cell r="DZ1104">
            <v>0</v>
          </cell>
          <cell r="EA1104">
            <v>54333.333333333328</v>
          </cell>
        </row>
        <row r="1105">
          <cell r="B1105">
            <v>376185</v>
          </cell>
          <cell r="C1105" t="str">
            <v>ულქერი_სენდვიჩი ბისკვ.კრემით_61გ*24</v>
          </cell>
          <cell r="D1105" t="str">
            <v>TON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O1105">
            <v>0</v>
          </cell>
          <cell r="AP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O1105">
            <v>0</v>
          </cell>
          <cell r="CP1105">
            <v>0</v>
          </cell>
          <cell r="CQ1105">
            <v>0</v>
          </cell>
          <cell r="CR1105">
            <v>0</v>
          </cell>
          <cell r="CS1105">
            <v>0</v>
          </cell>
          <cell r="CT1105">
            <v>0</v>
          </cell>
          <cell r="CU1105">
            <v>0</v>
          </cell>
          <cell r="CV1105">
            <v>0</v>
          </cell>
          <cell r="CW1105">
            <v>0</v>
          </cell>
          <cell r="CX1105">
            <v>0</v>
          </cell>
          <cell r="CY1105">
            <v>0</v>
          </cell>
          <cell r="CZ1105">
            <v>0</v>
          </cell>
          <cell r="DA1105">
            <v>0</v>
          </cell>
          <cell r="DB1105">
            <v>0</v>
          </cell>
          <cell r="DC1105">
            <v>0</v>
          </cell>
          <cell r="DD1105">
            <v>0</v>
          </cell>
          <cell r="DE1105">
            <v>0</v>
          </cell>
          <cell r="DF1105">
            <v>0</v>
          </cell>
          <cell r="DG1105">
            <v>0</v>
          </cell>
          <cell r="DH1105">
            <v>0</v>
          </cell>
          <cell r="DI1105">
            <v>0</v>
          </cell>
          <cell r="DJ1105">
            <v>0</v>
          </cell>
          <cell r="DK1105">
            <v>0</v>
          </cell>
          <cell r="DL1105">
            <v>0</v>
          </cell>
          <cell r="DM1105">
            <v>0</v>
          </cell>
          <cell r="DN1105">
            <v>0</v>
          </cell>
          <cell r="DO1105">
            <v>0</v>
          </cell>
          <cell r="DP1105">
            <v>0</v>
          </cell>
          <cell r="DQ1105">
            <v>0</v>
          </cell>
          <cell r="DR1105">
            <v>0</v>
          </cell>
          <cell r="DS1105">
            <v>0</v>
          </cell>
          <cell r="DT1105">
            <v>0</v>
          </cell>
          <cell r="DU1105">
            <v>0</v>
          </cell>
          <cell r="DV1105">
            <v>0</v>
          </cell>
          <cell r="DW1105">
            <v>0</v>
          </cell>
          <cell r="DX1105">
            <v>0</v>
          </cell>
          <cell r="DY1105" t="str">
            <v/>
          </cell>
          <cell r="DZ1105" t="str">
            <v>pasiv</v>
          </cell>
          <cell r="EA1105" t="e">
            <v>#DIV/0!</v>
          </cell>
        </row>
        <row r="1106">
          <cell r="B1106">
            <v>305402</v>
          </cell>
          <cell r="C1106" t="str">
            <v>ულქერი_ბისკრემ_კაკაოს ბისკვ_40გ*24*12</v>
          </cell>
          <cell r="D1106" t="str">
            <v>TON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O1106">
            <v>0</v>
          </cell>
          <cell r="AP1106">
            <v>0</v>
          </cell>
          <cell r="AS1106">
            <v>0</v>
          </cell>
          <cell r="AT1106">
            <v>0</v>
          </cell>
          <cell r="AU1106">
            <v>1.1520000000000001E-2</v>
          </cell>
          <cell r="AV1106">
            <v>196.8</v>
          </cell>
          <cell r="AW1106">
            <v>0</v>
          </cell>
          <cell r="AX1106">
            <v>0</v>
          </cell>
          <cell r="AY1106">
            <v>1.1520000000000001E-2</v>
          </cell>
          <cell r="AZ1106">
            <v>196.8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1.1520000000000001E-2</v>
          </cell>
          <cell r="BF1106">
            <v>196.8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O1106">
            <v>0</v>
          </cell>
          <cell r="CP1106">
            <v>0</v>
          </cell>
          <cell r="CQ1106">
            <v>0</v>
          </cell>
          <cell r="CR1106">
            <v>0</v>
          </cell>
          <cell r="CS1106">
            <v>0</v>
          </cell>
          <cell r="CT1106">
            <v>0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  <cell r="CY1106">
            <v>0</v>
          </cell>
          <cell r="CZ1106">
            <v>0</v>
          </cell>
          <cell r="DA1106">
            <v>0</v>
          </cell>
          <cell r="DB1106">
            <v>0</v>
          </cell>
          <cell r="DC1106">
            <v>0</v>
          </cell>
          <cell r="DD1106">
            <v>0</v>
          </cell>
          <cell r="DE1106">
            <v>0</v>
          </cell>
          <cell r="DF1106">
            <v>0</v>
          </cell>
          <cell r="DG1106">
            <v>0</v>
          </cell>
          <cell r="DH1106">
            <v>0</v>
          </cell>
          <cell r="DI1106">
            <v>0</v>
          </cell>
          <cell r="DJ1106">
            <v>0</v>
          </cell>
          <cell r="DK1106">
            <v>0</v>
          </cell>
          <cell r="DL1106">
            <v>0</v>
          </cell>
          <cell r="DM1106">
            <v>0</v>
          </cell>
          <cell r="DN1106">
            <v>0</v>
          </cell>
          <cell r="DO1106">
            <v>0</v>
          </cell>
          <cell r="DP1106">
            <v>0</v>
          </cell>
          <cell r="DQ1106">
            <v>0</v>
          </cell>
          <cell r="DR1106">
            <v>0</v>
          </cell>
          <cell r="DS1106">
            <v>0</v>
          </cell>
          <cell r="DT1106">
            <v>0</v>
          </cell>
          <cell r="DU1106">
            <v>0</v>
          </cell>
          <cell r="DV1106">
            <v>0</v>
          </cell>
          <cell r="DW1106">
            <v>1.1520000000000001E-2</v>
          </cell>
          <cell r="DX1106">
            <v>196.8</v>
          </cell>
          <cell r="DY1106" t="str">
            <v/>
          </cell>
          <cell r="DZ1106">
            <v>0</v>
          </cell>
          <cell r="EA1106">
            <v>17083.333333333332</v>
          </cell>
        </row>
        <row r="1107">
          <cell r="B1107">
            <v>323274</v>
          </cell>
          <cell r="C1107" t="str">
            <v>ულქერი_TOFFE_კანფეტი კარამელის_1კგ*5</v>
          </cell>
          <cell r="D1107" t="str">
            <v>TON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O1107">
            <v>0</v>
          </cell>
          <cell r="AP1107">
            <v>0</v>
          </cell>
          <cell r="AS1107">
            <v>0</v>
          </cell>
          <cell r="AT1107">
            <v>0</v>
          </cell>
          <cell r="AU1107">
            <v>2E-3</v>
          </cell>
          <cell r="AV1107">
            <v>23.14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1E-3</v>
          </cell>
          <cell r="CF1107">
            <v>10.92</v>
          </cell>
          <cell r="CG1107">
            <v>0</v>
          </cell>
          <cell r="CH1107">
            <v>0</v>
          </cell>
          <cell r="CI1107">
            <v>1E-3</v>
          </cell>
          <cell r="CJ1107">
            <v>10.92</v>
          </cell>
          <cell r="CK1107">
            <v>1E-3</v>
          </cell>
          <cell r="CL1107">
            <v>10.92</v>
          </cell>
          <cell r="CO1107">
            <v>0</v>
          </cell>
          <cell r="CP1107">
            <v>0</v>
          </cell>
          <cell r="CQ1107">
            <v>0</v>
          </cell>
          <cell r="CR1107">
            <v>0</v>
          </cell>
          <cell r="CS1107">
            <v>0</v>
          </cell>
          <cell r="CT1107">
            <v>0</v>
          </cell>
          <cell r="CU1107">
            <v>1E-3</v>
          </cell>
          <cell r="CV1107">
            <v>12.22</v>
          </cell>
          <cell r="CW1107">
            <v>0</v>
          </cell>
          <cell r="CX1107">
            <v>0</v>
          </cell>
          <cell r="CY1107">
            <v>0</v>
          </cell>
          <cell r="CZ1107">
            <v>0</v>
          </cell>
          <cell r="DA1107">
            <v>0</v>
          </cell>
          <cell r="DB1107">
            <v>0</v>
          </cell>
          <cell r="DC1107">
            <v>0</v>
          </cell>
          <cell r="DD1107">
            <v>0</v>
          </cell>
          <cell r="DE1107">
            <v>0</v>
          </cell>
          <cell r="DF1107">
            <v>0</v>
          </cell>
          <cell r="DG1107">
            <v>0</v>
          </cell>
          <cell r="DH1107">
            <v>0</v>
          </cell>
          <cell r="DI1107">
            <v>0</v>
          </cell>
          <cell r="DJ1107">
            <v>0</v>
          </cell>
          <cell r="DK1107">
            <v>0</v>
          </cell>
          <cell r="DL1107">
            <v>0</v>
          </cell>
          <cell r="DM1107">
            <v>0</v>
          </cell>
          <cell r="DN1107">
            <v>0</v>
          </cell>
          <cell r="DO1107">
            <v>1E-3</v>
          </cell>
          <cell r="DP1107">
            <v>12.22</v>
          </cell>
          <cell r="DQ1107">
            <v>0</v>
          </cell>
          <cell r="DR1107">
            <v>0</v>
          </cell>
          <cell r="DS1107">
            <v>0</v>
          </cell>
          <cell r="DT1107">
            <v>0</v>
          </cell>
          <cell r="DU1107">
            <v>1E-3</v>
          </cell>
          <cell r="DV1107">
            <v>12.22</v>
          </cell>
          <cell r="DW1107">
            <v>2E-3</v>
          </cell>
          <cell r="DX1107">
            <v>23.14</v>
          </cell>
          <cell r="DY1107" t="str">
            <v/>
          </cell>
          <cell r="DZ1107">
            <v>0</v>
          </cell>
          <cell r="EA1107">
            <v>11570</v>
          </cell>
        </row>
        <row r="1108">
          <cell r="B1108">
            <v>327574</v>
          </cell>
          <cell r="C1108" t="str">
            <v>ულქერი_TOFFE_კანფეტი საზამთროს_1კგ*5</v>
          </cell>
          <cell r="D1108" t="str">
            <v>TON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1E-3</v>
          </cell>
          <cell r="AD1108">
            <v>13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O1108">
            <v>1E-3</v>
          </cell>
          <cell r="AP1108">
            <v>13</v>
          </cell>
          <cell r="AS1108">
            <v>0</v>
          </cell>
          <cell r="AT1108">
            <v>0</v>
          </cell>
          <cell r="AU1108">
            <v>2E-3</v>
          </cell>
          <cell r="AV1108">
            <v>25.22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O1108">
            <v>0</v>
          </cell>
          <cell r="CP1108">
            <v>0</v>
          </cell>
          <cell r="CQ1108">
            <v>0</v>
          </cell>
          <cell r="CR1108">
            <v>0</v>
          </cell>
          <cell r="CS1108">
            <v>0</v>
          </cell>
          <cell r="CT1108">
            <v>0</v>
          </cell>
          <cell r="CU1108">
            <v>1E-3</v>
          </cell>
          <cell r="CV1108">
            <v>12.22</v>
          </cell>
          <cell r="CW1108">
            <v>0</v>
          </cell>
          <cell r="CX1108">
            <v>0</v>
          </cell>
          <cell r="CY1108">
            <v>0</v>
          </cell>
          <cell r="CZ1108">
            <v>0</v>
          </cell>
          <cell r="DA1108">
            <v>0</v>
          </cell>
          <cell r="DB1108">
            <v>0</v>
          </cell>
          <cell r="DC1108">
            <v>0</v>
          </cell>
          <cell r="DD1108">
            <v>0</v>
          </cell>
          <cell r="DE1108">
            <v>0</v>
          </cell>
          <cell r="DF1108">
            <v>0</v>
          </cell>
          <cell r="DG1108">
            <v>0</v>
          </cell>
          <cell r="DH1108">
            <v>0</v>
          </cell>
          <cell r="DI1108">
            <v>0</v>
          </cell>
          <cell r="DJ1108">
            <v>0</v>
          </cell>
          <cell r="DK1108">
            <v>0</v>
          </cell>
          <cell r="DL1108">
            <v>0</v>
          </cell>
          <cell r="DM1108">
            <v>0</v>
          </cell>
          <cell r="DN1108">
            <v>0</v>
          </cell>
          <cell r="DO1108">
            <v>1E-3</v>
          </cell>
          <cell r="DP1108">
            <v>12.22</v>
          </cell>
          <cell r="DQ1108">
            <v>0</v>
          </cell>
          <cell r="DR1108">
            <v>0</v>
          </cell>
          <cell r="DS1108">
            <v>0</v>
          </cell>
          <cell r="DT1108">
            <v>0</v>
          </cell>
          <cell r="DU1108">
            <v>1E-3</v>
          </cell>
          <cell r="DV1108">
            <v>12.22</v>
          </cell>
          <cell r="DW1108">
            <v>2E-3</v>
          </cell>
          <cell r="DX1108">
            <v>25.22</v>
          </cell>
          <cell r="DY1108" t="str">
            <v/>
          </cell>
          <cell r="DZ1108">
            <v>0</v>
          </cell>
          <cell r="EA1108">
            <v>12610</v>
          </cell>
        </row>
        <row r="1109">
          <cell r="B1109">
            <v>342719</v>
          </cell>
          <cell r="C1109" t="str">
            <v>ულქერი_ჩხირები_სეზამის მარცვლებით_70გ*22</v>
          </cell>
          <cell r="D1109" t="str">
            <v>TON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O1109">
            <v>0</v>
          </cell>
          <cell r="AP1109">
            <v>0</v>
          </cell>
          <cell r="AS1109">
            <v>0</v>
          </cell>
          <cell r="AT1109">
            <v>0</v>
          </cell>
          <cell r="AU1109">
            <v>7.7000000000000002E-3</v>
          </cell>
          <cell r="AV1109">
            <v>132.13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1.5399999999999999E-3</v>
          </cell>
          <cell r="BV1109">
            <v>28.6</v>
          </cell>
          <cell r="BW1109">
            <v>1.5399999999999999E-3</v>
          </cell>
          <cell r="BX1109">
            <v>27.74</v>
          </cell>
          <cell r="BY1109">
            <v>1.5399999999999999E-3</v>
          </cell>
          <cell r="BZ1109">
            <v>27.74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3.0799999999999998E-3</v>
          </cell>
          <cell r="CF1109">
            <v>48.05</v>
          </cell>
          <cell r="CG1109">
            <v>0</v>
          </cell>
          <cell r="CH1109">
            <v>0</v>
          </cell>
          <cell r="CI1109">
            <v>7.7000000000000002E-3</v>
          </cell>
          <cell r="CJ1109">
            <v>132.13</v>
          </cell>
          <cell r="CK1109">
            <v>7.7000000000000002E-3</v>
          </cell>
          <cell r="CL1109">
            <v>132.13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  <cell r="DL1109">
            <v>0</v>
          </cell>
          <cell r="DM1109">
            <v>0</v>
          </cell>
          <cell r="DN1109">
            <v>0</v>
          </cell>
          <cell r="DO1109">
            <v>0</v>
          </cell>
          <cell r="DP1109">
            <v>0</v>
          </cell>
          <cell r="DQ1109">
            <v>0</v>
          </cell>
          <cell r="DR1109">
            <v>0</v>
          </cell>
          <cell r="DS1109">
            <v>0</v>
          </cell>
          <cell r="DT1109">
            <v>0</v>
          </cell>
          <cell r="DU1109">
            <v>0</v>
          </cell>
          <cell r="DV1109">
            <v>0</v>
          </cell>
          <cell r="DW1109">
            <v>7.7000000000000002E-3</v>
          </cell>
          <cell r="DX1109">
            <v>132.13</v>
          </cell>
          <cell r="DY1109" t="str">
            <v/>
          </cell>
          <cell r="DZ1109">
            <v>0</v>
          </cell>
          <cell r="EA1109">
            <v>17159.740259740258</v>
          </cell>
        </row>
        <row r="1110">
          <cell r="B1110">
            <v>352505</v>
          </cell>
          <cell r="C1110" t="str">
            <v>ულქერი_TOFFE_კანფეტი რძიანი_1კგ*5</v>
          </cell>
          <cell r="D1110" t="str">
            <v>TON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1E-3</v>
          </cell>
          <cell r="AD1110">
            <v>13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O1110">
            <v>1E-3</v>
          </cell>
          <cell r="AP1110">
            <v>13</v>
          </cell>
          <cell r="AS1110">
            <v>0</v>
          </cell>
          <cell r="AT1110">
            <v>0</v>
          </cell>
          <cell r="AU1110">
            <v>2E-3</v>
          </cell>
          <cell r="AV1110">
            <v>25.22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1E-3</v>
          </cell>
          <cell r="CV1110">
            <v>12.22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  <cell r="DL1110">
            <v>0</v>
          </cell>
          <cell r="DM1110">
            <v>0</v>
          </cell>
          <cell r="DN1110">
            <v>0</v>
          </cell>
          <cell r="DO1110">
            <v>1E-3</v>
          </cell>
          <cell r="DP1110">
            <v>12.22</v>
          </cell>
          <cell r="DQ1110">
            <v>0</v>
          </cell>
          <cell r="DR1110">
            <v>0</v>
          </cell>
          <cell r="DS1110">
            <v>0</v>
          </cell>
          <cell r="DT1110">
            <v>0</v>
          </cell>
          <cell r="DU1110">
            <v>1E-3</v>
          </cell>
          <cell r="DV1110">
            <v>12.22</v>
          </cell>
          <cell r="DW1110">
            <v>2E-3</v>
          </cell>
          <cell r="DX1110">
            <v>25.22</v>
          </cell>
          <cell r="DY1110" t="str">
            <v/>
          </cell>
          <cell r="DZ1110">
            <v>0</v>
          </cell>
          <cell r="EA1110">
            <v>12610</v>
          </cell>
        </row>
        <row r="1111">
          <cell r="B1111">
            <v>366819</v>
          </cell>
          <cell r="C1111" t="str">
            <v>ულქერი_LOKUMCUK_მარმელადი ბროწ_1კგ*5</v>
          </cell>
          <cell r="D1111" t="str">
            <v>TON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O1111">
            <v>0</v>
          </cell>
          <cell r="AP1111">
            <v>0</v>
          </cell>
          <cell r="AS1111">
            <v>0</v>
          </cell>
          <cell r="AT1111">
            <v>0</v>
          </cell>
          <cell r="AU1111">
            <v>3.0000000000000001E-3</v>
          </cell>
          <cell r="AV1111">
            <v>36.53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1E-3</v>
          </cell>
          <cell r="BJ1111">
            <v>12.61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1E-3</v>
          </cell>
          <cell r="BP1111">
            <v>13</v>
          </cell>
          <cell r="BQ1111">
            <v>0</v>
          </cell>
          <cell r="BR1111">
            <v>0</v>
          </cell>
          <cell r="BS1111">
            <v>2E-3</v>
          </cell>
          <cell r="BT1111">
            <v>25.61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1E-3</v>
          </cell>
          <cell r="CF1111">
            <v>10.92</v>
          </cell>
          <cell r="CG1111">
            <v>0</v>
          </cell>
          <cell r="CH1111">
            <v>0</v>
          </cell>
          <cell r="CI1111">
            <v>1E-3</v>
          </cell>
          <cell r="CJ1111">
            <v>10.92</v>
          </cell>
          <cell r="CK1111">
            <v>3.0000000000000001E-3</v>
          </cell>
          <cell r="CL1111">
            <v>36.53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S1111">
            <v>0</v>
          </cell>
          <cell r="CT1111">
            <v>0</v>
          </cell>
          <cell r="CU1111">
            <v>0</v>
          </cell>
          <cell r="CV1111">
            <v>0</v>
          </cell>
          <cell r="CW1111">
            <v>0</v>
          </cell>
          <cell r="CX1111">
            <v>0</v>
          </cell>
          <cell r="CY1111">
            <v>0</v>
          </cell>
          <cell r="CZ1111">
            <v>0</v>
          </cell>
          <cell r="DA1111">
            <v>0</v>
          </cell>
          <cell r="DB1111">
            <v>0</v>
          </cell>
          <cell r="DC1111">
            <v>0</v>
          </cell>
          <cell r="DD1111">
            <v>0</v>
          </cell>
          <cell r="DE1111">
            <v>0</v>
          </cell>
          <cell r="DF1111">
            <v>0</v>
          </cell>
          <cell r="DG1111">
            <v>0</v>
          </cell>
          <cell r="DH1111">
            <v>0</v>
          </cell>
          <cell r="DI1111">
            <v>0</v>
          </cell>
          <cell r="DJ1111">
            <v>0</v>
          </cell>
          <cell r="DK1111">
            <v>0</v>
          </cell>
          <cell r="DL1111">
            <v>0</v>
          </cell>
          <cell r="DM1111">
            <v>0</v>
          </cell>
          <cell r="DN1111">
            <v>0</v>
          </cell>
          <cell r="DO1111">
            <v>0</v>
          </cell>
          <cell r="DP1111">
            <v>0</v>
          </cell>
          <cell r="DQ1111">
            <v>0</v>
          </cell>
          <cell r="DR1111">
            <v>0</v>
          </cell>
          <cell r="DS1111">
            <v>0</v>
          </cell>
          <cell r="DT1111">
            <v>0</v>
          </cell>
          <cell r="DU1111">
            <v>0</v>
          </cell>
          <cell r="DV1111">
            <v>0</v>
          </cell>
          <cell r="DW1111">
            <v>3.0000000000000001E-3</v>
          </cell>
          <cell r="DX1111">
            <v>36.53</v>
          </cell>
          <cell r="DY1111" t="str">
            <v/>
          </cell>
          <cell r="DZ1111">
            <v>0</v>
          </cell>
          <cell r="EA1111">
            <v>12176.666666666666</v>
          </cell>
        </row>
        <row r="1112">
          <cell r="B1112">
            <v>380908</v>
          </cell>
          <cell r="C1112" t="str">
            <v>ულქერი_ტკბილეული_საახალწლო ნაკრები(0.258კგ)</v>
          </cell>
          <cell r="D1112" t="str">
            <v>TON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O1112">
            <v>0</v>
          </cell>
          <cell r="AP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O1112">
            <v>0</v>
          </cell>
          <cell r="CP1112">
            <v>0</v>
          </cell>
          <cell r="CQ1112">
            <v>0</v>
          </cell>
          <cell r="CR1112">
            <v>0</v>
          </cell>
          <cell r="CS1112">
            <v>0</v>
          </cell>
          <cell r="CT1112">
            <v>0</v>
          </cell>
          <cell r="CU1112">
            <v>0</v>
          </cell>
          <cell r="CV1112">
            <v>0</v>
          </cell>
          <cell r="CW1112">
            <v>0</v>
          </cell>
          <cell r="CX1112">
            <v>0</v>
          </cell>
          <cell r="CY1112">
            <v>0</v>
          </cell>
          <cell r="CZ1112">
            <v>0</v>
          </cell>
          <cell r="DA1112">
            <v>0</v>
          </cell>
          <cell r="DB1112">
            <v>0</v>
          </cell>
          <cell r="DC1112">
            <v>0</v>
          </cell>
          <cell r="DD1112">
            <v>0</v>
          </cell>
          <cell r="DE1112">
            <v>0</v>
          </cell>
          <cell r="DF1112">
            <v>0</v>
          </cell>
          <cell r="DG1112">
            <v>0</v>
          </cell>
          <cell r="DH1112">
            <v>0</v>
          </cell>
          <cell r="DI1112">
            <v>0</v>
          </cell>
          <cell r="DJ1112">
            <v>0</v>
          </cell>
          <cell r="DK1112">
            <v>0</v>
          </cell>
          <cell r="DL1112">
            <v>0</v>
          </cell>
          <cell r="DM1112">
            <v>0</v>
          </cell>
          <cell r="DN1112">
            <v>0</v>
          </cell>
          <cell r="DO1112">
            <v>0</v>
          </cell>
          <cell r="DP1112">
            <v>0</v>
          </cell>
          <cell r="DQ1112">
            <v>0</v>
          </cell>
          <cell r="DR1112">
            <v>0</v>
          </cell>
          <cell r="DS1112">
            <v>0</v>
          </cell>
          <cell r="DT1112">
            <v>0</v>
          </cell>
          <cell r="DU1112">
            <v>0</v>
          </cell>
          <cell r="DV1112">
            <v>0</v>
          </cell>
          <cell r="DW1112">
            <v>0</v>
          </cell>
          <cell r="DX1112">
            <v>0</v>
          </cell>
          <cell r="DY1112" t="str">
            <v/>
          </cell>
          <cell r="DZ1112" t="str">
            <v>pasiv</v>
          </cell>
          <cell r="EA1112" t="e">
            <v>#DIV/0!</v>
          </cell>
        </row>
        <row r="1113">
          <cell r="B1113">
            <v>352374</v>
          </cell>
          <cell r="C1113" t="str">
            <v>ულქერი_შოკ.პასტა_400გ_7ც+1ც</v>
          </cell>
          <cell r="D1113" t="str">
            <v>TON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6.4000000000000003E-3</v>
          </cell>
          <cell r="T1113">
            <v>116.93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6.4000000000000003E-3</v>
          </cell>
          <cell r="Z1113">
            <v>116.93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O1113">
            <v>0</v>
          </cell>
          <cell r="AP1113">
            <v>0</v>
          </cell>
          <cell r="AS1113">
            <v>0</v>
          </cell>
          <cell r="AT1113">
            <v>0</v>
          </cell>
          <cell r="AU1113">
            <v>1.6E-2</v>
          </cell>
          <cell r="AV1113">
            <v>295.97000000000003</v>
          </cell>
          <cell r="AW1113">
            <v>0</v>
          </cell>
          <cell r="AX1113">
            <v>0</v>
          </cell>
          <cell r="AY1113">
            <v>3.2000000000000002E-3</v>
          </cell>
          <cell r="AZ1113">
            <v>60.9</v>
          </cell>
          <cell r="BA1113">
            <v>0</v>
          </cell>
          <cell r="BB1113">
            <v>0</v>
          </cell>
          <cell r="BC1113">
            <v>6.4000000000000003E-3</v>
          </cell>
          <cell r="BD1113">
            <v>118.14</v>
          </cell>
          <cell r="BE1113">
            <v>9.6000000000000009E-3</v>
          </cell>
          <cell r="BF1113">
            <v>179.04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O1113">
            <v>0</v>
          </cell>
          <cell r="CP1113">
            <v>0</v>
          </cell>
          <cell r="CQ1113">
            <v>0</v>
          </cell>
          <cell r="CR1113">
            <v>0</v>
          </cell>
          <cell r="CS1113">
            <v>0</v>
          </cell>
          <cell r="CT1113">
            <v>0</v>
          </cell>
          <cell r="CU1113">
            <v>0</v>
          </cell>
          <cell r="CV1113">
            <v>0</v>
          </cell>
          <cell r="CW1113">
            <v>0</v>
          </cell>
          <cell r="CX1113">
            <v>0</v>
          </cell>
          <cell r="CY1113">
            <v>0</v>
          </cell>
          <cell r="CZ1113">
            <v>0</v>
          </cell>
          <cell r="DA1113">
            <v>0</v>
          </cell>
          <cell r="DB1113">
            <v>0</v>
          </cell>
          <cell r="DC1113">
            <v>0</v>
          </cell>
          <cell r="DD1113">
            <v>0</v>
          </cell>
          <cell r="DE1113">
            <v>0</v>
          </cell>
          <cell r="DF1113">
            <v>0</v>
          </cell>
          <cell r="DG1113">
            <v>0</v>
          </cell>
          <cell r="DH1113">
            <v>0</v>
          </cell>
          <cell r="DI1113">
            <v>0</v>
          </cell>
          <cell r="DJ1113">
            <v>0</v>
          </cell>
          <cell r="DK1113">
            <v>0</v>
          </cell>
          <cell r="DL1113">
            <v>0</v>
          </cell>
          <cell r="DM1113">
            <v>0</v>
          </cell>
          <cell r="DN1113">
            <v>0</v>
          </cell>
          <cell r="DO1113">
            <v>0</v>
          </cell>
          <cell r="DP1113">
            <v>0</v>
          </cell>
          <cell r="DQ1113">
            <v>0</v>
          </cell>
          <cell r="DR1113">
            <v>0</v>
          </cell>
          <cell r="DS1113">
            <v>0</v>
          </cell>
          <cell r="DT1113">
            <v>0</v>
          </cell>
          <cell r="DU1113">
            <v>0</v>
          </cell>
          <cell r="DV1113">
            <v>0</v>
          </cell>
          <cell r="DW1113">
            <v>1.6E-2</v>
          </cell>
          <cell r="DX1113">
            <v>295.97000000000003</v>
          </cell>
          <cell r="DY1113" t="str">
            <v/>
          </cell>
          <cell r="DZ1113">
            <v>0</v>
          </cell>
          <cell r="EA1113">
            <v>18498.125</v>
          </cell>
        </row>
        <row r="1114">
          <cell r="B1114">
            <v>376928</v>
          </cell>
          <cell r="C1114" t="str">
            <v>ულქერი_კრისპი_ჩხირები_ნაჩო ყველით_40გ_13ც+2ც</v>
          </cell>
          <cell r="D1114" t="str">
            <v>TON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O1114">
            <v>0</v>
          </cell>
          <cell r="AP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O1114">
            <v>0</v>
          </cell>
          <cell r="CP1114">
            <v>0</v>
          </cell>
          <cell r="CQ1114">
            <v>0</v>
          </cell>
          <cell r="CR1114">
            <v>0</v>
          </cell>
          <cell r="CS1114">
            <v>0</v>
          </cell>
          <cell r="CT1114">
            <v>0</v>
          </cell>
          <cell r="CU1114">
            <v>0</v>
          </cell>
          <cell r="CV1114">
            <v>0</v>
          </cell>
          <cell r="CW1114">
            <v>0</v>
          </cell>
          <cell r="CX1114">
            <v>0</v>
          </cell>
          <cell r="CY1114">
            <v>0</v>
          </cell>
          <cell r="CZ1114">
            <v>0</v>
          </cell>
          <cell r="DA1114">
            <v>0</v>
          </cell>
          <cell r="DB1114">
            <v>0</v>
          </cell>
          <cell r="DC1114">
            <v>0</v>
          </cell>
          <cell r="DD1114">
            <v>0</v>
          </cell>
          <cell r="DE1114">
            <v>0</v>
          </cell>
          <cell r="DF1114">
            <v>0</v>
          </cell>
          <cell r="DG1114">
            <v>0</v>
          </cell>
          <cell r="DH1114">
            <v>0</v>
          </cell>
          <cell r="DI1114">
            <v>0</v>
          </cell>
          <cell r="DJ1114">
            <v>0</v>
          </cell>
          <cell r="DK1114">
            <v>0</v>
          </cell>
          <cell r="DL1114">
            <v>0</v>
          </cell>
          <cell r="DM1114">
            <v>0</v>
          </cell>
          <cell r="DN1114">
            <v>0</v>
          </cell>
          <cell r="DO1114">
            <v>0</v>
          </cell>
          <cell r="DP1114">
            <v>0</v>
          </cell>
          <cell r="DQ1114">
            <v>0</v>
          </cell>
          <cell r="DR1114">
            <v>0</v>
          </cell>
          <cell r="DS1114">
            <v>0</v>
          </cell>
          <cell r="DT1114">
            <v>0</v>
          </cell>
          <cell r="DU1114">
            <v>0</v>
          </cell>
          <cell r="DV1114">
            <v>0</v>
          </cell>
          <cell r="DW1114">
            <v>0</v>
          </cell>
          <cell r="DX1114">
            <v>0</v>
          </cell>
          <cell r="DY1114" t="str">
            <v/>
          </cell>
          <cell r="DZ1114" t="str">
            <v>pasiv</v>
          </cell>
          <cell r="EA1114" t="e">
            <v>#DIV/0!</v>
          </cell>
        </row>
        <row r="1115">
          <cell r="B1115">
            <v>352497</v>
          </cell>
          <cell r="C1115" t="str">
            <v>ულქერი_YUPO_ჟელე_კოლა და ხილი_20გ*36*6</v>
          </cell>
          <cell r="D1115" t="str">
            <v>TON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O1115">
            <v>0</v>
          </cell>
          <cell r="AP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0</v>
          </cell>
          <cell r="CB1115">
            <v>0</v>
          </cell>
          <cell r="CC1115">
            <v>0</v>
          </cell>
          <cell r="CD1115">
            <v>0</v>
          </cell>
          <cell r="CE1115">
            <v>0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O1115">
            <v>0</v>
          </cell>
          <cell r="CP1115">
            <v>0</v>
          </cell>
          <cell r="CQ1115">
            <v>0</v>
          </cell>
          <cell r="CR1115">
            <v>0</v>
          </cell>
          <cell r="CS1115">
            <v>0</v>
          </cell>
          <cell r="CT1115">
            <v>0</v>
          </cell>
          <cell r="CU1115">
            <v>0</v>
          </cell>
          <cell r="CV1115">
            <v>0</v>
          </cell>
          <cell r="CW1115">
            <v>0</v>
          </cell>
          <cell r="CX1115">
            <v>0</v>
          </cell>
          <cell r="CY1115">
            <v>0</v>
          </cell>
          <cell r="CZ1115">
            <v>0</v>
          </cell>
          <cell r="DA1115">
            <v>0</v>
          </cell>
          <cell r="DB1115">
            <v>0</v>
          </cell>
          <cell r="DC1115">
            <v>0</v>
          </cell>
          <cell r="DD1115">
            <v>0</v>
          </cell>
          <cell r="DE1115">
            <v>0</v>
          </cell>
          <cell r="DF1115">
            <v>0</v>
          </cell>
          <cell r="DG1115">
            <v>0</v>
          </cell>
          <cell r="DH1115">
            <v>0</v>
          </cell>
          <cell r="DI1115">
            <v>0</v>
          </cell>
          <cell r="DJ1115">
            <v>0</v>
          </cell>
          <cell r="DK1115">
            <v>0</v>
          </cell>
          <cell r="DL1115">
            <v>0</v>
          </cell>
          <cell r="DM1115">
            <v>0</v>
          </cell>
          <cell r="DN1115">
            <v>0</v>
          </cell>
          <cell r="DO1115">
            <v>0</v>
          </cell>
          <cell r="DP1115">
            <v>0</v>
          </cell>
          <cell r="DQ1115">
            <v>0</v>
          </cell>
          <cell r="DR1115">
            <v>0</v>
          </cell>
          <cell r="DS1115">
            <v>0</v>
          </cell>
          <cell r="DT1115">
            <v>0</v>
          </cell>
          <cell r="DU1115">
            <v>0</v>
          </cell>
          <cell r="DV1115">
            <v>0</v>
          </cell>
          <cell r="DW1115">
            <v>0</v>
          </cell>
          <cell r="DX1115">
            <v>0</v>
          </cell>
          <cell r="DY1115" t="str">
            <v/>
          </cell>
          <cell r="DZ1115" t="str">
            <v>pasiv</v>
          </cell>
          <cell r="EA1115" t="e">
            <v>#DIV/0!</v>
          </cell>
        </row>
        <row r="1116">
          <cell r="B1116">
            <v>356037</v>
          </cell>
          <cell r="C1116" t="str">
            <v>ულქერი_კრისპი_ჩხირები_ნაჩო ჩიფსი ყველით_40გ*15</v>
          </cell>
          <cell r="D1116" t="str">
            <v>TON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O1116">
            <v>0</v>
          </cell>
          <cell r="AP1116">
            <v>0</v>
          </cell>
          <cell r="AS1116">
            <v>0</v>
          </cell>
          <cell r="AT1116">
            <v>0</v>
          </cell>
          <cell r="AU1116">
            <v>5.4000000000000003E-3</v>
          </cell>
          <cell r="AV1116">
            <v>120.47</v>
          </cell>
          <cell r="AW1116">
            <v>0</v>
          </cell>
          <cell r="AX1116">
            <v>0</v>
          </cell>
          <cell r="AY1116">
            <v>5.9999999999999995E-4</v>
          </cell>
          <cell r="AZ1116">
            <v>13.8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5.9999999999999995E-4</v>
          </cell>
          <cell r="BF1116">
            <v>13.8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5.9999999999999995E-4</v>
          </cell>
          <cell r="BX1116">
            <v>13.39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5.9999999999999995E-4</v>
          </cell>
          <cell r="CJ1116">
            <v>13.39</v>
          </cell>
          <cell r="CK1116">
            <v>5.9999999999999995E-4</v>
          </cell>
          <cell r="CL1116">
            <v>13.39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1.8E-3</v>
          </cell>
          <cell r="CV1116">
            <v>41.4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2.3999999999999998E-3</v>
          </cell>
          <cell r="DD1116">
            <v>51.88</v>
          </cell>
          <cell r="DE1116">
            <v>2.3999999999999998E-3</v>
          </cell>
          <cell r="DF1116">
            <v>51.88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  <cell r="DL1116">
            <v>0</v>
          </cell>
          <cell r="DM1116">
            <v>0</v>
          </cell>
          <cell r="DN1116">
            <v>0</v>
          </cell>
          <cell r="DO1116">
            <v>0</v>
          </cell>
          <cell r="DP1116">
            <v>0</v>
          </cell>
          <cell r="DQ1116">
            <v>0</v>
          </cell>
          <cell r="DR1116">
            <v>0</v>
          </cell>
          <cell r="DS1116">
            <v>1.8E-3</v>
          </cell>
          <cell r="DT1116">
            <v>41.4</v>
          </cell>
          <cell r="DU1116">
            <v>1.8E-3</v>
          </cell>
          <cell r="DV1116">
            <v>41.4</v>
          </cell>
          <cell r="DW1116">
            <v>5.3999999999999994E-3</v>
          </cell>
          <cell r="DX1116">
            <v>120.47</v>
          </cell>
          <cell r="DY1116" t="str">
            <v/>
          </cell>
          <cell r="DZ1116">
            <v>0</v>
          </cell>
          <cell r="EA1116">
            <v>22309.259259259263</v>
          </cell>
        </row>
        <row r="1117">
          <cell r="B1117">
            <v>326099</v>
          </cell>
          <cell r="C1117" t="str">
            <v>ულქერი_რძ.შოკოლადის ფილა ქიშმიშით  თხილ_65გ*6*6</v>
          </cell>
          <cell r="D1117" t="str">
            <v>TON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O1117">
            <v>0</v>
          </cell>
          <cell r="AP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  <cell r="DL1117">
            <v>0</v>
          </cell>
          <cell r="DM1117">
            <v>0</v>
          </cell>
          <cell r="DN1117">
            <v>0</v>
          </cell>
          <cell r="DO1117">
            <v>0</v>
          </cell>
          <cell r="DP1117">
            <v>0</v>
          </cell>
          <cell r="DQ1117">
            <v>0</v>
          </cell>
          <cell r="DR1117">
            <v>0</v>
          </cell>
          <cell r="DS1117">
            <v>0</v>
          </cell>
          <cell r="DT1117">
            <v>0</v>
          </cell>
          <cell r="DU1117">
            <v>0</v>
          </cell>
          <cell r="DV1117">
            <v>0</v>
          </cell>
          <cell r="DW1117">
            <v>0</v>
          </cell>
          <cell r="DX1117">
            <v>0</v>
          </cell>
          <cell r="DY1117" t="str">
            <v/>
          </cell>
          <cell r="DZ1117" t="str">
            <v>pasiv</v>
          </cell>
          <cell r="EA1117" t="e">
            <v>#DIV/0!</v>
          </cell>
        </row>
        <row r="1118">
          <cell r="B1118">
            <v>376929</v>
          </cell>
          <cell r="C1118" t="str">
            <v>ულქერი_კრისპი_ჩხირები_ცხარე_40გ_13ც+2ც</v>
          </cell>
          <cell r="D1118" t="str">
            <v>TON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O1118">
            <v>0</v>
          </cell>
          <cell r="AP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0</v>
          </cell>
          <cell r="CK1118">
            <v>0</v>
          </cell>
          <cell r="CL1118">
            <v>0</v>
          </cell>
          <cell r="CO1118">
            <v>0</v>
          </cell>
          <cell r="CP1118">
            <v>0</v>
          </cell>
          <cell r="CQ1118">
            <v>0</v>
          </cell>
          <cell r="CR1118">
            <v>0</v>
          </cell>
          <cell r="CS1118">
            <v>0</v>
          </cell>
          <cell r="CT1118">
            <v>0</v>
          </cell>
          <cell r="CU1118">
            <v>0</v>
          </cell>
          <cell r="CV1118">
            <v>0</v>
          </cell>
          <cell r="CW1118">
            <v>0</v>
          </cell>
          <cell r="CX1118">
            <v>0</v>
          </cell>
          <cell r="CY1118">
            <v>0</v>
          </cell>
          <cell r="CZ1118">
            <v>0</v>
          </cell>
          <cell r="DA1118">
            <v>0</v>
          </cell>
          <cell r="DB1118">
            <v>0</v>
          </cell>
          <cell r="DC1118">
            <v>0</v>
          </cell>
          <cell r="DD1118">
            <v>0</v>
          </cell>
          <cell r="DE1118">
            <v>0</v>
          </cell>
          <cell r="DF1118">
            <v>0</v>
          </cell>
          <cell r="DG1118">
            <v>0</v>
          </cell>
          <cell r="DH1118">
            <v>0</v>
          </cell>
          <cell r="DI1118">
            <v>0</v>
          </cell>
          <cell r="DJ1118">
            <v>0</v>
          </cell>
          <cell r="DK1118">
            <v>0</v>
          </cell>
          <cell r="DL1118">
            <v>0</v>
          </cell>
          <cell r="DM1118">
            <v>0</v>
          </cell>
          <cell r="DN1118">
            <v>0</v>
          </cell>
          <cell r="DO1118">
            <v>0</v>
          </cell>
          <cell r="DP1118">
            <v>0</v>
          </cell>
          <cell r="DQ1118">
            <v>0</v>
          </cell>
          <cell r="DR1118">
            <v>0</v>
          </cell>
          <cell r="DS1118">
            <v>0</v>
          </cell>
          <cell r="DT1118">
            <v>0</v>
          </cell>
          <cell r="DU1118">
            <v>0</v>
          </cell>
          <cell r="DV1118">
            <v>0</v>
          </cell>
          <cell r="DW1118">
            <v>0</v>
          </cell>
          <cell r="DX1118">
            <v>0</v>
          </cell>
          <cell r="DY1118" t="str">
            <v/>
          </cell>
          <cell r="DZ1118" t="str">
            <v>pasiv</v>
          </cell>
          <cell r="EA1118" t="e">
            <v>#DIV/0!</v>
          </cell>
        </row>
        <row r="1119">
          <cell r="B1119">
            <v>377003</v>
          </cell>
          <cell r="C1119" t="str">
            <v>ულქერი_კრისპი_ჩხირები_ტაკო_40გ_13ც+2ც</v>
          </cell>
          <cell r="D1119" t="str">
            <v>TON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O1119">
            <v>0</v>
          </cell>
          <cell r="AP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O1119">
            <v>0</v>
          </cell>
          <cell r="CP1119">
            <v>0</v>
          </cell>
          <cell r="CQ1119">
            <v>0</v>
          </cell>
          <cell r="CR1119">
            <v>0</v>
          </cell>
          <cell r="CS1119">
            <v>0</v>
          </cell>
          <cell r="CT1119">
            <v>0</v>
          </cell>
          <cell r="CU1119">
            <v>0</v>
          </cell>
          <cell r="CV1119">
            <v>0</v>
          </cell>
          <cell r="CW1119">
            <v>0</v>
          </cell>
          <cell r="CX1119">
            <v>0</v>
          </cell>
          <cell r="CY1119">
            <v>0</v>
          </cell>
          <cell r="CZ1119">
            <v>0</v>
          </cell>
          <cell r="DA1119">
            <v>0</v>
          </cell>
          <cell r="DB1119">
            <v>0</v>
          </cell>
          <cell r="DC1119">
            <v>0</v>
          </cell>
          <cell r="DD1119">
            <v>0</v>
          </cell>
          <cell r="DE1119">
            <v>0</v>
          </cell>
          <cell r="DF1119">
            <v>0</v>
          </cell>
          <cell r="DG1119">
            <v>0</v>
          </cell>
          <cell r="DH1119">
            <v>0</v>
          </cell>
          <cell r="DI1119">
            <v>0</v>
          </cell>
          <cell r="DJ1119">
            <v>0</v>
          </cell>
          <cell r="DK1119">
            <v>0</v>
          </cell>
          <cell r="DL1119">
            <v>0</v>
          </cell>
          <cell r="DM1119">
            <v>0</v>
          </cell>
          <cell r="DN1119">
            <v>0</v>
          </cell>
          <cell r="DO1119">
            <v>0</v>
          </cell>
          <cell r="DP1119">
            <v>0</v>
          </cell>
          <cell r="DQ1119">
            <v>0</v>
          </cell>
          <cell r="DR1119">
            <v>0</v>
          </cell>
          <cell r="DS1119">
            <v>0</v>
          </cell>
          <cell r="DT1119">
            <v>0</v>
          </cell>
          <cell r="DU1119">
            <v>0</v>
          </cell>
          <cell r="DV1119">
            <v>0</v>
          </cell>
          <cell r="DW1119">
            <v>0</v>
          </cell>
          <cell r="DX1119">
            <v>0</v>
          </cell>
          <cell r="DY1119" t="str">
            <v/>
          </cell>
          <cell r="DZ1119" t="str">
            <v>pasiv</v>
          </cell>
          <cell r="EA1119" t="e">
            <v>#DIV/0!</v>
          </cell>
        </row>
        <row r="1120">
          <cell r="B1120">
            <v>377621</v>
          </cell>
          <cell r="C1120" t="str">
            <v>ულქერი_DELUXE GOFRET_ვაფლი თხილით_220გ*10</v>
          </cell>
          <cell r="D1120" t="str">
            <v>TON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O1120">
            <v>0</v>
          </cell>
          <cell r="AP1120">
            <v>0</v>
          </cell>
          <cell r="AS1120">
            <v>0</v>
          </cell>
          <cell r="AT1120">
            <v>0</v>
          </cell>
          <cell r="AU1120">
            <v>5.4999999999999997E-3</v>
          </cell>
          <cell r="AV1120">
            <v>75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1.1000000000000001E-3</v>
          </cell>
          <cell r="CV1120">
            <v>15</v>
          </cell>
          <cell r="CW1120">
            <v>0</v>
          </cell>
          <cell r="CX1120">
            <v>0</v>
          </cell>
          <cell r="CY1120">
            <v>4.4000000000000003E-3</v>
          </cell>
          <cell r="CZ1120">
            <v>60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4.4000000000000003E-3</v>
          </cell>
          <cell r="DF1120">
            <v>60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  <cell r="DL1120">
            <v>0</v>
          </cell>
          <cell r="DM1120">
            <v>0</v>
          </cell>
          <cell r="DN1120">
            <v>0</v>
          </cell>
          <cell r="DO1120">
            <v>0</v>
          </cell>
          <cell r="DP1120">
            <v>0</v>
          </cell>
          <cell r="DQ1120">
            <v>0</v>
          </cell>
          <cell r="DR1120">
            <v>0</v>
          </cell>
          <cell r="DS1120">
            <v>1.1000000000000001E-3</v>
          </cell>
          <cell r="DT1120">
            <v>15</v>
          </cell>
          <cell r="DU1120">
            <v>1.1000000000000001E-3</v>
          </cell>
          <cell r="DV1120">
            <v>15</v>
          </cell>
          <cell r="DW1120">
            <v>5.5000000000000005E-3</v>
          </cell>
          <cell r="DX1120">
            <v>75</v>
          </cell>
          <cell r="DY1120" t="str">
            <v/>
          </cell>
          <cell r="DZ1120">
            <v>0</v>
          </cell>
          <cell r="EA1120">
            <v>13636.363636363634</v>
          </cell>
        </row>
        <row r="1121">
          <cell r="B1121">
            <v>342720</v>
          </cell>
          <cell r="C1121" t="str">
            <v>ულქერი_ალბენი-MINI BAR-შოკ.ბისკვ კარამ_3კგ</v>
          </cell>
          <cell r="D1121" t="str">
            <v>TON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O1121">
            <v>0</v>
          </cell>
          <cell r="AP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O1121">
            <v>0</v>
          </cell>
          <cell r="CP1121">
            <v>0</v>
          </cell>
          <cell r="CQ1121">
            <v>0</v>
          </cell>
          <cell r="CR1121">
            <v>0</v>
          </cell>
          <cell r="CS1121">
            <v>0</v>
          </cell>
          <cell r="CT1121">
            <v>0</v>
          </cell>
          <cell r="CU1121">
            <v>0</v>
          </cell>
          <cell r="CV1121">
            <v>0</v>
          </cell>
          <cell r="CW1121">
            <v>0</v>
          </cell>
          <cell r="CX1121">
            <v>0</v>
          </cell>
          <cell r="CY1121">
            <v>0</v>
          </cell>
          <cell r="CZ1121">
            <v>0</v>
          </cell>
          <cell r="DA1121">
            <v>0</v>
          </cell>
          <cell r="DB1121">
            <v>0</v>
          </cell>
          <cell r="DC1121">
            <v>0</v>
          </cell>
          <cell r="DD1121">
            <v>0</v>
          </cell>
          <cell r="DE1121">
            <v>0</v>
          </cell>
          <cell r="DF1121">
            <v>0</v>
          </cell>
          <cell r="DG1121">
            <v>0</v>
          </cell>
          <cell r="DH1121">
            <v>0</v>
          </cell>
          <cell r="DI1121">
            <v>0</v>
          </cell>
          <cell r="DJ1121">
            <v>0</v>
          </cell>
          <cell r="DK1121">
            <v>0</v>
          </cell>
          <cell r="DL1121">
            <v>0</v>
          </cell>
          <cell r="DM1121">
            <v>0</v>
          </cell>
          <cell r="DN1121">
            <v>0</v>
          </cell>
          <cell r="DO1121">
            <v>0</v>
          </cell>
          <cell r="DP1121">
            <v>0</v>
          </cell>
          <cell r="DQ1121">
            <v>0</v>
          </cell>
          <cell r="DR1121">
            <v>0</v>
          </cell>
          <cell r="DS1121">
            <v>0</v>
          </cell>
          <cell r="DT1121">
            <v>0</v>
          </cell>
          <cell r="DU1121">
            <v>0</v>
          </cell>
          <cell r="DV1121">
            <v>0</v>
          </cell>
          <cell r="DW1121">
            <v>0</v>
          </cell>
          <cell r="DX1121">
            <v>0</v>
          </cell>
          <cell r="DY1121" t="str">
            <v/>
          </cell>
          <cell r="DZ1121" t="str">
            <v>pasiv</v>
          </cell>
          <cell r="EA1121" t="e">
            <v>#DIV/0!</v>
          </cell>
        </row>
        <row r="1122">
          <cell r="B1122">
            <v>377704</v>
          </cell>
          <cell r="C1122" t="str">
            <v>ულქერი_DELUXE GOFRET_ვაფლი ვანილის არომ_220გ*10</v>
          </cell>
          <cell r="D1122" t="str">
            <v>TON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O1122">
            <v>0</v>
          </cell>
          <cell r="AP1122">
            <v>0</v>
          </cell>
          <cell r="AS1122">
            <v>0</v>
          </cell>
          <cell r="AT1122">
            <v>0</v>
          </cell>
          <cell r="AU1122">
            <v>1.1000000000000001E-3</v>
          </cell>
          <cell r="AV1122">
            <v>15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  <cell r="BO1122">
            <v>0</v>
          </cell>
          <cell r="BP1122">
            <v>0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O1122">
            <v>0</v>
          </cell>
          <cell r="CP1122">
            <v>0</v>
          </cell>
          <cell r="CQ1122">
            <v>0</v>
          </cell>
          <cell r="CR1122">
            <v>0</v>
          </cell>
          <cell r="CS1122">
            <v>0</v>
          </cell>
          <cell r="CT1122">
            <v>0</v>
          </cell>
          <cell r="CU1122">
            <v>1.1000000000000001E-3</v>
          </cell>
          <cell r="CV1122">
            <v>15</v>
          </cell>
          <cell r="CW1122">
            <v>0</v>
          </cell>
          <cell r="CX1122">
            <v>0</v>
          </cell>
          <cell r="CY1122">
            <v>0</v>
          </cell>
          <cell r="CZ1122">
            <v>0</v>
          </cell>
          <cell r="DA1122">
            <v>0</v>
          </cell>
          <cell r="DB1122">
            <v>0</v>
          </cell>
          <cell r="DC1122">
            <v>0</v>
          </cell>
          <cell r="DD1122">
            <v>0</v>
          </cell>
          <cell r="DE1122">
            <v>0</v>
          </cell>
          <cell r="DF1122">
            <v>0</v>
          </cell>
          <cell r="DG1122">
            <v>0</v>
          </cell>
          <cell r="DH1122">
            <v>0</v>
          </cell>
          <cell r="DI1122">
            <v>0</v>
          </cell>
          <cell r="DJ1122">
            <v>0</v>
          </cell>
          <cell r="DK1122">
            <v>0</v>
          </cell>
          <cell r="DL1122">
            <v>0</v>
          </cell>
          <cell r="DM1122">
            <v>0</v>
          </cell>
          <cell r="DN1122">
            <v>0</v>
          </cell>
          <cell r="DO1122">
            <v>0</v>
          </cell>
          <cell r="DP1122">
            <v>0</v>
          </cell>
          <cell r="DQ1122">
            <v>0</v>
          </cell>
          <cell r="DR1122">
            <v>0</v>
          </cell>
          <cell r="DS1122">
            <v>1.1000000000000001E-3</v>
          </cell>
          <cell r="DT1122">
            <v>15</v>
          </cell>
          <cell r="DU1122">
            <v>1.1000000000000001E-3</v>
          </cell>
          <cell r="DV1122">
            <v>15</v>
          </cell>
          <cell r="DW1122">
            <v>1.1000000000000001E-3</v>
          </cell>
          <cell r="DX1122">
            <v>15</v>
          </cell>
          <cell r="DY1122" t="str">
            <v/>
          </cell>
          <cell r="DZ1122">
            <v>0</v>
          </cell>
          <cell r="EA1122">
            <v>13636.363636363636</v>
          </cell>
        </row>
        <row r="1123">
          <cell r="B1123">
            <v>351328</v>
          </cell>
          <cell r="C1123" t="str">
            <v>ულქერი_ალპელა_RING_189გ*12</v>
          </cell>
          <cell r="D1123" t="str">
            <v>TON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O1123">
            <v>0</v>
          </cell>
          <cell r="AP1123">
            <v>0</v>
          </cell>
          <cell r="AS1123">
            <v>0</v>
          </cell>
          <cell r="AT1123">
            <v>0</v>
          </cell>
          <cell r="AU1123">
            <v>3.4020000000000001E-3</v>
          </cell>
          <cell r="AV1123">
            <v>70.39</v>
          </cell>
          <cell r="AW1123">
            <v>0</v>
          </cell>
          <cell r="AX1123">
            <v>0</v>
          </cell>
          <cell r="AY1123">
            <v>1.134E-3</v>
          </cell>
          <cell r="AZ1123">
            <v>23.7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1.134E-3</v>
          </cell>
          <cell r="BF1123">
            <v>23.7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1.134E-3</v>
          </cell>
          <cell r="BV1123">
            <v>23.7</v>
          </cell>
          <cell r="BW1123">
            <v>1.134E-3</v>
          </cell>
          <cell r="BX1123">
            <v>22.99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2.2680000000000001E-3</v>
          </cell>
          <cell r="CJ1123">
            <v>46.69</v>
          </cell>
          <cell r="CK1123">
            <v>2.2680000000000001E-3</v>
          </cell>
          <cell r="CL1123">
            <v>46.69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  <cell r="DL1123">
            <v>0</v>
          </cell>
          <cell r="DM1123">
            <v>0</v>
          </cell>
          <cell r="DN1123">
            <v>0</v>
          </cell>
          <cell r="DO1123">
            <v>0</v>
          </cell>
          <cell r="DP1123">
            <v>0</v>
          </cell>
          <cell r="DQ1123">
            <v>0</v>
          </cell>
          <cell r="DR1123">
            <v>0</v>
          </cell>
          <cell r="DS1123">
            <v>0</v>
          </cell>
          <cell r="DT1123">
            <v>0</v>
          </cell>
          <cell r="DU1123">
            <v>0</v>
          </cell>
          <cell r="DV1123">
            <v>0</v>
          </cell>
          <cell r="DW1123">
            <v>3.4020000000000001E-3</v>
          </cell>
          <cell r="DX1123">
            <v>70.39</v>
          </cell>
          <cell r="DY1123" t="str">
            <v/>
          </cell>
          <cell r="DZ1123">
            <v>0</v>
          </cell>
          <cell r="EA1123">
            <v>20690.770135214578</v>
          </cell>
        </row>
        <row r="1124">
          <cell r="B1124">
            <v>308214</v>
          </cell>
          <cell r="C1124" t="str">
            <v>ულქერი_ონეო_60გ*12_საზამთრო_უშაქრო_საღეჭი რეზ</v>
          </cell>
          <cell r="D1124" t="str">
            <v>TON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O1124">
            <v>0</v>
          </cell>
          <cell r="AP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  <cell r="DL1124">
            <v>0</v>
          </cell>
          <cell r="DM1124">
            <v>0</v>
          </cell>
          <cell r="DN1124">
            <v>0</v>
          </cell>
          <cell r="DO1124">
            <v>0</v>
          </cell>
          <cell r="DP1124">
            <v>0</v>
          </cell>
          <cell r="DQ1124">
            <v>0</v>
          </cell>
          <cell r="DR1124">
            <v>0</v>
          </cell>
          <cell r="DS1124">
            <v>0</v>
          </cell>
          <cell r="DT1124">
            <v>0</v>
          </cell>
          <cell r="DU1124">
            <v>0</v>
          </cell>
          <cell r="DV1124">
            <v>0</v>
          </cell>
          <cell r="DW1124">
            <v>0</v>
          </cell>
          <cell r="DX1124">
            <v>0</v>
          </cell>
          <cell r="DY1124" t="str">
            <v/>
          </cell>
          <cell r="DZ1124" t="str">
            <v>pasiv</v>
          </cell>
          <cell r="EA1124" t="e">
            <v>#DIV/0!</v>
          </cell>
        </row>
        <row r="1125">
          <cell r="B1125">
            <v>303526</v>
          </cell>
          <cell r="C1125" t="str">
            <v>ულქერი_პექი_კექსი_მოზაიკა_180გ*6</v>
          </cell>
          <cell r="D1125" t="str">
            <v>TON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O1125">
            <v>0</v>
          </cell>
          <cell r="AP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K1125">
            <v>0</v>
          </cell>
          <cell r="DL1125">
            <v>0</v>
          </cell>
          <cell r="DM1125">
            <v>0</v>
          </cell>
          <cell r="DN1125">
            <v>0</v>
          </cell>
          <cell r="DO1125">
            <v>0</v>
          </cell>
          <cell r="DP1125">
            <v>0</v>
          </cell>
          <cell r="DQ1125">
            <v>0</v>
          </cell>
          <cell r="DR1125">
            <v>0</v>
          </cell>
          <cell r="DS1125">
            <v>0</v>
          </cell>
          <cell r="DT1125">
            <v>0</v>
          </cell>
          <cell r="DU1125">
            <v>0</v>
          </cell>
          <cell r="DV1125">
            <v>0</v>
          </cell>
          <cell r="DW1125">
            <v>0</v>
          </cell>
          <cell r="DX1125">
            <v>0</v>
          </cell>
          <cell r="DY1125" t="str">
            <v/>
          </cell>
          <cell r="DZ1125" t="str">
            <v>pasiv</v>
          </cell>
          <cell r="EA1125" t="e">
            <v>#DIV/0!</v>
          </cell>
        </row>
        <row r="1126">
          <cell r="B1126">
            <v>333284</v>
          </cell>
          <cell r="C1126" t="str">
            <v>ულქერი_ჰობი_შოკ.პასტა_350გ*8</v>
          </cell>
          <cell r="D1126" t="str">
            <v>TON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O1126">
            <v>0</v>
          </cell>
          <cell r="AP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O1126">
            <v>0</v>
          </cell>
          <cell r="CP1126">
            <v>0</v>
          </cell>
          <cell r="CQ1126">
            <v>0</v>
          </cell>
          <cell r="CR1126">
            <v>0</v>
          </cell>
          <cell r="CS1126">
            <v>0</v>
          </cell>
          <cell r="CT1126">
            <v>0</v>
          </cell>
          <cell r="CU1126">
            <v>0</v>
          </cell>
          <cell r="CV1126">
            <v>0</v>
          </cell>
          <cell r="CW1126">
            <v>0</v>
          </cell>
          <cell r="CX1126">
            <v>0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  <cell r="DL1126">
            <v>0</v>
          </cell>
          <cell r="DM1126">
            <v>0</v>
          </cell>
          <cell r="DN1126">
            <v>0</v>
          </cell>
          <cell r="DO1126">
            <v>0</v>
          </cell>
          <cell r="DP1126">
            <v>0</v>
          </cell>
          <cell r="DQ1126">
            <v>0</v>
          </cell>
          <cell r="DR1126">
            <v>0</v>
          </cell>
          <cell r="DS1126">
            <v>0</v>
          </cell>
          <cell r="DT1126">
            <v>0</v>
          </cell>
          <cell r="DU1126">
            <v>0</v>
          </cell>
          <cell r="DV1126">
            <v>0</v>
          </cell>
          <cell r="DW1126">
            <v>0</v>
          </cell>
          <cell r="DX1126">
            <v>0</v>
          </cell>
          <cell r="DY1126" t="str">
            <v/>
          </cell>
          <cell r="DZ1126" t="str">
            <v>pasiv</v>
          </cell>
          <cell r="EA1126" t="e">
            <v>#DIV/0!</v>
          </cell>
        </row>
        <row r="1127">
          <cell r="B1127">
            <v>349349</v>
          </cell>
          <cell r="C1127" t="str">
            <v>ულქერი_YUPO_მეტრიანი_50გ*24*6</v>
          </cell>
          <cell r="D1127" t="str">
            <v>TON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2.3999999999999998E-3</v>
          </cell>
          <cell r="AL1127">
            <v>47.52</v>
          </cell>
          <cell r="AO1127">
            <v>2.3999999999999998E-3</v>
          </cell>
          <cell r="AP1127">
            <v>47.52</v>
          </cell>
          <cell r="AS1127">
            <v>0</v>
          </cell>
          <cell r="AT1127">
            <v>0</v>
          </cell>
          <cell r="AU1127">
            <v>1.32E-2</v>
          </cell>
          <cell r="AV1127">
            <v>253.04</v>
          </cell>
          <cell r="AW1127">
            <v>0</v>
          </cell>
          <cell r="AX1127">
            <v>0</v>
          </cell>
          <cell r="AY1127">
            <v>3.5999999999999999E-3</v>
          </cell>
          <cell r="AZ1127">
            <v>71.28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3.5999999999999999E-3</v>
          </cell>
          <cell r="BF1127">
            <v>71.28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1.1999999999999999E-3</v>
          </cell>
          <cell r="BX1127">
            <v>21.92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1.1999999999999999E-3</v>
          </cell>
          <cell r="CJ1127">
            <v>21.92</v>
          </cell>
          <cell r="CK1127">
            <v>1.1999999999999999E-3</v>
          </cell>
          <cell r="CL1127">
            <v>21.92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4.7999999999999996E-3</v>
          </cell>
          <cell r="CV1127">
            <v>90.4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1.1999999999999999E-3</v>
          </cell>
          <cell r="DL1127">
            <v>21.92</v>
          </cell>
          <cell r="DM1127">
            <v>1.1999999999999999E-3</v>
          </cell>
          <cell r="DN1127">
            <v>21.92</v>
          </cell>
          <cell r="DO1127">
            <v>0</v>
          </cell>
          <cell r="DP1127">
            <v>0</v>
          </cell>
          <cell r="DQ1127">
            <v>0</v>
          </cell>
          <cell r="DR1127">
            <v>0</v>
          </cell>
          <cell r="DS1127">
            <v>4.7999999999999996E-3</v>
          </cell>
          <cell r="DT1127">
            <v>90.4</v>
          </cell>
          <cell r="DU1127">
            <v>4.7999999999999996E-3</v>
          </cell>
          <cell r="DV1127">
            <v>90.4</v>
          </cell>
          <cell r="DW1127">
            <v>1.3199999999999998E-2</v>
          </cell>
          <cell r="DX1127">
            <v>253.04000000000002</v>
          </cell>
          <cell r="DY1127" t="str">
            <v/>
          </cell>
          <cell r="DZ1127">
            <v>0</v>
          </cell>
          <cell r="EA1127">
            <v>19169.696969696975</v>
          </cell>
        </row>
        <row r="1128">
          <cell r="B1128">
            <v>339141</v>
          </cell>
          <cell r="C1128" t="str">
            <v>ულქერი_ჰობი_შოკ.პასტა_650გ*8</v>
          </cell>
          <cell r="D1128" t="str">
            <v>TON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O1128">
            <v>0</v>
          </cell>
          <cell r="AP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K1128">
            <v>0</v>
          </cell>
          <cell r="DL1128">
            <v>0</v>
          </cell>
          <cell r="DM1128">
            <v>0</v>
          </cell>
          <cell r="DN1128">
            <v>0</v>
          </cell>
          <cell r="DO1128">
            <v>0</v>
          </cell>
          <cell r="DP1128">
            <v>0</v>
          </cell>
          <cell r="DQ1128">
            <v>0</v>
          </cell>
          <cell r="DR1128">
            <v>0</v>
          </cell>
          <cell r="DS1128">
            <v>0</v>
          </cell>
          <cell r="DT1128">
            <v>0</v>
          </cell>
          <cell r="DU1128">
            <v>0</v>
          </cell>
          <cell r="DV1128">
            <v>0</v>
          </cell>
          <cell r="DW1128">
            <v>0</v>
          </cell>
          <cell r="DX1128">
            <v>0</v>
          </cell>
          <cell r="DY1128" t="str">
            <v/>
          </cell>
          <cell r="DZ1128" t="str">
            <v>pasiv</v>
          </cell>
          <cell r="EA1128" t="e">
            <v>#DIV/0!</v>
          </cell>
        </row>
        <row r="1129">
          <cell r="B1129">
            <v>335263</v>
          </cell>
          <cell r="C1129" t="str">
            <v>ულქერი_ოლალა_შოკ.ფილა_43გ*18</v>
          </cell>
          <cell r="D1129" t="str">
            <v>TON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O1129">
            <v>0</v>
          </cell>
          <cell r="AP1129">
            <v>0</v>
          </cell>
          <cell r="AS1129">
            <v>0</v>
          </cell>
          <cell r="AT1129">
            <v>0</v>
          </cell>
          <cell r="AU1129">
            <v>1.8489999999999999E-3</v>
          </cell>
          <cell r="AV1129">
            <v>51.54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7.7399999999999995E-4</v>
          </cell>
          <cell r="BX1129">
            <v>21.78</v>
          </cell>
          <cell r="BY1129">
            <v>4.3000000000000002E-5</v>
          </cell>
          <cell r="BZ1129">
            <v>1.1599999999999999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2.5799999999999998E-4</v>
          </cell>
          <cell r="CF1129">
            <v>6.82</v>
          </cell>
          <cell r="CG1129">
            <v>0</v>
          </cell>
          <cell r="CH1129">
            <v>0</v>
          </cell>
          <cell r="CI1129">
            <v>1.075E-3</v>
          </cell>
          <cell r="CJ1129">
            <v>29.76</v>
          </cell>
          <cell r="CK1129">
            <v>1.075E-3</v>
          </cell>
          <cell r="CL1129">
            <v>29.76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7.7399999999999995E-4</v>
          </cell>
          <cell r="CV1129">
            <v>21.78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K1129">
            <v>0</v>
          </cell>
          <cell r="DL1129">
            <v>0</v>
          </cell>
          <cell r="DM1129">
            <v>0</v>
          </cell>
          <cell r="DN1129">
            <v>0</v>
          </cell>
          <cell r="DO1129">
            <v>0</v>
          </cell>
          <cell r="DP1129">
            <v>0</v>
          </cell>
          <cell r="DQ1129">
            <v>0</v>
          </cell>
          <cell r="DR1129">
            <v>0</v>
          </cell>
          <cell r="DS1129">
            <v>7.7399999999999995E-4</v>
          </cell>
          <cell r="DT1129">
            <v>21.78</v>
          </cell>
          <cell r="DU1129">
            <v>7.7399999999999995E-4</v>
          </cell>
          <cell r="DV1129">
            <v>21.78</v>
          </cell>
          <cell r="DW1129">
            <v>1.8489999999999999E-3</v>
          </cell>
          <cell r="DX1129">
            <v>51.540000000000006</v>
          </cell>
          <cell r="DY1129" t="str">
            <v/>
          </cell>
          <cell r="DZ1129">
            <v>0</v>
          </cell>
          <cell r="EA1129">
            <v>27874.526771227695</v>
          </cell>
        </row>
        <row r="1130">
          <cell r="B1130">
            <v>350474</v>
          </cell>
          <cell r="C1130" t="str">
            <v>ულქერი_YUPO_მეტრიანი-კოლა_50გ*24*6</v>
          </cell>
          <cell r="D1130" t="str">
            <v>TON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O1130">
            <v>0</v>
          </cell>
          <cell r="AP1130">
            <v>0</v>
          </cell>
          <cell r="AS1130">
            <v>0</v>
          </cell>
          <cell r="AT1130">
            <v>0</v>
          </cell>
          <cell r="AU1130">
            <v>2.3999999999999998E-3</v>
          </cell>
          <cell r="AV1130">
            <v>44.52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2.3999999999999998E-3</v>
          </cell>
          <cell r="DL1130">
            <v>44.52</v>
          </cell>
          <cell r="DM1130">
            <v>2.3999999999999998E-3</v>
          </cell>
          <cell r="DN1130">
            <v>44.52</v>
          </cell>
          <cell r="DO1130">
            <v>0</v>
          </cell>
          <cell r="DP1130">
            <v>0</v>
          </cell>
          <cell r="DQ1130">
            <v>0</v>
          </cell>
          <cell r="DR1130">
            <v>0</v>
          </cell>
          <cell r="DS1130">
            <v>0</v>
          </cell>
          <cell r="DT1130">
            <v>0</v>
          </cell>
          <cell r="DU1130">
            <v>0</v>
          </cell>
          <cell r="DV1130">
            <v>0</v>
          </cell>
          <cell r="DW1130">
            <v>2.3999999999999998E-3</v>
          </cell>
          <cell r="DX1130">
            <v>44.52</v>
          </cell>
          <cell r="DY1130" t="str">
            <v/>
          </cell>
          <cell r="DZ1130">
            <v>0</v>
          </cell>
          <cell r="EA1130">
            <v>18550.000000000004</v>
          </cell>
        </row>
        <row r="1131">
          <cell r="B1131">
            <v>350475</v>
          </cell>
          <cell r="C1131" t="str">
            <v>ულქერი_YUPO_მეტრიანი TUTTI FRUTTI_50გ*24*6</v>
          </cell>
          <cell r="D1131" t="str">
            <v>TON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O1131">
            <v>0</v>
          </cell>
          <cell r="AP1131">
            <v>0</v>
          </cell>
          <cell r="AS1131">
            <v>0</v>
          </cell>
          <cell r="AT1131">
            <v>0</v>
          </cell>
          <cell r="AU1131">
            <v>1.1999999999999999E-3</v>
          </cell>
          <cell r="AV1131">
            <v>21.92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O1131">
            <v>0</v>
          </cell>
          <cell r="CP1131">
            <v>0</v>
          </cell>
          <cell r="CQ1131">
            <v>0</v>
          </cell>
          <cell r="CR1131">
            <v>0</v>
          </cell>
          <cell r="CS1131">
            <v>0</v>
          </cell>
          <cell r="CT1131">
            <v>0</v>
          </cell>
          <cell r="CU1131">
            <v>0</v>
          </cell>
          <cell r="CV1131">
            <v>0</v>
          </cell>
          <cell r="CW1131">
            <v>0</v>
          </cell>
          <cell r="CX1131">
            <v>0</v>
          </cell>
          <cell r="CY1131">
            <v>0</v>
          </cell>
          <cell r="CZ1131">
            <v>0</v>
          </cell>
          <cell r="DA1131">
            <v>0</v>
          </cell>
          <cell r="DB1131">
            <v>0</v>
          </cell>
          <cell r="DC1131">
            <v>0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1.1999999999999999E-3</v>
          </cell>
          <cell r="DL1131">
            <v>21.92</v>
          </cell>
          <cell r="DM1131">
            <v>1.1999999999999999E-3</v>
          </cell>
          <cell r="DN1131">
            <v>21.92</v>
          </cell>
          <cell r="DO1131">
            <v>0</v>
          </cell>
          <cell r="DP1131">
            <v>0</v>
          </cell>
          <cell r="DQ1131">
            <v>0</v>
          </cell>
          <cell r="DR1131">
            <v>0</v>
          </cell>
          <cell r="DS1131">
            <v>0</v>
          </cell>
          <cell r="DT1131">
            <v>0</v>
          </cell>
          <cell r="DU1131">
            <v>0</v>
          </cell>
          <cell r="DV1131">
            <v>0</v>
          </cell>
          <cell r="DW1131">
            <v>1.1999999999999999E-3</v>
          </cell>
          <cell r="DX1131">
            <v>21.92</v>
          </cell>
          <cell r="DY1131" t="str">
            <v/>
          </cell>
          <cell r="DZ1131">
            <v>0</v>
          </cell>
          <cell r="EA1131">
            <v>18266.666666666668</v>
          </cell>
        </row>
        <row r="1132">
          <cell r="B1132">
            <v>350476</v>
          </cell>
          <cell r="C1132" t="str">
            <v>ულქერი_YUPO_მეტრიანი საზამთრო_50გ*24*6</v>
          </cell>
          <cell r="D1132" t="str">
            <v>TON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O1132">
            <v>0</v>
          </cell>
          <cell r="AP1132">
            <v>0</v>
          </cell>
          <cell r="AS1132">
            <v>0</v>
          </cell>
          <cell r="AT1132">
            <v>0</v>
          </cell>
          <cell r="AU1132">
            <v>4.7999999999999996E-3</v>
          </cell>
          <cell r="AV1132">
            <v>93.2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3.5999999999999999E-3</v>
          </cell>
          <cell r="BN1132">
            <v>71.28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3.5999999999999999E-3</v>
          </cell>
          <cell r="BT1132">
            <v>71.28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3.5999999999999999E-3</v>
          </cell>
          <cell r="CL1132">
            <v>71.28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K1132">
            <v>1.1999999999999999E-3</v>
          </cell>
          <cell r="DL1132">
            <v>21.92</v>
          </cell>
          <cell r="DM1132">
            <v>1.1999999999999999E-3</v>
          </cell>
          <cell r="DN1132">
            <v>21.92</v>
          </cell>
          <cell r="DO1132">
            <v>0</v>
          </cell>
          <cell r="DP1132">
            <v>0</v>
          </cell>
          <cell r="DQ1132">
            <v>0</v>
          </cell>
          <cell r="DR1132">
            <v>0</v>
          </cell>
          <cell r="DS1132">
            <v>0</v>
          </cell>
          <cell r="DT1132">
            <v>0</v>
          </cell>
          <cell r="DU1132">
            <v>0</v>
          </cell>
          <cell r="DV1132">
            <v>0</v>
          </cell>
          <cell r="DW1132">
            <v>4.7999999999999996E-3</v>
          </cell>
          <cell r="DX1132">
            <v>93.2</v>
          </cell>
          <cell r="DY1132" t="str">
            <v/>
          </cell>
          <cell r="DZ1132">
            <v>0</v>
          </cell>
          <cell r="EA1132">
            <v>19416.666666666668</v>
          </cell>
        </row>
        <row r="1133">
          <cell r="B1133">
            <v>331717</v>
          </cell>
          <cell r="C1133" t="str">
            <v>ულქერი_ჰელი_მინი სენდვიჩი ზეფირი_66გ*24</v>
          </cell>
          <cell r="D1133" t="str">
            <v>TON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4.7520000000000001E-3</v>
          </cell>
          <cell r="AD1133">
            <v>105.84</v>
          </cell>
          <cell r="AE1133">
            <v>1.5839999999999999E-3</v>
          </cell>
          <cell r="AF1133">
            <v>32.26</v>
          </cell>
          <cell r="AG1133">
            <v>0</v>
          </cell>
          <cell r="AH1133">
            <v>0</v>
          </cell>
          <cell r="AI1133">
            <v>5.3460000000000001E-3</v>
          </cell>
          <cell r="AJ1133">
            <v>119.07</v>
          </cell>
          <cell r="AK1133">
            <v>4.7520000000000001E-3</v>
          </cell>
          <cell r="AL1133">
            <v>105.84</v>
          </cell>
          <cell r="AO1133">
            <v>1.6434000000000001E-2</v>
          </cell>
          <cell r="AP1133">
            <v>363.01</v>
          </cell>
          <cell r="AS1133">
            <v>0</v>
          </cell>
          <cell r="AT1133">
            <v>0</v>
          </cell>
          <cell r="AU1133">
            <v>3.9666E-2</v>
          </cell>
          <cell r="AV1133">
            <v>861.65</v>
          </cell>
          <cell r="AW1133">
            <v>0</v>
          </cell>
          <cell r="AX1133">
            <v>0</v>
          </cell>
          <cell r="AY1133">
            <v>3.1679999999999998E-3</v>
          </cell>
          <cell r="AZ1133">
            <v>69.599999999999994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3.1679999999999998E-3</v>
          </cell>
          <cell r="BF1133">
            <v>69.599999999999994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1.9799999999999999E-4</v>
          </cell>
          <cell r="BL1133">
            <v>4.41</v>
          </cell>
          <cell r="BM1133">
            <v>0</v>
          </cell>
          <cell r="BN1133">
            <v>0</v>
          </cell>
          <cell r="BO1133">
            <v>3.1679999999999998E-3</v>
          </cell>
          <cell r="BP1133">
            <v>70.56</v>
          </cell>
          <cell r="BQ1133">
            <v>0</v>
          </cell>
          <cell r="BR1133">
            <v>0</v>
          </cell>
          <cell r="BS1133">
            <v>3.3660000000000001E-3</v>
          </cell>
          <cell r="BT1133">
            <v>74.97</v>
          </cell>
          <cell r="BU1133">
            <v>0</v>
          </cell>
          <cell r="BV1133">
            <v>0</v>
          </cell>
          <cell r="BW1133">
            <v>3.1679999999999998E-3</v>
          </cell>
          <cell r="BX1133">
            <v>66.58</v>
          </cell>
          <cell r="BY1133">
            <v>0</v>
          </cell>
          <cell r="BZ1133">
            <v>0</v>
          </cell>
          <cell r="CA1133">
            <v>0</v>
          </cell>
          <cell r="CB1133">
            <v>0</v>
          </cell>
          <cell r="CC1133">
            <v>0</v>
          </cell>
          <cell r="CD1133">
            <v>0</v>
          </cell>
          <cell r="CE1133">
            <v>4.7520000000000001E-3</v>
          </cell>
          <cell r="CF1133">
            <v>91.98</v>
          </cell>
          <cell r="CG1133">
            <v>0</v>
          </cell>
          <cell r="CH1133">
            <v>0</v>
          </cell>
          <cell r="CI1133">
            <v>7.92E-3</v>
          </cell>
          <cell r="CJ1133">
            <v>158.56</v>
          </cell>
          <cell r="CK1133">
            <v>1.1286000000000001E-2</v>
          </cell>
          <cell r="CL1133">
            <v>233.53</v>
          </cell>
          <cell r="CO1133">
            <v>0</v>
          </cell>
          <cell r="CP1133">
            <v>0</v>
          </cell>
          <cell r="CQ1133">
            <v>0</v>
          </cell>
          <cell r="CR1133">
            <v>0</v>
          </cell>
          <cell r="CS1133">
            <v>0</v>
          </cell>
          <cell r="CT1133">
            <v>0</v>
          </cell>
          <cell r="CU1133">
            <v>0</v>
          </cell>
          <cell r="CV1133">
            <v>0</v>
          </cell>
          <cell r="CW1133">
            <v>0</v>
          </cell>
          <cell r="CX1133">
            <v>0</v>
          </cell>
          <cell r="CY1133">
            <v>4.7520000000000001E-3</v>
          </cell>
          <cell r="CZ1133">
            <v>105.84</v>
          </cell>
          <cell r="DA1133">
            <v>3.1679999999999998E-3</v>
          </cell>
          <cell r="DB1133">
            <v>70.56</v>
          </cell>
          <cell r="DC1133">
            <v>0</v>
          </cell>
          <cell r="DD1133">
            <v>0</v>
          </cell>
          <cell r="DE1133">
            <v>7.92E-3</v>
          </cell>
          <cell r="DF1133">
            <v>176.4</v>
          </cell>
          <cell r="DG1133">
            <v>0</v>
          </cell>
          <cell r="DH1133">
            <v>0</v>
          </cell>
          <cell r="DI1133">
            <v>5.9400000000000002E-4</v>
          </cell>
          <cell r="DJ1133">
            <v>13.23</v>
          </cell>
          <cell r="DK1133">
            <v>2.6400000000000002E-4</v>
          </cell>
          <cell r="DL1133">
            <v>5.88</v>
          </cell>
          <cell r="DM1133">
            <v>8.5800000000000004E-4</v>
          </cell>
          <cell r="DN1133">
            <v>19.11</v>
          </cell>
          <cell r="DO1133">
            <v>0</v>
          </cell>
          <cell r="DP1133">
            <v>0</v>
          </cell>
          <cell r="DQ1133">
            <v>0</v>
          </cell>
          <cell r="DR1133">
            <v>0</v>
          </cell>
          <cell r="DS1133">
            <v>0</v>
          </cell>
          <cell r="DT1133">
            <v>0</v>
          </cell>
          <cell r="DU1133">
            <v>0</v>
          </cell>
          <cell r="DV1133">
            <v>0</v>
          </cell>
          <cell r="DW1133">
            <v>3.9666E-2</v>
          </cell>
          <cell r="DX1133">
            <v>861.65</v>
          </cell>
          <cell r="DY1133" t="str">
            <v/>
          </cell>
          <cell r="DZ1133">
            <v>0</v>
          </cell>
          <cell r="EA1133">
            <v>21722.633993848634</v>
          </cell>
        </row>
        <row r="1134">
          <cell r="B1134">
            <v>342604</v>
          </cell>
          <cell r="C1134" t="str">
            <v>ულქერი_ჰელი_სენდვიჩი შოკ.ზეფირი_30გ*36_KZ</v>
          </cell>
          <cell r="D1134" t="str">
            <v>TON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O1134">
            <v>0</v>
          </cell>
          <cell r="AP1134">
            <v>0</v>
          </cell>
          <cell r="AS1134">
            <v>0</v>
          </cell>
          <cell r="AT1134">
            <v>0</v>
          </cell>
          <cell r="AU1134">
            <v>-3.8999999999999999E-4</v>
          </cell>
          <cell r="AV1134">
            <v>-7.28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-3.8999999999999999E-4</v>
          </cell>
          <cell r="BL1134">
            <v>-7.28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-3.8999999999999999E-4</v>
          </cell>
          <cell r="BT1134">
            <v>-7.28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-3.8999999999999999E-4</v>
          </cell>
          <cell r="CL1134">
            <v>-7.28</v>
          </cell>
          <cell r="CO1134">
            <v>0</v>
          </cell>
          <cell r="CP1134">
            <v>0</v>
          </cell>
          <cell r="CQ1134">
            <v>0</v>
          </cell>
          <cell r="CR1134">
            <v>0</v>
          </cell>
          <cell r="CS1134">
            <v>0</v>
          </cell>
          <cell r="CT1134">
            <v>0</v>
          </cell>
          <cell r="CU1134">
            <v>0</v>
          </cell>
          <cell r="CV1134">
            <v>0</v>
          </cell>
          <cell r="CW1134">
            <v>0</v>
          </cell>
          <cell r="CX1134">
            <v>0</v>
          </cell>
          <cell r="CY1134">
            <v>0</v>
          </cell>
          <cell r="CZ1134">
            <v>0</v>
          </cell>
          <cell r="DA1134">
            <v>0</v>
          </cell>
          <cell r="DB1134">
            <v>0</v>
          </cell>
          <cell r="DC1134">
            <v>0</v>
          </cell>
          <cell r="DD1134">
            <v>0</v>
          </cell>
          <cell r="DE1134">
            <v>0</v>
          </cell>
          <cell r="DF1134">
            <v>0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  <cell r="DL1134">
            <v>0</v>
          </cell>
          <cell r="DM1134">
            <v>0</v>
          </cell>
          <cell r="DN1134">
            <v>0</v>
          </cell>
          <cell r="DO1134">
            <v>0</v>
          </cell>
          <cell r="DP1134">
            <v>0</v>
          </cell>
          <cell r="DQ1134">
            <v>0</v>
          </cell>
          <cell r="DR1134">
            <v>0</v>
          </cell>
          <cell r="DS1134">
            <v>0</v>
          </cell>
          <cell r="DT1134">
            <v>0</v>
          </cell>
          <cell r="DU1134">
            <v>0</v>
          </cell>
          <cell r="DV1134">
            <v>0</v>
          </cell>
          <cell r="DW1134">
            <v>-3.8999999999999999E-4</v>
          </cell>
          <cell r="DX1134">
            <v>-7.28</v>
          </cell>
          <cell r="DY1134" t="str">
            <v/>
          </cell>
          <cell r="DZ1134">
            <v>0</v>
          </cell>
          <cell r="EA1134">
            <v>18666.666666666668</v>
          </cell>
        </row>
        <row r="1135">
          <cell r="B1135">
            <v>377836</v>
          </cell>
          <cell r="C1135" t="str">
            <v>ულქერი_ჰელი_სენდვიჩი ზეფირი_224გ*12</v>
          </cell>
          <cell r="D1135" t="str">
            <v>TON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O1135">
            <v>0</v>
          </cell>
          <cell r="AP1135">
            <v>0</v>
          </cell>
          <cell r="AS1135">
            <v>0</v>
          </cell>
          <cell r="AT1135">
            <v>0</v>
          </cell>
          <cell r="AU1135">
            <v>1.3439999999999999E-3</v>
          </cell>
          <cell r="AV1135">
            <v>30</v>
          </cell>
          <cell r="AW1135">
            <v>0</v>
          </cell>
          <cell r="AX1135">
            <v>0</v>
          </cell>
          <cell r="AY1135">
            <v>1.3439999999999999E-3</v>
          </cell>
          <cell r="AZ1135">
            <v>30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1.3439999999999999E-3</v>
          </cell>
          <cell r="BF1135">
            <v>30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O1135">
            <v>0</v>
          </cell>
          <cell r="CP1135">
            <v>0</v>
          </cell>
          <cell r="CQ1135">
            <v>0</v>
          </cell>
          <cell r="CR1135">
            <v>0</v>
          </cell>
          <cell r="CS1135">
            <v>0</v>
          </cell>
          <cell r="CT1135">
            <v>0</v>
          </cell>
          <cell r="CU1135">
            <v>0</v>
          </cell>
          <cell r="CV1135">
            <v>0</v>
          </cell>
          <cell r="CW1135">
            <v>0</v>
          </cell>
          <cell r="CX1135">
            <v>0</v>
          </cell>
          <cell r="CY1135">
            <v>0</v>
          </cell>
          <cell r="CZ1135">
            <v>0</v>
          </cell>
          <cell r="DA1135">
            <v>0</v>
          </cell>
          <cell r="DB1135">
            <v>0</v>
          </cell>
          <cell r="DC1135">
            <v>0</v>
          </cell>
          <cell r="DD1135">
            <v>0</v>
          </cell>
          <cell r="DE1135">
            <v>0</v>
          </cell>
          <cell r="DF1135">
            <v>0</v>
          </cell>
          <cell r="DG1135">
            <v>0</v>
          </cell>
          <cell r="DH1135">
            <v>0</v>
          </cell>
          <cell r="DI1135">
            <v>0</v>
          </cell>
          <cell r="DJ1135">
            <v>0</v>
          </cell>
          <cell r="DK1135">
            <v>0</v>
          </cell>
          <cell r="DL1135">
            <v>0</v>
          </cell>
          <cell r="DM1135">
            <v>0</v>
          </cell>
          <cell r="DN1135">
            <v>0</v>
          </cell>
          <cell r="DO1135">
            <v>0</v>
          </cell>
          <cell r="DP1135">
            <v>0</v>
          </cell>
          <cell r="DQ1135">
            <v>0</v>
          </cell>
          <cell r="DR1135">
            <v>0</v>
          </cell>
          <cell r="DS1135">
            <v>0</v>
          </cell>
          <cell r="DT1135">
            <v>0</v>
          </cell>
          <cell r="DU1135">
            <v>0</v>
          </cell>
          <cell r="DV1135">
            <v>0</v>
          </cell>
          <cell r="DW1135">
            <v>1.3439999999999999E-3</v>
          </cell>
          <cell r="DX1135">
            <v>30</v>
          </cell>
          <cell r="DY1135" t="str">
            <v/>
          </cell>
          <cell r="DZ1135">
            <v>0</v>
          </cell>
          <cell r="EA1135">
            <v>22321.428571428572</v>
          </cell>
        </row>
        <row r="1136">
          <cell r="B1136">
            <v>378041</v>
          </cell>
          <cell r="C1136" t="str">
            <v>ულქერი_დანქექ_ნამცხვ.მაფინ.ხილის_25გ*32</v>
          </cell>
          <cell r="D1136" t="str">
            <v>TON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8.0000000000000004E-4</v>
          </cell>
          <cell r="AF1136">
            <v>15.64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O1136">
            <v>8.0000000000000004E-4</v>
          </cell>
          <cell r="AP1136">
            <v>15.64</v>
          </cell>
          <cell r="AS1136">
            <v>0</v>
          </cell>
          <cell r="AT1136">
            <v>0</v>
          </cell>
          <cell r="AU1136">
            <v>8.0000000000000004E-4</v>
          </cell>
          <cell r="AV1136">
            <v>15.64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O1136">
            <v>0</v>
          </cell>
          <cell r="CP1136">
            <v>0</v>
          </cell>
          <cell r="CQ1136">
            <v>0</v>
          </cell>
          <cell r="CR1136">
            <v>0</v>
          </cell>
          <cell r="CS1136">
            <v>0</v>
          </cell>
          <cell r="CT1136">
            <v>0</v>
          </cell>
          <cell r="CU1136">
            <v>0</v>
          </cell>
          <cell r="CV1136">
            <v>0</v>
          </cell>
          <cell r="CW1136">
            <v>0</v>
          </cell>
          <cell r="CX1136">
            <v>0</v>
          </cell>
          <cell r="CY1136">
            <v>0</v>
          </cell>
          <cell r="CZ1136">
            <v>0</v>
          </cell>
          <cell r="DA1136">
            <v>0</v>
          </cell>
          <cell r="DB1136">
            <v>0</v>
          </cell>
          <cell r="DC1136">
            <v>0</v>
          </cell>
          <cell r="DD1136">
            <v>0</v>
          </cell>
          <cell r="DE1136">
            <v>0</v>
          </cell>
          <cell r="DF1136">
            <v>0</v>
          </cell>
          <cell r="DG1136">
            <v>0</v>
          </cell>
          <cell r="DH1136">
            <v>0</v>
          </cell>
          <cell r="DI1136">
            <v>0</v>
          </cell>
          <cell r="DJ1136">
            <v>0</v>
          </cell>
          <cell r="DK1136">
            <v>0</v>
          </cell>
          <cell r="DL1136">
            <v>0</v>
          </cell>
          <cell r="DM1136">
            <v>0</v>
          </cell>
          <cell r="DN1136">
            <v>0</v>
          </cell>
          <cell r="DO1136">
            <v>0</v>
          </cell>
          <cell r="DP1136">
            <v>0</v>
          </cell>
          <cell r="DQ1136">
            <v>0</v>
          </cell>
          <cell r="DR1136">
            <v>0</v>
          </cell>
          <cell r="DS1136">
            <v>0</v>
          </cell>
          <cell r="DT1136">
            <v>0</v>
          </cell>
          <cell r="DU1136">
            <v>0</v>
          </cell>
          <cell r="DV1136">
            <v>0</v>
          </cell>
          <cell r="DW1136">
            <v>8.0000000000000004E-4</v>
          </cell>
          <cell r="DX1136">
            <v>15.64</v>
          </cell>
          <cell r="DY1136" t="str">
            <v/>
          </cell>
          <cell r="DZ1136">
            <v>0</v>
          </cell>
          <cell r="EA1136">
            <v>19550</v>
          </cell>
        </row>
        <row r="1137">
          <cell r="B1137">
            <v>319768</v>
          </cell>
          <cell r="C1137" t="str">
            <v>ულქერი_YUPO_ჟელე_ხილი_80გ*24</v>
          </cell>
          <cell r="D1137" t="str">
            <v>TON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O1137">
            <v>0</v>
          </cell>
          <cell r="AP1137">
            <v>0</v>
          </cell>
          <cell r="AS1137">
            <v>0</v>
          </cell>
          <cell r="AT1137">
            <v>0</v>
          </cell>
          <cell r="AU1137">
            <v>1.112E-2</v>
          </cell>
          <cell r="AV1137">
            <v>203.24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1.92E-3</v>
          </cell>
          <cell r="BD1137">
            <v>34.92</v>
          </cell>
          <cell r="BE1137">
            <v>1.92E-3</v>
          </cell>
          <cell r="BF1137">
            <v>34.92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O1137">
            <v>0</v>
          </cell>
          <cell r="CP1137">
            <v>0</v>
          </cell>
          <cell r="CQ1137">
            <v>0</v>
          </cell>
          <cell r="CR1137">
            <v>0</v>
          </cell>
          <cell r="CS1137">
            <v>0</v>
          </cell>
          <cell r="CT1137">
            <v>0</v>
          </cell>
          <cell r="CU1137">
            <v>4.7999999999999996E-3</v>
          </cell>
          <cell r="CV1137">
            <v>89.28</v>
          </cell>
          <cell r="CW1137">
            <v>0</v>
          </cell>
          <cell r="CX1137">
            <v>0</v>
          </cell>
          <cell r="CY1137">
            <v>0</v>
          </cell>
          <cell r="CZ1137">
            <v>0</v>
          </cell>
          <cell r="DA1137">
            <v>0</v>
          </cell>
          <cell r="DB1137">
            <v>0</v>
          </cell>
          <cell r="DC1137">
            <v>3.1199999999999999E-3</v>
          </cell>
          <cell r="DD1137">
            <v>54.99</v>
          </cell>
          <cell r="DE1137">
            <v>3.1199999999999999E-3</v>
          </cell>
          <cell r="DF1137">
            <v>54.99</v>
          </cell>
          <cell r="DG1137">
            <v>0</v>
          </cell>
          <cell r="DH1137">
            <v>0</v>
          </cell>
          <cell r="DI1137">
            <v>0</v>
          </cell>
          <cell r="DJ1137">
            <v>0</v>
          </cell>
          <cell r="DK1137">
            <v>1.1999999999999999E-3</v>
          </cell>
          <cell r="DL1137">
            <v>22.5</v>
          </cell>
          <cell r="DM1137">
            <v>1.1999999999999999E-3</v>
          </cell>
          <cell r="DN1137">
            <v>22.5</v>
          </cell>
          <cell r="DO1137">
            <v>0</v>
          </cell>
          <cell r="DP1137">
            <v>0</v>
          </cell>
          <cell r="DQ1137">
            <v>9.6000000000000002E-4</v>
          </cell>
          <cell r="DR1137">
            <v>17.28</v>
          </cell>
          <cell r="DS1137">
            <v>3.8400000000000001E-3</v>
          </cell>
          <cell r="DT1137">
            <v>72</v>
          </cell>
          <cell r="DU1137">
            <v>4.7999999999999996E-3</v>
          </cell>
          <cell r="DV1137">
            <v>89.28</v>
          </cell>
          <cell r="DW1137">
            <v>1.1039999999999999E-2</v>
          </cell>
          <cell r="DX1137">
            <v>201.69</v>
          </cell>
          <cell r="DY1137" t="str">
            <v/>
          </cell>
          <cell r="DZ1137">
            <v>0</v>
          </cell>
          <cell r="EA1137">
            <v>18269.021739130436</v>
          </cell>
        </row>
        <row r="1138">
          <cell r="B1138">
            <v>319769</v>
          </cell>
          <cell r="C1138" t="str">
            <v>ულქერი_YUPO_ჟელე_ჭია_80გ*24</v>
          </cell>
          <cell r="D1138" t="str">
            <v>TON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O1138">
            <v>0</v>
          </cell>
          <cell r="AP1138">
            <v>0</v>
          </cell>
          <cell r="AS1138">
            <v>0</v>
          </cell>
          <cell r="AT1138">
            <v>0</v>
          </cell>
          <cell r="AU1138">
            <v>1.0319999999999999E-2</v>
          </cell>
          <cell r="AV1138">
            <v>185.27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1.92E-3</v>
          </cell>
          <cell r="BD1138">
            <v>34.92</v>
          </cell>
          <cell r="BE1138">
            <v>1.92E-3</v>
          </cell>
          <cell r="BF1138">
            <v>34.92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8.0000000000000004E-4</v>
          </cell>
          <cell r="BV1138">
            <v>14.55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5.5999999999999995E-4</v>
          </cell>
          <cell r="CF1138">
            <v>9.8699999999999992</v>
          </cell>
          <cell r="CG1138">
            <v>0</v>
          </cell>
          <cell r="CH1138">
            <v>0</v>
          </cell>
          <cell r="CI1138">
            <v>1.3600000000000001E-3</v>
          </cell>
          <cell r="CJ1138">
            <v>24.42</v>
          </cell>
          <cell r="CK1138">
            <v>1.3600000000000001E-3</v>
          </cell>
          <cell r="CL1138">
            <v>24.42</v>
          </cell>
          <cell r="CO1138">
            <v>0</v>
          </cell>
          <cell r="CP1138">
            <v>0</v>
          </cell>
          <cell r="CQ1138">
            <v>0</v>
          </cell>
          <cell r="CR1138">
            <v>0</v>
          </cell>
          <cell r="CS1138">
            <v>0</v>
          </cell>
          <cell r="CT1138">
            <v>0</v>
          </cell>
          <cell r="CU1138">
            <v>9.6000000000000002E-4</v>
          </cell>
          <cell r="CV1138">
            <v>17.28</v>
          </cell>
          <cell r="CW1138">
            <v>0</v>
          </cell>
          <cell r="CX1138">
            <v>0</v>
          </cell>
          <cell r="CY1138">
            <v>0</v>
          </cell>
          <cell r="CZ1138">
            <v>0</v>
          </cell>
          <cell r="DA1138">
            <v>0</v>
          </cell>
          <cell r="DB1138">
            <v>0</v>
          </cell>
          <cell r="DC1138">
            <v>4.7999999999999996E-3</v>
          </cell>
          <cell r="DD1138">
            <v>84.6</v>
          </cell>
          <cell r="DE1138">
            <v>4.7999999999999996E-3</v>
          </cell>
          <cell r="DF1138">
            <v>84.6</v>
          </cell>
          <cell r="DG1138">
            <v>0</v>
          </cell>
          <cell r="DH1138">
            <v>0</v>
          </cell>
          <cell r="DI1138">
            <v>0</v>
          </cell>
          <cell r="DJ1138">
            <v>0</v>
          </cell>
          <cell r="DK1138">
            <v>1.1999999999999999E-3</v>
          </cell>
          <cell r="DL1138">
            <v>22.5</v>
          </cell>
          <cell r="DM1138">
            <v>1.1999999999999999E-3</v>
          </cell>
          <cell r="DN1138">
            <v>22.5</v>
          </cell>
          <cell r="DO1138">
            <v>0</v>
          </cell>
          <cell r="DP1138">
            <v>0</v>
          </cell>
          <cell r="DQ1138">
            <v>9.6000000000000002E-4</v>
          </cell>
          <cell r="DR1138">
            <v>17.28</v>
          </cell>
          <cell r="DS1138">
            <v>0</v>
          </cell>
          <cell r="DT1138">
            <v>0</v>
          </cell>
          <cell r="DU1138">
            <v>9.6000000000000002E-4</v>
          </cell>
          <cell r="DV1138">
            <v>17.28</v>
          </cell>
          <cell r="DW1138">
            <v>1.0239999999999999E-2</v>
          </cell>
          <cell r="DX1138">
            <v>183.72000000000003</v>
          </cell>
          <cell r="DY1138" t="str">
            <v/>
          </cell>
          <cell r="DZ1138">
            <v>0</v>
          </cell>
          <cell r="EA1138">
            <v>17941.406250000004</v>
          </cell>
        </row>
        <row r="1139">
          <cell r="B1139">
            <v>304730</v>
          </cell>
          <cell r="C1139" t="str">
            <v>ულქერი_ოლალა_სუფლე ჟოლოს_70გ*12</v>
          </cell>
          <cell r="D1139" t="str">
            <v>TON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1.6800000000000001E-3</v>
          </cell>
          <cell r="AD1139">
            <v>55.68</v>
          </cell>
          <cell r="AE1139">
            <v>0</v>
          </cell>
          <cell r="AF1139">
            <v>0</v>
          </cell>
          <cell r="AG1139">
            <v>8.4000000000000003E-4</v>
          </cell>
          <cell r="AH1139">
            <v>27.84</v>
          </cell>
          <cell r="AI1139">
            <v>8.4000000000000003E-4</v>
          </cell>
          <cell r="AJ1139">
            <v>27.84</v>
          </cell>
          <cell r="AK1139">
            <v>0</v>
          </cell>
          <cell r="AL1139">
            <v>0</v>
          </cell>
          <cell r="AO1139">
            <v>3.3600000000000001E-3</v>
          </cell>
          <cell r="AP1139">
            <v>111.36</v>
          </cell>
          <cell r="AS1139">
            <v>0</v>
          </cell>
          <cell r="AT1139">
            <v>0</v>
          </cell>
          <cell r="AU1139">
            <v>1.477E-2</v>
          </cell>
          <cell r="AV1139">
            <v>481.96</v>
          </cell>
          <cell r="AW1139">
            <v>0</v>
          </cell>
          <cell r="AX1139">
            <v>0</v>
          </cell>
          <cell r="AY1139">
            <v>8.4000000000000003E-4</v>
          </cell>
          <cell r="AZ1139">
            <v>27.36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8.4000000000000003E-4</v>
          </cell>
          <cell r="BF1139">
            <v>27.36</v>
          </cell>
          <cell r="BG1139">
            <v>0</v>
          </cell>
          <cell r="BH1139">
            <v>0</v>
          </cell>
          <cell r="BI1139">
            <v>-6.3000000000000003E-4</v>
          </cell>
          <cell r="BJ1139">
            <v>-20.88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  <cell r="BO1139">
            <v>1.1900000000000001E-3</v>
          </cell>
          <cell r="BP1139">
            <v>39.44</v>
          </cell>
          <cell r="BQ1139">
            <v>0</v>
          </cell>
          <cell r="BR1139">
            <v>0</v>
          </cell>
          <cell r="BS1139">
            <v>5.5999999999999995E-4</v>
          </cell>
          <cell r="BT1139">
            <v>18.559999999999999</v>
          </cell>
          <cell r="BU1139">
            <v>1.6800000000000001E-3</v>
          </cell>
          <cell r="BV1139">
            <v>53.9</v>
          </cell>
          <cell r="BW1139">
            <v>8.4000000000000003E-4</v>
          </cell>
          <cell r="BX1139">
            <v>26.54</v>
          </cell>
          <cell r="BY1139">
            <v>8.4000000000000003E-4</v>
          </cell>
          <cell r="BZ1139">
            <v>26.27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3.3600000000000001E-3</v>
          </cell>
          <cell r="CJ1139">
            <v>106.71</v>
          </cell>
          <cell r="CK1139">
            <v>3.9199999999999999E-3</v>
          </cell>
          <cell r="CL1139">
            <v>125.27</v>
          </cell>
          <cell r="CO1139">
            <v>0</v>
          </cell>
          <cell r="CP1139">
            <v>0</v>
          </cell>
          <cell r="CQ1139">
            <v>0</v>
          </cell>
          <cell r="CR1139">
            <v>0</v>
          </cell>
          <cell r="CS1139">
            <v>0</v>
          </cell>
          <cell r="CT1139">
            <v>0</v>
          </cell>
          <cell r="CU1139">
            <v>6.3E-3</v>
          </cell>
          <cell r="CV1139">
            <v>206.57</v>
          </cell>
          <cell r="CW1139">
            <v>0</v>
          </cell>
          <cell r="CX1139">
            <v>0</v>
          </cell>
          <cell r="CY1139">
            <v>0</v>
          </cell>
          <cell r="CZ1139">
            <v>0</v>
          </cell>
          <cell r="DA1139">
            <v>0</v>
          </cell>
          <cell r="DB1139">
            <v>0</v>
          </cell>
          <cell r="DC1139">
            <v>0</v>
          </cell>
          <cell r="DD1139">
            <v>0</v>
          </cell>
          <cell r="DE1139">
            <v>0</v>
          </cell>
          <cell r="DF1139">
            <v>0</v>
          </cell>
          <cell r="DG1139">
            <v>0</v>
          </cell>
          <cell r="DH1139">
            <v>0</v>
          </cell>
          <cell r="DI1139">
            <v>3.5E-4</v>
          </cell>
          <cell r="DJ1139">
            <v>11.4</v>
          </cell>
          <cell r="DK1139">
            <v>0</v>
          </cell>
          <cell r="DL1139">
            <v>0</v>
          </cell>
          <cell r="DM1139">
            <v>3.5E-4</v>
          </cell>
          <cell r="DN1139">
            <v>11.4</v>
          </cell>
          <cell r="DO1139">
            <v>0</v>
          </cell>
          <cell r="DP1139">
            <v>0</v>
          </cell>
          <cell r="DQ1139">
            <v>1.2600000000000001E-3</v>
          </cell>
          <cell r="DR1139">
            <v>40.97</v>
          </cell>
          <cell r="DS1139">
            <v>5.0400000000000002E-3</v>
          </cell>
          <cell r="DT1139">
            <v>165.6</v>
          </cell>
          <cell r="DU1139">
            <v>6.3E-3</v>
          </cell>
          <cell r="DV1139">
            <v>206.57</v>
          </cell>
          <cell r="DW1139">
            <v>1.477E-2</v>
          </cell>
          <cell r="DX1139">
            <v>481.96000000000004</v>
          </cell>
          <cell r="DY1139" t="str">
            <v/>
          </cell>
          <cell r="DZ1139">
            <v>0</v>
          </cell>
          <cell r="EA1139">
            <v>32631.008801624917</v>
          </cell>
        </row>
        <row r="1140">
          <cell r="B1140">
            <v>304749</v>
          </cell>
          <cell r="C1140" t="str">
            <v>ულქერი_კაკაოს ორცხობილა_175გ*16</v>
          </cell>
          <cell r="D1140" t="str">
            <v>TON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O1140">
            <v>0</v>
          </cell>
          <cell r="AP1140">
            <v>0</v>
          </cell>
          <cell r="AS1140">
            <v>0</v>
          </cell>
          <cell r="AT1140">
            <v>0</v>
          </cell>
          <cell r="AU1140">
            <v>4.1999999999999997E-3</v>
          </cell>
          <cell r="AV1140">
            <v>61.68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2.8E-3</v>
          </cell>
          <cell r="BN1140">
            <v>41.12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2.8E-3</v>
          </cell>
          <cell r="BT1140">
            <v>41.12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2.8E-3</v>
          </cell>
          <cell r="CL1140">
            <v>41.12</v>
          </cell>
          <cell r="CO1140">
            <v>0</v>
          </cell>
          <cell r="CP1140">
            <v>0</v>
          </cell>
          <cell r="CQ1140">
            <v>0</v>
          </cell>
          <cell r="CR1140">
            <v>0</v>
          </cell>
          <cell r="CS1140">
            <v>0</v>
          </cell>
          <cell r="CT1140">
            <v>0</v>
          </cell>
          <cell r="CU1140">
            <v>1.4E-3</v>
          </cell>
          <cell r="CV1140">
            <v>20.56</v>
          </cell>
          <cell r="CW1140">
            <v>0</v>
          </cell>
          <cell r="CX1140">
            <v>0</v>
          </cell>
          <cell r="CY1140">
            <v>0</v>
          </cell>
          <cell r="CZ1140">
            <v>0</v>
          </cell>
          <cell r="DA1140">
            <v>0</v>
          </cell>
          <cell r="DB1140">
            <v>0</v>
          </cell>
          <cell r="DC1140">
            <v>0</v>
          </cell>
          <cell r="DD1140">
            <v>0</v>
          </cell>
          <cell r="DE1140">
            <v>0</v>
          </cell>
          <cell r="DF1140">
            <v>0</v>
          </cell>
          <cell r="DG1140">
            <v>0</v>
          </cell>
          <cell r="DH1140">
            <v>0</v>
          </cell>
          <cell r="DI1140">
            <v>0</v>
          </cell>
          <cell r="DJ1140">
            <v>0</v>
          </cell>
          <cell r="DK1140">
            <v>0</v>
          </cell>
          <cell r="DL1140">
            <v>0</v>
          </cell>
          <cell r="DM1140">
            <v>0</v>
          </cell>
          <cell r="DN1140">
            <v>0</v>
          </cell>
          <cell r="DO1140">
            <v>0</v>
          </cell>
          <cell r="DP1140">
            <v>0</v>
          </cell>
          <cell r="DQ1140">
            <v>0</v>
          </cell>
          <cell r="DR1140">
            <v>0</v>
          </cell>
          <cell r="DS1140">
            <v>1.4E-3</v>
          </cell>
          <cell r="DT1140">
            <v>20.56</v>
          </cell>
          <cell r="DU1140">
            <v>1.4E-3</v>
          </cell>
          <cell r="DV1140">
            <v>20.56</v>
          </cell>
          <cell r="DW1140">
            <v>4.1999999999999997E-3</v>
          </cell>
          <cell r="DX1140">
            <v>61.679999999999993</v>
          </cell>
          <cell r="DY1140" t="str">
            <v/>
          </cell>
          <cell r="DZ1140">
            <v>0</v>
          </cell>
          <cell r="EA1140">
            <v>14685.714285714284</v>
          </cell>
        </row>
        <row r="1141">
          <cell r="B1141">
            <v>304992</v>
          </cell>
          <cell r="C1141" t="str">
            <v>ულქერი_ბისკრემი_შოკ.ჩხირები_32გ*24</v>
          </cell>
          <cell r="D1141" t="str">
            <v>TON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O1141">
            <v>0</v>
          </cell>
          <cell r="AP1141">
            <v>0</v>
          </cell>
          <cell r="AS1141">
            <v>0</v>
          </cell>
          <cell r="AT1141">
            <v>0</v>
          </cell>
          <cell r="AU1141">
            <v>3.1359999999999999E-3</v>
          </cell>
          <cell r="AV1141">
            <v>116.47</v>
          </cell>
          <cell r="AW1141">
            <v>0</v>
          </cell>
          <cell r="AX1141">
            <v>0</v>
          </cell>
          <cell r="AY1141">
            <v>1.536E-3</v>
          </cell>
          <cell r="AZ1141">
            <v>32.93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1.536E-3</v>
          </cell>
          <cell r="BF1141">
            <v>32.93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  <cell r="BO1141">
            <v>0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1.6000000000000001E-3</v>
          </cell>
          <cell r="CF1141">
            <v>83.54</v>
          </cell>
          <cell r="CG1141">
            <v>0</v>
          </cell>
          <cell r="CH1141">
            <v>0</v>
          </cell>
          <cell r="CI1141">
            <v>1.6000000000000001E-3</v>
          </cell>
          <cell r="CJ1141">
            <v>83.54</v>
          </cell>
          <cell r="CK1141">
            <v>1.6000000000000001E-3</v>
          </cell>
          <cell r="CL1141">
            <v>83.54</v>
          </cell>
          <cell r="CO1141">
            <v>0</v>
          </cell>
          <cell r="CP1141">
            <v>0</v>
          </cell>
          <cell r="CQ1141">
            <v>0</v>
          </cell>
          <cell r="CR1141">
            <v>0</v>
          </cell>
          <cell r="CS1141">
            <v>0</v>
          </cell>
          <cell r="CT1141">
            <v>0</v>
          </cell>
          <cell r="CU1141">
            <v>0</v>
          </cell>
          <cell r="CV1141">
            <v>0</v>
          </cell>
          <cell r="CW1141">
            <v>0</v>
          </cell>
          <cell r="CX1141">
            <v>0</v>
          </cell>
          <cell r="CY1141">
            <v>0</v>
          </cell>
          <cell r="CZ1141">
            <v>0</v>
          </cell>
          <cell r="DA1141">
            <v>0</v>
          </cell>
          <cell r="DB1141">
            <v>0</v>
          </cell>
          <cell r="DC1141">
            <v>0</v>
          </cell>
          <cell r="DD1141">
            <v>0</v>
          </cell>
          <cell r="DE1141">
            <v>0</v>
          </cell>
          <cell r="DF1141">
            <v>0</v>
          </cell>
          <cell r="DG1141">
            <v>0</v>
          </cell>
          <cell r="DH1141">
            <v>0</v>
          </cell>
          <cell r="DI1141">
            <v>0</v>
          </cell>
          <cell r="DJ1141">
            <v>0</v>
          </cell>
          <cell r="DK1141">
            <v>0</v>
          </cell>
          <cell r="DL1141">
            <v>0</v>
          </cell>
          <cell r="DM1141">
            <v>0</v>
          </cell>
          <cell r="DN1141">
            <v>0</v>
          </cell>
          <cell r="DO1141">
            <v>0</v>
          </cell>
          <cell r="DP1141">
            <v>0</v>
          </cell>
          <cell r="DQ1141">
            <v>0</v>
          </cell>
          <cell r="DR1141">
            <v>0</v>
          </cell>
          <cell r="DS1141">
            <v>0</v>
          </cell>
          <cell r="DT1141">
            <v>0</v>
          </cell>
          <cell r="DU1141">
            <v>0</v>
          </cell>
          <cell r="DV1141">
            <v>0</v>
          </cell>
          <cell r="DW1141">
            <v>3.1359999999999999E-3</v>
          </cell>
          <cell r="DX1141">
            <v>116.47</v>
          </cell>
          <cell r="DY1141" t="str">
            <v/>
          </cell>
          <cell r="DZ1141">
            <v>0</v>
          </cell>
          <cell r="EA1141">
            <v>37139.668367346938</v>
          </cell>
        </row>
        <row r="1142">
          <cell r="B1142">
            <v>305362</v>
          </cell>
          <cell r="C1142" t="str">
            <v>ულქერი_ალბენი_შოკ.კარამელ.კაკაო_40გ*18*9</v>
          </cell>
          <cell r="D1142" t="str">
            <v>TON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O1142">
            <v>0</v>
          </cell>
          <cell r="AP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  <cell r="BO1142">
            <v>0</v>
          </cell>
          <cell r="BP1142">
            <v>0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O1142">
            <v>0</v>
          </cell>
          <cell r="CP1142">
            <v>0</v>
          </cell>
          <cell r="CQ1142">
            <v>0</v>
          </cell>
          <cell r="CR1142">
            <v>0</v>
          </cell>
          <cell r="CS1142">
            <v>0</v>
          </cell>
          <cell r="CT1142">
            <v>0</v>
          </cell>
          <cell r="CU1142">
            <v>0</v>
          </cell>
          <cell r="CV1142">
            <v>0</v>
          </cell>
          <cell r="CW1142">
            <v>0</v>
          </cell>
          <cell r="CX1142">
            <v>0</v>
          </cell>
          <cell r="CY1142">
            <v>0</v>
          </cell>
          <cell r="CZ1142">
            <v>0</v>
          </cell>
          <cell r="DA1142">
            <v>0</v>
          </cell>
          <cell r="DB1142">
            <v>0</v>
          </cell>
          <cell r="DC1142">
            <v>0</v>
          </cell>
          <cell r="DD1142">
            <v>0</v>
          </cell>
          <cell r="DE1142">
            <v>0</v>
          </cell>
          <cell r="DF1142">
            <v>0</v>
          </cell>
          <cell r="DG1142">
            <v>0</v>
          </cell>
          <cell r="DH1142">
            <v>0</v>
          </cell>
          <cell r="DI1142">
            <v>0</v>
          </cell>
          <cell r="DJ1142">
            <v>0</v>
          </cell>
          <cell r="DK1142">
            <v>0</v>
          </cell>
          <cell r="DL1142">
            <v>0</v>
          </cell>
          <cell r="DM1142">
            <v>0</v>
          </cell>
          <cell r="DN1142">
            <v>0</v>
          </cell>
          <cell r="DO1142">
            <v>0</v>
          </cell>
          <cell r="DP1142">
            <v>0</v>
          </cell>
          <cell r="DQ1142">
            <v>0</v>
          </cell>
          <cell r="DR1142">
            <v>0</v>
          </cell>
          <cell r="DS1142">
            <v>0</v>
          </cell>
          <cell r="DT1142">
            <v>0</v>
          </cell>
          <cell r="DU1142">
            <v>0</v>
          </cell>
          <cell r="DV1142">
            <v>0</v>
          </cell>
          <cell r="DW1142">
            <v>0</v>
          </cell>
          <cell r="DX1142">
            <v>0</v>
          </cell>
          <cell r="DY1142" t="str">
            <v/>
          </cell>
          <cell r="DZ1142" t="str">
            <v>pasiv</v>
          </cell>
          <cell r="EA1142" t="e">
            <v>#DIV/0!</v>
          </cell>
        </row>
        <row r="1143">
          <cell r="B1143">
            <v>347173</v>
          </cell>
          <cell r="C1143" t="str">
            <v>ულქერი_ორცხობილა_450გ*10</v>
          </cell>
          <cell r="D1143" t="str">
            <v>TON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O1143">
            <v>0</v>
          </cell>
          <cell r="AP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0</v>
          </cell>
          <cell r="CB1143">
            <v>0</v>
          </cell>
          <cell r="CC1143">
            <v>0</v>
          </cell>
          <cell r="CD1143">
            <v>0</v>
          </cell>
          <cell r="CE1143">
            <v>0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O1143">
            <v>0</v>
          </cell>
          <cell r="CP1143">
            <v>0</v>
          </cell>
          <cell r="CQ1143">
            <v>0</v>
          </cell>
          <cell r="CR1143">
            <v>0</v>
          </cell>
          <cell r="CS1143">
            <v>0</v>
          </cell>
          <cell r="CT1143">
            <v>0</v>
          </cell>
          <cell r="CU1143">
            <v>0</v>
          </cell>
          <cell r="CV1143">
            <v>0</v>
          </cell>
          <cell r="CW1143">
            <v>0</v>
          </cell>
          <cell r="CX1143">
            <v>0</v>
          </cell>
          <cell r="CY1143">
            <v>0</v>
          </cell>
          <cell r="CZ1143">
            <v>0</v>
          </cell>
          <cell r="DA1143">
            <v>0</v>
          </cell>
          <cell r="DB1143">
            <v>0</v>
          </cell>
          <cell r="DC1143">
            <v>0</v>
          </cell>
          <cell r="DD1143">
            <v>0</v>
          </cell>
          <cell r="DE1143">
            <v>0</v>
          </cell>
          <cell r="DF1143">
            <v>0</v>
          </cell>
          <cell r="DG1143">
            <v>0</v>
          </cell>
          <cell r="DH1143">
            <v>0</v>
          </cell>
          <cell r="DI1143">
            <v>0</v>
          </cell>
          <cell r="DJ1143">
            <v>0</v>
          </cell>
          <cell r="DK1143">
            <v>0</v>
          </cell>
          <cell r="DL1143">
            <v>0</v>
          </cell>
          <cell r="DM1143">
            <v>0</v>
          </cell>
          <cell r="DN1143">
            <v>0</v>
          </cell>
          <cell r="DO1143">
            <v>0</v>
          </cell>
          <cell r="DP1143">
            <v>0</v>
          </cell>
          <cell r="DQ1143">
            <v>0</v>
          </cell>
          <cell r="DR1143">
            <v>0</v>
          </cell>
          <cell r="DS1143">
            <v>0</v>
          </cell>
          <cell r="DT1143">
            <v>0</v>
          </cell>
          <cell r="DU1143">
            <v>0</v>
          </cell>
          <cell r="DV1143">
            <v>0</v>
          </cell>
          <cell r="DW1143">
            <v>0</v>
          </cell>
          <cell r="DX1143">
            <v>0</v>
          </cell>
          <cell r="DY1143" t="str">
            <v/>
          </cell>
          <cell r="DZ1143" t="str">
            <v>pasiv</v>
          </cell>
          <cell r="EA1143" t="e">
            <v>#DIV/0!</v>
          </cell>
        </row>
        <row r="1144">
          <cell r="B1144">
            <v>366720</v>
          </cell>
          <cell r="C1144" t="str">
            <v>ულქერი_LOKUMCUK_მარმელადი ვაშლის_1კგ*5</v>
          </cell>
          <cell r="D1144" t="str">
            <v>TON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1E-3</v>
          </cell>
          <cell r="AD1144">
            <v>13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0</v>
          </cell>
          <cell r="AL1144">
            <v>0</v>
          </cell>
          <cell r="AO1144">
            <v>1E-3</v>
          </cell>
          <cell r="AP1144">
            <v>13</v>
          </cell>
          <cell r="AS1144">
            <v>0</v>
          </cell>
          <cell r="AT1144">
            <v>0</v>
          </cell>
          <cell r="AU1144">
            <v>3.0000000000000001E-3</v>
          </cell>
          <cell r="AV1144">
            <v>38.61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1E-3</v>
          </cell>
          <cell r="BJ1144">
            <v>12.61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1E-3</v>
          </cell>
          <cell r="BP1144">
            <v>13</v>
          </cell>
          <cell r="BQ1144">
            <v>0</v>
          </cell>
          <cell r="BR1144">
            <v>0</v>
          </cell>
          <cell r="BS1144">
            <v>2E-3</v>
          </cell>
          <cell r="BT1144">
            <v>25.61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2E-3</v>
          </cell>
          <cell r="CL1144">
            <v>25.61</v>
          </cell>
          <cell r="CO1144">
            <v>0</v>
          </cell>
          <cell r="CP1144">
            <v>0</v>
          </cell>
          <cell r="CQ1144">
            <v>0</v>
          </cell>
          <cell r="CR1144">
            <v>0</v>
          </cell>
          <cell r="CS1144">
            <v>0</v>
          </cell>
          <cell r="CT1144">
            <v>0</v>
          </cell>
          <cell r="CU1144">
            <v>0</v>
          </cell>
          <cell r="CV1144">
            <v>0</v>
          </cell>
          <cell r="CW1144">
            <v>0</v>
          </cell>
          <cell r="CX1144">
            <v>0</v>
          </cell>
          <cell r="CY1144">
            <v>0</v>
          </cell>
          <cell r="CZ1144">
            <v>0</v>
          </cell>
          <cell r="DA1144">
            <v>0</v>
          </cell>
          <cell r="DB1144">
            <v>0</v>
          </cell>
          <cell r="DC1144">
            <v>0</v>
          </cell>
          <cell r="DD1144">
            <v>0</v>
          </cell>
          <cell r="DE1144">
            <v>0</v>
          </cell>
          <cell r="DF1144">
            <v>0</v>
          </cell>
          <cell r="DG1144">
            <v>0</v>
          </cell>
          <cell r="DH1144">
            <v>0</v>
          </cell>
          <cell r="DI1144">
            <v>0</v>
          </cell>
          <cell r="DJ1144">
            <v>0</v>
          </cell>
          <cell r="DK1144">
            <v>0</v>
          </cell>
          <cell r="DL1144">
            <v>0</v>
          </cell>
          <cell r="DM1144">
            <v>0</v>
          </cell>
          <cell r="DN1144">
            <v>0</v>
          </cell>
          <cell r="DO1144">
            <v>0</v>
          </cell>
          <cell r="DP1144">
            <v>0</v>
          </cell>
          <cell r="DQ1144">
            <v>0</v>
          </cell>
          <cell r="DR1144">
            <v>0</v>
          </cell>
          <cell r="DS1144">
            <v>0</v>
          </cell>
          <cell r="DT1144">
            <v>0</v>
          </cell>
          <cell r="DU1144">
            <v>0</v>
          </cell>
          <cell r="DV1144">
            <v>0</v>
          </cell>
          <cell r="DW1144">
            <v>3.0000000000000001E-3</v>
          </cell>
          <cell r="DX1144">
            <v>38.61</v>
          </cell>
          <cell r="DY1144" t="str">
            <v/>
          </cell>
          <cell r="DZ1144">
            <v>0</v>
          </cell>
          <cell r="EA1144">
            <v>12870</v>
          </cell>
        </row>
        <row r="1145">
          <cell r="B1145">
            <v>305405</v>
          </cell>
          <cell r="C1145" t="str">
            <v>ულქერი_ოლალა_სუფლე მინი_162გ*12</v>
          </cell>
          <cell r="D1145" t="str">
            <v>TON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9.2339999999999992E-3</v>
          </cell>
          <cell r="AD1145">
            <v>252.51</v>
          </cell>
          <cell r="AE1145">
            <v>0</v>
          </cell>
          <cell r="AF1145">
            <v>0</v>
          </cell>
          <cell r="AG1145">
            <v>4.6979999999999999E-3</v>
          </cell>
          <cell r="AH1145">
            <v>128.47</v>
          </cell>
          <cell r="AI1145">
            <v>1.1664000000000001E-2</v>
          </cell>
          <cell r="AJ1145">
            <v>318.95999999999998</v>
          </cell>
          <cell r="AK1145">
            <v>1.0044000000000001E-2</v>
          </cell>
          <cell r="AL1145">
            <v>273.39999999999998</v>
          </cell>
          <cell r="AO1145">
            <v>3.5640000000000005E-2</v>
          </cell>
          <cell r="AP1145">
            <v>973.34</v>
          </cell>
          <cell r="AS1145">
            <v>0</v>
          </cell>
          <cell r="AT1145">
            <v>0</v>
          </cell>
          <cell r="AU1145">
            <v>0.14580000000000001</v>
          </cell>
          <cell r="AV1145">
            <v>3893.23</v>
          </cell>
          <cell r="AW1145">
            <v>0</v>
          </cell>
          <cell r="AX1145">
            <v>0</v>
          </cell>
          <cell r="AY1145">
            <v>3.888E-3</v>
          </cell>
          <cell r="AZ1145">
            <v>105.36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3.888E-3</v>
          </cell>
          <cell r="BF1145">
            <v>105.36</v>
          </cell>
          <cell r="BG1145">
            <v>1.2960000000000001E-3</v>
          </cell>
          <cell r="BH1145">
            <v>35.44</v>
          </cell>
          <cell r="BI1145">
            <v>0</v>
          </cell>
          <cell r="BJ1145">
            <v>0</v>
          </cell>
          <cell r="BK1145">
            <v>4.86E-4</v>
          </cell>
          <cell r="BL1145">
            <v>13.29</v>
          </cell>
          <cell r="BM1145">
            <v>2.1059999999999998E-3</v>
          </cell>
          <cell r="BN1145">
            <v>57.59</v>
          </cell>
          <cell r="BO1145">
            <v>4.2119999999999996E-3</v>
          </cell>
          <cell r="BP1145">
            <v>115.18</v>
          </cell>
          <cell r="BQ1145">
            <v>0</v>
          </cell>
          <cell r="BR1145">
            <v>0</v>
          </cell>
          <cell r="BS1145">
            <v>8.0999999999999996E-3</v>
          </cell>
          <cell r="BT1145">
            <v>221.5</v>
          </cell>
          <cell r="BU1145">
            <v>9.7199999999999999E-4</v>
          </cell>
          <cell r="BV1145">
            <v>25.32</v>
          </cell>
          <cell r="BW1145">
            <v>9.7199999999999999E-4</v>
          </cell>
          <cell r="BX1145">
            <v>25.32</v>
          </cell>
          <cell r="BY1145">
            <v>8.0999999999999996E-4</v>
          </cell>
          <cell r="BZ1145">
            <v>22.15</v>
          </cell>
          <cell r="CA1145">
            <v>3.888E-3</v>
          </cell>
          <cell r="CB1145">
            <v>106.32</v>
          </cell>
          <cell r="CC1145">
            <v>0</v>
          </cell>
          <cell r="CD1145">
            <v>0</v>
          </cell>
          <cell r="CE1145">
            <v>3.2400000000000001E-4</v>
          </cell>
          <cell r="CF1145">
            <v>8.18</v>
          </cell>
          <cell r="CG1145">
            <v>0</v>
          </cell>
          <cell r="CH1145">
            <v>0</v>
          </cell>
          <cell r="CI1145">
            <v>6.966E-3</v>
          </cell>
          <cell r="CJ1145">
            <v>187.29</v>
          </cell>
          <cell r="CK1145">
            <v>1.5066E-2</v>
          </cell>
          <cell r="CL1145">
            <v>408.78999999999996</v>
          </cell>
          <cell r="CO1145">
            <v>0</v>
          </cell>
          <cell r="CP1145">
            <v>0</v>
          </cell>
          <cell r="CQ1145">
            <v>0</v>
          </cell>
          <cell r="CR1145">
            <v>0</v>
          </cell>
          <cell r="CS1145">
            <v>0</v>
          </cell>
          <cell r="CT1145">
            <v>0</v>
          </cell>
          <cell r="CU1145">
            <v>1.3932E-2</v>
          </cell>
          <cell r="CV1145">
            <v>378.57</v>
          </cell>
          <cell r="CW1145">
            <v>0</v>
          </cell>
          <cell r="CX1145">
            <v>0</v>
          </cell>
          <cell r="CY1145">
            <v>6.4152000000000001E-2</v>
          </cell>
          <cell r="CZ1145">
            <v>1676.52</v>
          </cell>
          <cell r="DA1145">
            <v>5.3460000000000001E-3</v>
          </cell>
          <cell r="DB1145">
            <v>146.19</v>
          </cell>
          <cell r="DC1145">
            <v>6.8040000000000002E-3</v>
          </cell>
          <cell r="DD1145">
            <v>177.88</v>
          </cell>
          <cell r="DE1145">
            <v>7.6302000000000009E-2</v>
          </cell>
          <cell r="DF1145">
            <v>2000.5900000000001</v>
          </cell>
          <cell r="DG1145">
            <v>0</v>
          </cell>
          <cell r="DH1145">
            <v>0</v>
          </cell>
          <cell r="DI1145">
            <v>6.4800000000000003E-4</v>
          </cell>
          <cell r="DJ1145">
            <v>17.72</v>
          </cell>
          <cell r="DK1145">
            <v>3.2400000000000001E-4</v>
          </cell>
          <cell r="DL1145">
            <v>8.86</v>
          </cell>
          <cell r="DM1145">
            <v>9.7199999999999999E-4</v>
          </cell>
          <cell r="DN1145">
            <v>26.58</v>
          </cell>
          <cell r="DO1145">
            <v>5.6699999999999997E-3</v>
          </cell>
          <cell r="DP1145">
            <v>153.6</v>
          </cell>
          <cell r="DQ1145">
            <v>2.4299999999999999E-3</v>
          </cell>
          <cell r="DR1145">
            <v>66.45</v>
          </cell>
          <cell r="DS1145">
            <v>5.8320000000000004E-3</v>
          </cell>
          <cell r="DT1145">
            <v>158.52000000000001</v>
          </cell>
          <cell r="DU1145">
            <v>1.3932E-2</v>
          </cell>
          <cell r="DV1145">
            <v>378.57</v>
          </cell>
          <cell r="DW1145">
            <v>0.14580000000000001</v>
          </cell>
          <cell r="DX1145">
            <v>3893.2300000000005</v>
          </cell>
          <cell r="DY1145" t="str">
            <v/>
          </cell>
          <cell r="DZ1145">
            <v>0</v>
          </cell>
          <cell r="EA1145">
            <v>26702.537722908095</v>
          </cell>
        </row>
        <row r="1146">
          <cell r="B1146">
            <v>307076</v>
          </cell>
          <cell r="C1146" t="str">
            <v>ულქერი_ალბენი_შოკ.კარამელ ბისკვ_144გ*12</v>
          </cell>
          <cell r="D1146" t="str">
            <v>TON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3.4559999999999999E-3</v>
          </cell>
          <cell r="AD1146">
            <v>100.8</v>
          </cell>
          <cell r="AE1146">
            <v>0</v>
          </cell>
          <cell r="AF1146">
            <v>0</v>
          </cell>
          <cell r="AG1146">
            <v>7.2000000000000005E-4</v>
          </cell>
          <cell r="AH1146">
            <v>21</v>
          </cell>
          <cell r="AI1146">
            <v>3.1679999999999998E-3</v>
          </cell>
          <cell r="AJ1146">
            <v>92.4</v>
          </cell>
          <cell r="AK1146">
            <v>7.6319999999999999E-3</v>
          </cell>
          <cell r="AL1146">
            <v>222.23</v>
          </cell>
          <cell r="AO1146">
            <v>1.4976E-2</v>
          </cell>
          <cell r="AP1146">
            <v>436.42999999999995</v>
          </cell>
          <cell r="AS1146">
            <v>0</v>
          </cell>
          <cell r="AT1146">
            <v>0</v>
          </cell>
          <cell r="AU1146">
            <v>8.6255999999999999E-2</v>
          </cell>
          <cell r="AV1146">
            <v>2305.56</v>
          </cell>
          <cell r="AW1146">
            <v>0</v>
          </cell>
          <cell r="AX1146">
            <v>0</v>
          </cell>
          <cell r="AY1146">
            <v>1.7279999999999999E-3</v>
          </cell>
          <cell r="AZ1146">
            <v>49.2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1.7279999999999999E-3</v>
          </cell>
          <cell r="BF1146">
            <v>49.2</v>
          </cell>
          <cell r="BG1146">
            <v>1.7279999999999999E-3</v>
          </cell>
          <cell r="BH1146">
            <v>50.4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5.7600000000000001E-4</v>
          </cell>
          <cell r="BP1146">
            <v>16.8</v>
          </cell>
          <cell r="BQ1146">
            <v>0</v>
          </cell>
          <cell r="BR1146">
            <v>0</v>
          </cell>
          <cell r="BS1146">
            <v>2.3040000000000001E-3</v>
          </cell>
          <cell r="BT1146">
            <v>67.2</v>
          </cell>
          <cell r="BU1146">
            <v>8.6399999999999997E-4</v>
          </cell>
          <cell r="BV1146">
            <v>23.86</v>
          </cell>
          <cell r="BW1146">
            <v>4.4640000000000001E-3</v>
          </cell>
          <cell r="BX1146">
            <v>125.5</v>
          </cell>
          <cell r="BY1146">
            <v>1.7279999999999999E-3</v>
          </cell>
          <cell r="BZ1146">
            <v>46.25</v>
          </cell>
          <cell r="CA1146">
            <v>5.4720000000000003E-3</v>
          </cell>
          <cell r="CB1146">
            <v>159.6</v>
          </cell>
          <cell r="CC1146">
            <v>1.44E-4</v>
          </cell>
          <cell r="CD1146">
            <v>4.2</v>
          </cell>
          <cell r="CE1146">
            <v>4.0031999999999998E-2</v>
          </cell>
          <cell r="CF1146">
            <v>984.27</v>
          </cell>
          <cell r="CG1146">
            <v>0</v>
          </cell>
          <cell r="CH1146">
            <v>0</v>
          </cell>
          <cell r="CI1146">
            <v>5.2704000000000001E-2</v>
          </cell>
          <cell r="CJ1146">
            <v>1343.68</v>
          </cell>
          <cell r="CK1146">
            <v>5.5008000000000001E-2</v>
          </cell>
          <cell r="CL1146">
            <v>1410.88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4.3200000000000001E-3</v>
          </cell>
          <cell r="CV1146">
            <v>125.4</v>
          </cell>
          <cell r="CW1146">
            <v>0</v>
          </cell>
          <cell r="CX1146">
            <v>0</v>
          </cell>
          <cell r="CY1146">
            <v>3.4559999999999999E-3</v>
          </cell>
          <cell r="CZ1146">
            <v>100.8</v>
          </cell>
          <cell r="DA1146">
            <v>0</v>
          </cell>
          <cell r="DB1146">
            <v>0</v>
          </cell>
          <cell r="DC1146">
            <v>6.0480000000000004E-3</v>
          </cell>
          <cell r="DD1146">
            <v>161.85</v>
          </cell>
          <cell r="DE1146">
            <v>9.5040000000000003E-3</v>
          </cell>
          <cell r="DF1146">
            <v>262.64999999999998</v>
          </cell>
          <cell r="DG1146">
            <v>0</v>
          </cell>
          <cell r="DH1146">
            <v>0</v>
          </cell>
          <cell r="DI1146">
            <v>7.2000000000000005E-4</v>
          </cell>
          <cell r="DJ1146">
            <v>21</v>
          </cell>
          <cell r="DK1146">
            <v>0</v>
          </cell>
          <cell r="DL1146">
            <v>0</v>
          </cell>
          <cell r="DM1146">
            <v>7.2000000000000005E-4</v>
          </cell>
          <cell r="DN1146">
            <v>21</v>
          </cell>
          <cell r="DO1146">
            <v>1.7279999999999999E-3</v>
          </cell>
          <cell r="DP1146">
            <v>50.4</v>
          </cell>
          <cell r="DQ1146">
            <v>0</v>
          </cell>
          <cell r="DR1146">
            <v>0</v>
          </cell>
          <cell r="DS1146">
            <v>2.5920000000000001E-3</v>
          </cell>
          <cell r="DT1146">
            <v>75</v>
          </cell>
          <cell r="DU1146">
            <v>4.3200000000000001E-3</v>
          </cell>
          <cell r="DV1146">
            <v>125.4</v>
          </cell>
          <cell r="DW1146">
            <v>8.6255999999999999E-2</v>
          </cell>
          <cell r="DX1146">
            <v>2305.56</v>
          </cell>
          <cell r="DY1146" t="str">
            <v/>
          </cell>
          <cell r="DZ1146">
            <v>0</v>
          </cell>
          <cell r="EA1146">
            <v>26729.271007234278</v>
          </cell>
        </row>
        <row r="1147">
          <cell r="B1147">
            <v>303521</v>
          </cell>
          <cell r="C1147" t="str">
            <v>ულქერი_დანქექი_კექსი კაკაოს_160გ*8</v>
          </cell>
          <cell r="D1147" t="str">
            <v>TON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1.2800000000000001E-3</v>
          </cell>
          <cell r="AJ1147">
            <v>26.88</v>
          </cell>
          <cell r="AK1147">
            <v>3.0400000000000002E-3</v>
          </cell>
          <cell r="AL1147">
            <v>63.65</v>
          </cell>
          <cell r="AO1147">
            <v>4.3200000000000001E-3</v>
          </cell>
          <cell r="AP1147">
            <v>90.53</v>
          </cell>
          <cell r="AS1147">
            <v>0</v>
          </cell>
          <cell r="AT1147">
            <v>0</v>
          </cell>
          <cell r="AU1147">
            <v>9.5200000000000007E-2</v>
          </cell>
          <cell r="AV1147">
            <v>1950.55</v>
          </cell>
          <cell r="AW1147">
            <v>0</v>
          </cell>
          <cell r="AX1147">
            <v>0</v>
          </cell>
          <cell r="AY1147">
            <v>1.2800000000000001E-3</v>
          </cell>
          <cell r="AZ1147">
            <v>27.2</v>
          </cell>
          <cell r="BA1147">
            <v>0</v>
          </cell>
          <cell r="BB1147">
            <v>0</v>
          </cell>
          <cell r="BC1147">
            <v>2.0799999999999998E-3</v>
          </cell>
          <cell r="BD1147">
            <v>43.18</v>
          </cell>
          <cell r="BE1147">
            <v>3.3600000000000001E-3</v>
          </cell>
          <cell r="BF1147">
            <v>70.38</v>
          </cell>
          <cell r="BG1147">
            <v>2.5600000000000002E-3</v>
          </cell>
          <cell r="BH1147">
            <v>53.76</v>
          </cell>
          <cell r="BI1147">
            <v>1.2800000000000001E-3</v>
          </cell>
          <cell r="BJ1147">
            <v>26.88</v>
          </cell>
          <cell r="BK1147">
            <v>-1.6000000000000001E-4</v>
          </cell>
          <cell r="BL1147">
            <v>-3.36</v>
          </cell>
          <cell r="BM1147">
            <v>0</v>
          </cell>
          <cell r="BN1147">
            <v>0</v>
          </cell>
          <cell r="BO1147">
            <v>1.92E-3</v>
          </cell>
          <cell r="BP1147">
            <v>40.32</v>
          </cell>
          <cell r="BQ1147">
            <v>0</v>
          </cell>
          <cell r="BR1147">
            <v>0</v>
          </cell>
          <cell r="BS1147">
            <v>5.5999999999999999E-3</v>
          </cell>
          <cell r="BT1147">
            <v>117.6</v>
          </cell>
          <cell r="BU1147">
            <v>6.4000000000000005E-4</v>
          </cell>
          <cell r="BV1147">
            <v>13.19</v>
          </cell>
          <cell r="BW1147">
            <v>9.6000000000000002E-4</v>
          </cell>
          <cell r="BX1147">
            <v>19.79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1.2800000000000001E-2</v>
          </cell>
          <cell r="CF1147">
            <v>228.48</v>
          </cell>
          <cell r="CG1147">
            <v>0</v>
          </cell>
          <cell r="CH1147">
            <v>0</v>
          </cell>
          <cell r="CI1147">
            <v>1.44E-2</v>
          </cell>
          <cell r="CJ1147">
            <v>261.45999999999998</v>
          </cell>
          <cell r="CK1147">
            <v>0.02</v>
          </cell>
          <cell r="CL1147">
            <v>379.05999999999995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9.5999999999999992E-3</v>
          </cell>
          <cell r="CV1147">
            <v>202.24</v>
          </cell>
          <cell r="CW1147">
            <v>0</v>
          </cell>
          <cell r="CX1147">
            <v>0</v>
          </cell>
          <cell r="CY1147">
            <v>4.3520000000000003E-2</v>
          </cell>
          <cell r="CZ1147">
            <v>913.92</v>
          </cell>
          <cell r="DA1147">
            <v>0</v>
          </cell>
          <cell r="DB1147">
            <v>0</v>
          </cell>
          <cell r="DC1147">
            <v>7.6800000000000002E-3</v>
          </cell>
          <cell r="DD1147">
            <v>153.41999999999999</v>
          </cell>
          <cell r="DE1147">
            <v>5.1200000000000002E-2</v>
          </cell>
          <cell r="DF1147">
            <v>1067.3399999999999</v>
          </cell>
          <cell r="DG1147">
            <v>3.2000000000000003E-4</v>
          </cell>
          <cell r="DH1147">
            <v>6.6</v>
          </cell>
          <cell r="DI1147">
            <v>3.8400000000000001E-3</v>
          </cell>
          <cell r="DJ1147">
            <v>80.64</v>
          </cell>
          <cell r="DK1147">
            <v>2.5600000000000002E-3</v>
          </cell>
          <cell r="DL1147">
            <v>53.76</v>
          </cell>
          <cell r="DM1147">
            <v>6.7200000000000003E-3</v>
          </cell>
          <cell r="DN1147">
            <v>141</v>
          </cell>
          <cell r="DO1147">
            <v>3.8400000000000001E-3</v>
          </cell>
          <cell r="DP1147">
            <v>80.64</v>
          </cell>
          <cell r="DQ1147">
            <v>0</v>
          </cell>
          <cell r="DR1147">
            <v>0</v>
          </cell>
          <cell r="DS1147">
            <v>5.7600000000000004E-3</v>
          </cell>
          <cell r="DT1147">
            <v>121.6</v>
          </cell>
          <cell r="DU1147">
            <v>9.5999999999999992E-3</v>
          </cell>
          <cell r="DV1147">
            <v>202.24</v>
          </cell>
          <cell r="DW1147">
            <v>9.5200000000000007E-2</v>
          </cell>
          <cell r="DX1147">
            <v>1950.55</v>
          </cell>
          <cell r="DY1147" t="str">
            <v/>
          </cell>
          <cell r="DZ1147">
            <v>0</v>
          </cell>
          <cell r="EA1147">
            <v>20488.970588235294</v>
          </cell>
        </row>
        <row r="1148">
          <cell r="B1148">
            <v>303522</v>
          </cell>
          <cell r="C1148" t="str">
            <v>ულქერი_დანქექი_კექსი სტაფილო დარიჩ_160გ*8</v>
          </cell>
          <cell r="D1148" t="str">
            <v>TON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1.92E-3</v>
          </cell>
          <cell r="AL1148">
            <v>40.32</v>
          </cell>
          <cell r="AO1148">
            <v>1.92E-3</v>
          </cell>
          <cell r="AP1148">
            <v>40.32</v>
          </cell>
          <cell r="AS1148">
            <v>0</v>
          </cell>
          <cell r="AT1148">
            <v>0</v>
          </cell>
          <cell r="AU1148">
            <v>6.5600000000000006E-2</v>
          </cell>
          <cell r="AV1148">
            <v>1335.42</v>
          </cell>
          <cell r="AW1148">
            <v>0</v>
          </cell>
          <cell r="AX1148">
            <v>0</v>
          </cell>
          <cell r="AY1148">
            <v>1.2800000000000001E-3</v>
          </cell>
          <cell r="AZ1148">
            <v>27.2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1.2800000000000001E-3</v>
          </cell>
          <cell r="BF1148">
            <v>27.2</v>
          </cell>
          <cell r="BG1148">
            <v>1.2800000000000001E-3</v>
          </cell>
          <cell r="BH1148">
            <v>26.88</v>
          </cell>
          <cell r="BI1148">
            <v>-4.8000000000000001E-4</v>
          </cell>
          <cell r="BJ1148">
            <v>-10.08</v>
          </cell>
          <cell r="BK1148">
            <v>-1.1199999999999999E-3</v>
          </cell>
          <cell r="BL1148">
            <v>-23.52</v>
          </cell>
          <cell r="BM1148">
            <v>0</v>
          </cell>
          <cell r="BN1148">
            <v>0</v>
          </cell>
          <cell r="BO1148">
            <v>6.4000000000000005E-4</v>
          </cell>
          <cell r="BP1148">
            <v>13.44</v>
          </cell>
          <cell r="BQ1148">
            <v>0</v>
          </cell>
          <cell r="BR1148">
            <v>0</v>
          </cell>
          <cell r="BS1148">
            <v>3.2000000000000003E-4</v>
          </cell>
          <cell r="BT1148">
            <v>6.72</v>
          </cell>
          <cell r="BU1148">
            <v>0</v>
          </cell>
          <cell r="BV1148">
            <v>0</v>
          </cell>
          <cell r="BW1148">
            <v>9.6000000000000002E-4</v>
          </cell>
          <cell r="BX1148">
            <v>19.79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1.248E-2</v>
          </cell>
          <cell r="CF1148">
            <v>222.77</v>
          </cell>
          <cell r="CG1148">
            <v>0</v>
          </cell>
          <cell r="CH1148">
            <v>0</v>
          </cell>
          <cell r="CI1148">
            <v>1.3440000000000001E-2</v>
          </cell>
          <cell r="CJ1148">
            <v>242.56</v>
          </cell>
          <cell r="CK1148">
            <v>1.3760000000000001E-2</v>
          </cell>
          <cell r="CL1148">
            <v>249.28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2.5600000000000002E-3</v>
          </cell>
          <cell r="CV1148">
            <v>53.76</v>
          </cell>
          <cell r="CW1148">
            <v>0</v>
          </cell>
          <cell r="CX1148">
            <v>0</v>
          </cell>
          <cell r="CY1148">
            <v>4.3520000000000003E-2</v>
          </cell>
          <cell r="CZ1148">
            <v>913.92</v>
          </cell>
          <cell r="DA1148">
            <v>0</v>
          </cell>
          <cell r="DB1148">
            <v>0</v>
          </cell>
          <cell r="DC1148">
            <v>2.5600000000000002E-3</v>
          </cell>
          <cell r="DD1148">
            <v>51.14</v>
          </cell>
          <cell r="DE1148">
            <v>4.6080000000000003E-2</v>
          </cell>
          <cell r="DF1148">
            <v>965.06</v>
          </cell>
          <cell r="DG1148">
            <v>3.2000000000000003E-4</v>
          </cell>
          <cell r="DH1148">
            <v>6.6</v>
          </cell>
          <cell r="DI1148">
            <v>0</v>
          </cell>
          <cell r="DJ1148">
            <v>0</v>
          </cell>
          <cell r="DK1148">
            <v>-3.2000000000000003E-4</v>
          </cell>
          <cell r="DL1148">
            <v>-6.8</v>
          </cell>
          <cell r="DM1148">
            <v>0</v>
          </cell>
          <cell r="DN1148">
            <v>-0.2</v>
          </cell>
          <cell r="DO1148">
            <v>1.2800000000000001E-3</v>
          </cell>
          <cell r="DP1148">
            <v>26.88</v>
          </cell>
          <cell r="DQ1148">
            <v>0</v>
          </cell>
          <cell r="DR1148">
            <v>0</v>
          </cell>
          <cell r="DS1148">
            <v>1.2800000000000001E-3</v>
          </cell>
          <cell r="DT1148">
            <v>26.88</v>
          </cell>
          <cell r="DU1148">
            <v>2.5600000000000002E-3</v>
          </cell>
          <cell r="DV1148">
            <v>53.76</v>
          </cell>
          <cell r="DW1148">
            <v>6.5600000000000006E-2</v>
          </cell>
          <cell r="DX1148">
            <v>1335.4199999999998</v>
          </cell>
          <cell r="DY1148" t="str">
            <v/>
          </cell>
          <cell r="DZ1148">
            <v>0</v>
          </cell>
          <cell r="EA1148">
            <v>20357.012195121948</v>
          </cell>
        </row>
        <row r="1149">
          <cell r="B1149">
            <v>303523</v>
          </cell>
          <cell r="C1149" t="str">
            <v>ულქერი_დანქექი_კექსი ქიშმიშით_160გ*8</v>
          </cell>
          <cell r="D1149" t="str">
            <v>TON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O1149">
            <v>0</v>
          </cell>
          <cell r="AP1149">
            <v>0</v>
          </cell>
          <cell r="AS1149">
            <v>0</v>
          </cell>
          <cell r="AT1149">
            <v>0</v>
          </cell>
          <cell r="AU1149">
            <v>6.8000000000000005E-2</v>
          </cell>
          <cell r="AV1149">
            <v>1387.36</v>
          </cell>
          <cell r="AW1149">
            <v>0</v>
          </cell>
          <cell r="AX1149">
            <v>0</v>
          </cell>
          <cell r="AY1149">
            <v>1.2800000000000001E-3</v>
          </cell>
          <cell r="AZ1149">
            <v>27.2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1.2800000000000001E-3</v>
          </cell>
          <cell r="BF1149">
            <v>27.2</v>
          </cell>
          <cell r="BG1149">
            <v>1.2800000000000001E-3</v>
          </cell>
          <cell r="BH1149">
            <v>26.88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6.4000000000000005E-4</v>
          </cell>
          <cell r="BP1149">
            <v>13.44</v>
          </cell>
          <cell r="BQ1149">
            <v>0</v>
          </cell>
          <cell r="BR1149">
            <v>0</v>
          </cell>
          <cell r="BS1149">
            <v>1.92E-3</v>
          </cell>
          <cell r="BT1149">
            <v>40.32</v>
          </cell>
          <cell r="BU1149">
            <v>6.4000000000000005E-4</v>
          </cell>
          <cell r="BV1149">
            <v>13.19</v>
          </cell>
          <cell r="BW1149">
            <v>9.6000000000000002E-4</v>
          </cell>
          <cell r="BX1149">
            <v>19.79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1.376E-2</v>
          </cell>
          <cell r="CF1149">
            <v>247.66</v>
          </cell>
          <cell r="CG1149">
            <v>0</v>
          </cell>
          <cell r="CH1149">
            <v>0</v>
          </cell>
          <cell r="CI1149">
            <v>1.536E-2</v>
          </cell>
          <cell r="CJ1149">
            <v>280.64</v>
          </cell>
          <cell r="CK1149">
            <v>1.728E-2</v>
          </cell>
          <cell r="CL1149">
            <v>320.95999999999998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1.2800000000000001E-3</v>
          </cell>
          <cell r="CV1149">
            <v>27.04</v>
          </cell>
          <cell r="CW1149">
            <v>0</v>
          </cell>
          <cell r="CX1149">
            <v>0</v>
          </cell>
          <cell r="CY1149">
            <v>4.7359999999999999E-2</v>
          </cell>
          <cell r="CZ1149">
            <v>995.52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4.7359999999999999E-2</v>
          </cell>
          <cell r="DF1149">
            <v>995.52</v>
          </cell>
          <cell r="DG1149">
            <v>3.2000000000000003E-4</v>
          </cell>
          <cell r="DH1149">
            <v>6.6</v>
          </cell>
          <cell r="DI1149">
            <v>6.4000000000000005E-4</v>
          </cell>
          <cell r="DJ1149">
            <v>13.44</v>
          </cell>
          <cell r="DK1149">
            <v>-1.6000000000000001E-4</v>
          </cell>
          <cell r="DL1149">
            <v>-3.4</v>
          </cell>
          <cell r="DM1149">
            <v>8.0000000000000004E-4</v>
          </cell>
          <cell r="DN1149">
            <v>16.64</v>
          </cell>
          <cell r="DO1149">
            <v>0</v>
          </cell>
          <cell r="DP1149">
            <v>0</v>
          </cell>
          <cell r="DQ1149">
            <v>0</v>
          </cell>
          <cell r="DR1149">
            <v>0</v>
          </cell>
          <cell r="DS1149">
            <v>1.2800000000000001E-3</v>
          </cell>
          <cell r="DT1149">
            <v>27.04</v>
          </cell>
          <cell r="DU1149">
            <v>1.2800000000000001E-3</v>
          </cell>
          <cell r="DV1149">
            <v>27.04</v>
          </cell>
          <cell r="DW1149">
            <v>6.8000000000000005E-2</v>
          </cell>
          <cell r="DX1149">
            <v>1387.3600000000001</v>
          </cell>
          <cell r="DY1149" t="str">
            <v/>
          </cell>
          <cell r="DZ1149">
            <v>0</v>
          </cell>
          <cell r="EA1149">
            <v>20402.352941176472</v>
          </cell>
        </row>
        <row r="1150">
          <cell r="B1150">
            <v>356069</v>
          </cell>
          <cell r="C1150" t="str">
            <v>ულქერი_კრისპი_ჩხირები_ცხარე_40გ*15</v>
          </cell>
          <cell r="D1150" t="str">
            <v>TON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O1150">
            <v>0</v>
          </cell>
          <cell r="AP1150">
            <v>0</v>
          </cell>
          <cell r="AS1150">
            <v>0</v>
          </cell>
          <cell r="AT1150">
            <v>0</v>
          </cell>
          <cell r="AU1150">
            <v>7.1999999999999998E-3</v>
          </cell>
          <cell r="AV1150">
            <v>162.56</v>
          </cell>
          <cell r="AW1150">
            <v>0</v>
          </cell>
          <cell r="AX1150">
            <v>0</v>
          </cell>
          <cell r="AY1150">
            <v>5.9999999999999995E-4</v>
          </cell>
          <cell r="AZ1150">
            <v>13.25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5.9999999999999995E-4</v>
          </cell>
          <cell r="BF1150">
            <v>13.25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1.8E-3</v>
          </cell>
          <cell r="CV1150">
            <v>41.4</v>
          </cell>
          <cell r="CW1150">
            <v>0</v>
          </cell>
          <cell r="CX1150">
            <v>0</v>
          </cell>
          <cell r="CY1150">
            <v>1.8E-3</v>
          </cell>
          <cell r="CZ1150">
            <v>41.4</v>
          </cell>
          <cell r="DA1150">
            <v>0</v>
          </cell>
          <cell r="DB1150">
            <v>0</v>
          </cell>
          <cell r="DC1150">
            <v>1.8E-3</v>
          </cell>
          <cell r="DD1150">
            <v>38.909999999999997</v>
          </cell>
          <cell r="DE1150">
            <v>3.5999999999999999E-3</v>
          </cell>
          <cell r="DF1150">
            <v>80.31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K1150">
            <v>1.1999999999999999E-3</v>
          </cell>
          <cell r="DL1150">
            <v>27.6</v>
          </cell>
          <cell r="DM1150">
            <v>1.1999999999999999E-3</v>
          </cell>
          <cell r="DN1150">
            <v>27.6</v>
          </cell>
          <cell r="DO1150">
            <v>0</v>
          </cell>
          <cell r="DP1150">
            <v>0</v>
          </cell>
          <cell r="DQ1150">
            <v>0</v>
          </cell>
          <cell r="DR1150">
            <v>0</v>
          </cell>
          <cell r="DS1150">
            <v>1.8E-3</v>
          </cell>
          <cell r="DT1150">
            <v>41.4</v>
          </cell>
          <cell r="DU1150">
            <v>1.8E-3</v>
          </cell>
          <cell r="DV1150">
            <v>41.4</v>
          </cell>
          <cell r="DW1150">
            <v>7.1999999999999998E-3</v>
          </cell>
          <cell r="DX1150">
            <v>162.56</v>
          </cell>
          <cell r="DY1150" t="str">
            <v/>
          </cell>
          <cell r="DZ1150">
            <v>0</v>
          </cell>
          <cell r="EA1150">
            <v>22577.777777777777</v>
          </cell>
        </row>
        <row r="1151">
          <cell r="A1151">
            <v>1E-3</v>
          </cell>
          <cell r="B1151">
            <v>362055</v>
          </cell>
          <cell r="C1151" t="str">
            <v>ულქერი_ტკბილეული_საახალწლო ნაკრები(0.288კგ)</v>
          </cell>
          <cell r="D1151" t="str">
            <v>TON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  <cell r="BO1151">
            <v>0</v>
          </cell>
          <cell r="BP1151">
            <v>0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O1151">
            <v>0</v>
          </cell>
          <cell r="CP1151">
            <v>0</v>
          </cell>
          <cell r="CQ1151">
            <v>0</v>
          </cell>
          <cell r="CR1151">
            <v>0</v>
          </cell>
          <cell r="CS1151">
            <v>0</v>
          </cell>
          <cell r="CT1151">
            <v>0</v>
          </cell>
          <cell r="CU1151">
            <v>0</v>
          </cell>
          <cell r="CV1151">
            <v>0</v>
          </cell>
          <cell r="CW1151">
            <v>0</v>
          </cell>
          <cell r="CX1151">
            <v>0</v>
          </cell>
          <cell r="CY1151">
            <v>0</v>
          </cell>
          <cell r="CZ1151">
            <v>0</v>
          </cell>
          <cell r="DA1151">
            <v>0</v>
          </cell>
          <cell r="DB1151">
            <v>0</v>
          </cell>
          <cell r="DC1151">
            <v>0</v>
          </cell>
          <cell r="DD1151">
            <v>0</v>
          </cell>
          <cell r="DE1151">
            <v>0</v>
          </cell>
          <cell r="DF1151">
            <v>0</v>
          </cell>
          <cell r="DG1151">
            <v>0</v>
          </cell>
          <cell r="DH1151">
            <v>0</v>
          </cell>
          <cell r="DI1151">
            <v>0</v>
          </cell>
          <cell r="DJ1151">
            <v>0</v>
          </cell>
          <cell r="DK1151">
            <v>0</v>
          </cell>
          <cell r="DL1151">
            <v>0</v>
          </cell>
          <cell r="DM1151">
            <v>0</v>
          </cell>
          <cell r="DN1151">
            <v>0</v>
          </cell>
          <cell r="DO1151">
            <v>0</v>
          </cell>
          <cell r="DP1151">
            <v>0</v>
          </cell>
          <cell r="DQ1151">
            <v>0</v>
          </cell>
          <cell r="DR1151">
            <v>0</v>
          </cell>
          <cell r="DS1151">
            <v>0</v>
          </cell>
          <cell r="DT1151">
            <v>0</v>
          </cell>
          <cell r="DU1151">
            <v>0</v>
          </cell>
          <cell r="DV1151">
            <v>0</v>
          </cell>
          <cell r="DW1151">
            <v>0</v>
          </cell>
          <cell r="DX1151">
            <v>0</v>
          </cell>
          <cell r="DY1151" t="str">
            <v/>
          </cell>
          <cell r="DZ1151" t="str">
            <v>pasiv</v>
          </cell>
          <cell r="EA1151" t="e">
            <v>#DIV/0!</v>
          </cell>
        </row>
        <row r="1152">
          <cell r="B1152">
            <v>305390</v>
          </cell>
          <cell r="C1152" t="str">
            <v>ულქერი_ოლალა_შოკ.ფილა_40გ*18</v>
          </cell>
          <cell r="D1152" t="str">
            <v>TON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O1152">
            <v>0</v>
          </cell>
          <cell r="AP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K1152">
            <v>0</v>
          </cell>
          <cell r="DL1152">
            <v>0</v>
          </cell>
          <cell r="DM1152">
            <v>0</v>
          </cell>
          <cell r="DN1152">
            <v>0</v>
          </cell>
          <cell r="DO1152">
            <v>0</v>
          </cell>
          <cell r="DP1152">
            <v>0</v>
          </cell>
          <cell r="DQ1152">
            <v>0</v>
          </cell>
          <cell r="DR1152">
            <v>0</v>
          </cell>
          <cell r="DS1152">
            <v>0</v>
          </cell>
          <cell r="DT1152">
            <v>0</v>
          </cell>
          <cell r="DU1152">
            <v>0</v>
          </cell>
          <cell r="DV1152">
            <v>0</v>
          </cell>
          <cell r="DW1152">
            <v>0</v>
          </cell>
          <cell r="DX1152">
            <v>0</v>
          </cell>
          <cell r="DY1152" t="str">
            <v/>
          </cell>
          <cell r="DZ1152" t="str">
            <v>pasiv</v>
          </cell>
          <cell r="EA1152" t="e">
            <v>#DIV/0!</v>
          </cell>
        </row>
        <row r="1153">
          <cell r="B1153">
            <v>305391</v>
          </cell>
          <cell r="C1153" t="str">
            <v>ულქერი_ოლალა_ნამცხვარი_ბანანით_70გ*12</v>
          </cell>
          <cell r="D1153" t="str">
            <v>TON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O1153">
            <v>0</v>
          </cell>
          <cell r="AP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  <cell r="BO1153">
            <v>0</v>
          </cell>
          <cell r="BP1153">
            <v>0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O1153">
            <v>0</v>
          </cell>
          <cell r="CP1153">
            <v>0</v>
          </cell>
          <cell r="CQ1153">
            <v>0</v>
          </cell>
          <cell r="CR1153">
            <v>0</v>
          </cell>
          <cell r="CS1153">
            <v>0</v>
          </cell>
          <cell r="CT1153">
            <v>0</v>
          </cell>
          <cell r="CU1153">
            <v>0</v>
          </cell>
          <cell r="CV1153">
            <v>0</v>
          </cell>
          <cell r="CW1153">
            <v>0</v>
          </cell>
          <cell r="CX1153">
            <v>0</v>
          </cell>
          <cell r="CY1153">
            <v>0</v>
          </cell>
          <cell r="CZ1153">
            <v>0</v>
          </cell>
          <cell r="DA1153">
            <v>0</v>
          </cell>
          <cell r="DB1153">
            <v>0</v>
          </cell>
          <cell r="DC1153">
            <v>0</v>
          </cell>
          <cell r="DD1153">
            <v>0</v>
          </cell>
          <cell r="DE1153">
            <v>0</v>
          </cell>
          <cell r="DF1153">
            <v>0</v>
          </cell>
          <cell r="DG1153">
            <v>0</v>
          </cell>
          <cell r="DH1153">
            <v>0</v>
          </cell>
          <cell r="DI1153">
            <v>0</v>
          </cell>
          <cell r="DJ1153">
            <v>0</v>
          </cell>
          <cell r="DK1153">
            <v>0</v>
          </cell>
          <cell r="DL1153">
            <v>0</v>
          </cell>
          <cell r="DM1153">
            <v>0</v>
          </cell>
          <cell r="DN1153">
            <v>0</v>
          </cell>
          <cell r="DO1153">
            <v>0</v>
          </cell>
          <cell r="DP1153">
            <v>0</v>
          </cell>
          <cell r="DQ1153">
            <v>0</v>
          </cell>
          <cell r="DR1153">
            <v>0</v>
          </cell>
          <cell r="DS1153">
            <v>0</v>
          </cell>
          <cell r="DT1153">
            <v>0</v>
          </cell>
          <cell r="DU1153">
            <v>0</v>
          </cell>
          <cell r="DV1153">
            <v>0</v>
          </cell>
          <cell r="DW1153">
            <v>0</v>
          </cell>
          <cell r="DX1153">
            <v>0</v>
          </cell>
          <cell r="DY1153" t="str">
            <v/>
          </cell>
          <cell r="DZ1153" t="str">
            <v>pasiv</v>
          </cell>
          <cell r="EA1153" t="e">
            <v>#DIV/0!</v>
          </cell>
        </row>
        <row r="1154">
          <cell r="B1154">
            <v>306352</v>
          </cell>
          <cell r="C1154" t="str">
            <v>ულქერი_მეტრო_რძ.შოკოლადი ნუგა_3კგ_KZ</v>
          </cell>
          <cell r="D1154" t="str">
            <v>TON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O1154">
            <v>0</v>
          </cell>
          <cell r="AP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O1154">
            <v>0</v>
          </cell>
          <cell r="CP1154">
            <v>0</v>
          </cell>
          <cell r="CQ1154">
            <v>0</v>
          </cell>
          <cell r="CR1154">
            <v>0</v>
          </cell>
          <cell r="CS1154">
            <v>0</v>
          </cell>
          <cell r="CT1154">
            <v>0</v>
          </cell>
          <cell r="CU1154">
            <v>0</v>
          </cell>
          <cell r="CV1154">
            <v>0</v>
          </cell>
          <cell r="CW1154">
            <v>0</v>
          </cell>
          <cell r="CX1154">
            <v>0</v>
          </cell>
          <cell r="CY1154">
            <v>0</v>
          </cell>
          <cell r="CZ1154">
            <v>0</v>
          </cell>
          <cell r="DA1154">
            <v>0</v>
          </cell>
          <cell r="DB1154">
            <v>0</v>
          </cell>
          <cell r="DC1154">
            <v>0</v>
          </cell>
          <cell r="DD1154">
            <v>0</v>
          </cell>
          <cell r="DE1154">
            <v>0</v>
          </cell>
          <cell r="DF1154">
            <v>0</v>
          </cell>
          <cell r="DG1154">
            <v>0</v>
          </cell>
          <cell r="DH1154">
            <v>0</v>
          </cell>
          <cell r="DI1154">
            <v>0</v>
          </cell>
          <cell r="DJ1154">
            <v>0</v>
          </cell>
          <cell r="DK1154">
            <v>0</v>
          </cell>
          <cell r="DL1154">
            <v>0</v>
          </cell>
          <cell r="DM1154">
            <v>0</v>
          </cell>
          <cell r="DN1154">
            <v>0</v>
          </cell>
          <cell r="DO1154">
            <v>0</v>
          </cell>
          <cell r="DP1154">
            <v>0</v>
          </cell>
          <cell r="DQ1154">
            <v>0</v>
          </cell>
          <cell r="DR1154">
            <v>0</v>
          </cell>
          <cell r="DS1154">
            <v>0</v>
          </cell>
          <cell r="DT1154">
            <v>0</v>
          </cell>
          <cell r="DU1154">
            <v>0</v>
          </cell>
          <cell r="DV1154">
            <v>0</v>
          </cell>
          <cell r="DW1154">
            <v>0</v>
          </cell>
          <cell r="DX1154">
            <v>0</v>
          </cell>
          <cell r="DY1154" t="str">
            <v/>
          </cell>
          <cell r="DZ1154" t="str">
            <v>pasiv</v>
          </cell>
          <cell r="EA1154" t="e">
            <v>#DIV/0!</v>
          </cell>
        </row>
        <row r="1155">
          <cell r="B1155">
            <v>306353</v>
          </cell>
          <cell r="C1155" t="str">
            <v>ულქერი_ალბენი-შოკ.ბისკვ კარამ_3კგ_KZ</v>
          </cell>
          <cell r="D1155" t="str">
            <v>TON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O1155">
            <v>0</v>
          </cell>
          <cell r="AP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  <cell r="BO1155">
            <v>0</v>
          </cell>
          <cell r="BP1155">
            <v>0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O1155">
            <v>0</v>
          </cell>
          <cell r="CP1155">
            <v>0</v>
          </cell>
          <cell r="CQ1155">
            <v>0</v>
          </cell>
          <cell r="CR1155">
            <v>0</v>
          </cell>
          <cell r="CS1155">
            <v>0</v>
          </cell>
          <cell r="CT1155">
            <v>0</v>
          </cell>
          <cell r="CU1155">
            <v>0</v>
          </cell>
          <cell r="CV1155">
            <v>0</v>
          </cell>
          <cell r="CW1155">
            <v>0</v>
          </cell>
          <cell r="CX1155">
            <v>0</v>
          </cell>
          <cell r="CY1155">
            <v>0</v>
          </cell>
          <cell r="CZ1155">
            <v>0</v>
          </cell>
          <cell r="DA1155">
            <v>0</v>
          </cell>
          <cell r="DB1155">
            <v>0</v>
          </cell>
          <cell r="DC1155">
            <v>0</v>
          </cell>
          <cell r="DD1155">
            <v>0</v>
          </cell>
          <cell r="DE1155">
            <v>0</v>
          </cell>
          <cell r="DF1155">
            <v>0</v>
          </cell>
          <cell r="DG1155">
            <v>0</v>
          </cell>
          <cell r="DH1155">
            <v>0</v>
          </cell>
          <cell r="DI1155">
            <v>0</v>
          </cell>
          <cell r="DJ1155">
            <v>0</v>
          </cell>
          <cell r="DK1155">
            <v>0</v>
          </cell>
          <cell r="DL1155">
            <v>0</v>
          </cell>
          <cell r="DM1155">
            <v>0</v>
          </cell>
          <cell r="DN1155">
            <v>0</v>
          </cell>
          <cell r="DO1155">
            <v>0</v>
          </cell>
          <cell r="DP1155">
            <v>0</v>
          </cell>
          <cell r="DQ1155">
            <v>0</v>
          </cell>
          <cell r="DR1155">
            <v>0</v>
          </cell>
          <cell r="DS1155">
            <v>0</v>
          </cell>
          <cell r="DT1155">
            <v>0</v>
          </cell>
          <cell r="DU1155">
            <v>0</v>
          </cell>
          <cell r="DV1155">
            <v>0</v>
          </cell>
          <cell r="DW1155">
            <v>0</v>
          </cell>
          <cell r="DX1155">
            <v>0</v>
          </cell>
          <cell r="DY1155" t="str">
            <v/>
          </cell>
          <cell r="DZ1155" t="str">
            <v>pasiv</v>
          </cell>
          <cell r="EA1155" t="e">
            <v>#DIV/0!</v>
          </cell>
        </row>
        <row r="1156">
          <cell r="B1156">
            <v>306354</v>
          </cell>
          <cell r="C1156" t="str">
            <v>ულქერი_ალბენი ბაითს_შოკ.კარამელ ბისკვ_3კგ_KZ</v>
          </cell>
          <cell r="D1156" t="str">
            <v>TON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O1156">
            <v>0</v>
          </cell>
          <cell r="AP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O1156">
            <v>0</v>
          </cell>
          <cell r="CP1156">
            <v>0</v>
          </cell>
          <cell r="CQ1156">
            <v>0</v>
          </cell>
          <cell r="CR1156">
            <v>0</v>
          </cell>
          <cell r="CS1156">
            <v>0</v>
          </cell>
          <cell r="CT1156">
            <v>0</v>
          </cell>
          <cell r="CU1156">
            <v>0</v>
          </cell>
          <cell r="CV1156">
            <v>0</v>
          </cell>
          <cell r="CW1156">
            <v>0</v>
          </cell>
          <cell r="CX1156">
            <v>0</v>
          </cell>
          <cell r="CY1156">
            <v>0</v>
          </cell>
          <cell r="CZ1156">
            <v>0</v>
          </cell>
          <cell r="DA1156">
            <v>0</v>
          </cell>
          <cell r="DB1156">
            <v>0</v>
          </cell>
          <cell r="DC1156">
            <v>0</v>
          </cell>
          <cell r="DD1156">
            <v>0</v>
          </cell>
          <cell r="DE1156">
            <v>0</v>
          </cell>
          <cell r="DF1156">
            <v>0</v>
          </cell>
          <cell r="DG1156">
            <v>0</v>
          </cell>
          <cell r="DH1156">
            <v>0</v>
          </cell>
          <cell r="DI1156">
            <v>0</v>
          </cell>
          <cell r="DJ1156">
            <v>0</v>
          </cell>
          <cell r="DK1156">
            <v>0</v>
          </cell>
          <cell r="DL1156">
            <v>0</v>
          </cell>
          <cell r="DM1156">
            <v>0</v>
          </cell>
          <cell r="DN1156">
            <v>0</v>
          </cell>
          <cell r="DO1156">
            <v>0</v>
          </cell>
          <cell r="DP1156">
            <v>0</v>
          </cell>
          <cell r="DQ1156">
            <v>0</v>
          </cell>
          <cell r="DR1156">
            <v>0</v>
          </cell>
          <cell r="DS1156">
            <v>0</v>
          </cell>
          <cell r="DT1156">
            <v>0</v>
          </cell>
          <cell r="DU1156">
            <v>0</v>
          </cell>
          <cell r="DV1156">
            <v>0</v>
          </cell>
          <cell r="DW1156">
            <v>0</v>
          </cell>
          <cell r="DX1156">
            <v>0</v>
          </cell>
          <cell r="DY1156" t="str">
            <v/>
          </cell>
          <cell r="DZ1156" t="str">
            <v>pasiv</v>
          </cell>
          <cell r="EA1156" t="e">
            <v>#DIV/0!</v>
          </cell>
        </row>
        <row r="1157">
          <cell r="B1157">
            <v>340925</v>
          </cell>
          <cell r="C1157" t="str">
            <v>ულქერი_რონდო_ბისკვ.მარწყვის კრემ_61გ*24</v>
          </cell>
          <cell r="D1157" t="str">
            <v>TON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O1157">
            <v>0</v>
          </cell>
          <cell r="AP1157">
            <v>0</v>
          </cell>
          <cell r="AS1157">
            <v>0</v>
          </cell>
          <cell r="AT1157">
            <v>0</v>
          </cell>
          <cell r="AU1157">
            <v>2.0434999999999998E-2</v>
          </cell>
          <cell r="AV1157">
            <v>307.41000000000003</v>
          </cell>
          <cell r="AW1157">
            <v>0</v>
          </cell>
          <cell r="AX1157">
            <v>0</v>
          </cell>
          <cell r="AY1157">
            <v>2.928E-3</v>
          </cell>
          <cell r="AZ1157">
            <v>44.69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2.928E-3</v>
          </cell>
          <cell r="BF1157">
            <v>44.69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  <cell r="BO1157">
            <v>0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1.464E-3</v>
          </cell>
          <cell r="BV1157">
            <v>22.12</v>
          </cell>
          <cell r="BW1157">
            <v>1.464E-3</v>
          </cell>
          <cell r="BX1157">
            <v>22.12</v>
          </cell>
          <cell r="BY1157">
            <v>0</v>
          </cell>
          <cell r="BZ1157">
            <v>0</v>
          </cell>
          <cell r="CA1157">
            <v>1.464E-3</v>
          </cell>
          <cell r="CB1157">
            <v>24</v>
          </cell>
          <cell r="CC1157">
            <v>0</v>
          </cell>
          <cell r="CD1157">
            <v>0</v>
          </cell>
          <cell r="CE1157">
            <v>4.3309999999999998E-3</v>
          </cell>
          <cell r="CF1157">
            <v>58.84</v>
          </cell>
          <cell r="CG1157">
            <v>0</v>
          </cell>
          <cell r="CH1157">
            <v>0</v>
          </cell>
          <cell r="CI1157">
            <v>8.7229999999999999E-3</v>
          </cell>
          <cell r="CJ1157">
            <v>127.08</v>
          </cell>
          <cell r="CK1157">
            <v>8.7229999999999999E-3</v>
          </cell>
          <cell r="CL1157">
            <v>127.08</v>
          </cell>
          <cell r="CO1157">
            <v>0</v>
          </cell>
          <cell r="CP1157">
            <v>0</v>
          </cell>
          <cell r="CQ1157">
            <v>0</v>
          </cell>
          <cell r="CR1157">
            <v>0</v>
          </cell>
          <cell r="CS1157">
            <v>0</v>
          </cell>
          <cell r="CT1157">
            <v>0</v>
          </cell>
          <cell r="CU1157">
            <v>2.928E-3</v>
          </cell>
          <cell r="CV1157">
            <v>44.16</v>
          </cell>
          <cell r="CW1157">
            <v>0</v>
          </cell>
          <cell r="CX1157">
            <v>0</v>
          </cell>
          <cell r="CY1157">
            <v>0</v>
          </cell>
          <cell r="CZ1157">
            <v>0</v>
          </cell>
          <cell r="DA1157">
            <v>2.928E-3</v>
          </cell>
          <cell r="DB1157">
            <v>48</v>
          </cell>
          <cell r="DC1157">
            <v>0</v>
          </cell>
          <cell r="DD1157">
            <v>0</v>
          </cell>
          <cell r="DE1157">
            <v>2.928E-3</v>
          </cell>
          <cell r="DF1157">
            <v>48</v>
          </cell>
          <cell r="DG1157">
            <v>0</v>
          </cell>
          <cell r="DH1157">
            <v>0</v>
          </cell>
          <cell r="DI1157">
            <v>1.464E-3</v>
          </cell>
          <cell r="DJ1157">
            <v>22.12</v>
          </cell>
          <cell r="DK1157">
            <v>1.464E-3</v>
          </cell>
          <cell r="DL1157">
            <v>21.36</v>
          </cell>
          <cell r="DM1157">
            <v>2.928E-3</v>
          </cell>
          <cell r="DN1157">
            <v>43.48</v>
          </cell>
          <cell r="DO1157">
            <v>0</v>
          </cell>
          <cell r="DP1157">
            <v>0</v>
          </cell>
          <cell r="DQ1157">
            <v>1.464E-3</v>
          </cell>
          <cell r="DR1157">
            <v>21.36</v>
          </cell>
          <cell r="DS1157">
            <v>1.464E-3</v>
          </cell>
          <cell r="DT1157">
            <v>22.8</v>
          </cell>
          <cell r="DU1157">
            <v>2.928E-3</v>
          </cell>
          <cell r="DV1157">
            <v>44.16</v>
          </cell>
          <cell r="DW1157">
            <v>2.0435000000000002E-2</v>
          </cell>
          <cell r="DX1157">
            <v>307.40999999999997</v>
          </cell>
          <cell r="DY1157" t="str">
            <v/>
          </cell>
          <cell r="DZ1157">
            <v>0</v>
          </cell>
          <cell r="EA1157">
            <v>15043.30804991436</v>
          </cell>
        </row>
        <row r="1158">
          <cell r="B1158">
            <v>343878</v>
          </cell>
          <cell r="C1158" t="str">
            <v>ულქერი_ბისკრემი_DOUBLE RUBI_100გ*18</v>
          </cell>
          <cell r="D1158" t="str">
            <v>TON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O1158">
            <v>0</v>
          </cell>
          <cell r="AP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O1158">
            <v>0</v>
          </cell>
          <cell r="CP1158">
            <v>0</v>
          </cell>
          <cell r="CQ1158">
            <v>0</v>
          </cell>
          <cell r="CR1158">
            <v>0</v>
          </cell>
          <cell r="CS1158">
            <v>0</v>
          </cell>
          <cell r="CT1158">
            <v>0</v>
          </cell>
          <cell r="CU1158">
            <v>0</v>
          </cell>
          <cell r="CV1158">
            <v>0</v>
          </cell>
          <cell r="CW1158">
            <v>0</v>
          </cell>
          <cell r="CX1158">
            <v>0</v>
          </cell>
          <cell r="CY1158">
            <v>0</v>
          </cell>
          <cell r="CZ1158">
            <v>0</v>
          </cell>
          <cell r="DA1158">
            <v>0</v>
          </cell>
          <cell r="DB1158">
            <v>0</v>
          </cell>
          <cell r="DC1158">
            <v>0</v>
          </cell>
          <cell r="DD1158">
            <v>0</v>
          </cell>
          <cell r="DE1158">
            <v>0</v>
          </cell>
          <cell r="DF1158">
            <v>0</v>
          </cell>
          <cell r="DG1158">
            <v>0</v>
          </cell>
          <cell r="DH1158">
            <v>0</v>
          </cell>
          <cell r="DI1158">
            <v>0</v>
          </cell>
          <cell r="DJ1158">
            <v>0</v>
          </cell>
          <cell r="DK1158">
            <v>0</v>
          </cell>
          <cell r="DL1158">
            <v>0</v>
          </cell>
          <cell r="DM1158">
            <v>0</v>
          </cell>
          <cell r="DN1158">
            <v>0</v>
          </cell>
          <cell r="DO1158">
            <v>0</v>
          </cell>
          <cell r="DP1158">
            <v>0</v>
          </cell>
          <cell r="DQ1158">
            <v>0</v>
          </cell>
          <cell r="DR1158">
            <v>0</v>
          </cell>
          <cell r="DS1158">
            <v>0</v>
          </cell>
          <cell r="DT1158">
            <v>0</v>
          </cell>
          <cell r="DU1158">
            <v>0</v>
          </cell>
          <cell r="DV1158">
            <v>0</v>
          </cell>
          <cell r="DW1158">
            <v>0</v>
          </cell>
          <cell r="DX1158">
            <v>0</v>
          </cell>
          <cell r="DY1158" t="str">
            <v/>
          </cell>
          <cell r="DZ1158" t="str">
            <v>pasiv</v>
          </cell>
          <cell r="EA1158" t="e">
            <v>#DIV/0!</v>
          </cell>
        </row>
        <row r="1159">
          <cell r="B1159">
            <v>333369</v>
          </cell>
          <cell r="C1159" t="str">
            <v>ულქერი_კრისპი_ჩხირები_ცხარე_43გ*15</v>
          </cell>
          <cell r="D1159" t="str">
            <v>TON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O1159">
            <v>0</v>
          </cell>
          <cell r="AP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O1159">
            <v>0</v>
          </cell>
          <cell r="CP1159">
            <v>0</v>
          </cell>
          <cell r="CQ1159">
            <v>0</v>
          </cell>
          <cell r="CR1159">
            <v>0</v>
          </cell>
          <cell r="CS1159">
            <v>0</v>
          </cell>
          <cell r="CT1159">
            <v>0</v>
          </cell>
          <cell r="CU1159">
            <v>0</v>
          </cell>
          <cell r="CV1159">
            <v>0</v>
          </cell>
          <cell r="CW1159">
            <v>0</v>
          </cell>
          <cell r="CX1159">
            <v>0</v>
          </cell>
          <cell r="CY1159">
            <v>0</v>
          </cell>
          <cell r="CZ1159">
            <v>0</v>
          </cell>
          <cell r="DA1159">
            <v>0</v>
          </cell>
          <cell r="DB1159">
            <v>0</v>
          </cell>
          <cell r="DC1159">
            <v>0</v>
          </cell>
          <cell r="DD1159">
            <v>0</v>
          </cell>
          <cell r="DE1159">
            <v>0</v>
          </cell>
          <cell r="DF1159">
            <v>0</v>
          </cell>
          <cell r="DG1159">
            <v>0</v>
          </cell>
          <cell r="DH1159">
            <v>0</v>
          </cell>
          <cell r="DI1159">
            <v>0</v>
          </cell>
          <cell r="DJ1159">
            <v>0</v>
          </cell>
          <cell r="DK1159">
            <v>0</v>
          </cell>
          <cell r="DL1159">
            <v>0</v>
          </cell>
          <cell r="DM1159">
            <v>0</v>
          </cell>
          <cell r="DN1159">
            <v>0</v>
          </cell>
          <cell r="DO1159">
            <v>0</v>
          </cell>
          <cell r="DP1159">
            <v>0</v>
          </cell>
          <cell r="DQ1159">
            <v>0</v>
          </cell>
          <cell r="DR1159">
            <v>0</v>
          </cell>
          <cell r="DS1159">
            <v>0</v>
          </cell>
          <cell r="DT1159">
            <v>0</v>
          </cell>
          <cell r="DU1159">
            <v>0</v>
          </cell>
          <cell r="DV1159">
            <v>0</v>
          </cell>
          <cell r="DW1159">
            <v>0</v>
          </cell>
          <cell r="DX1159">
            <v>0</v>
          </cell>
          <cell r="DY1159" t="str">
            <v/>
          </cell>
          <cell r="DZ1159" t="str">
            <v>pasiv</v>
          </cell>
          <cell r="EA1159" t="e">
            <v>#DIV/0!</v>
          </cell>
        </row>
        <row r="1160">
          <cell r="B1160">
            <v>307563</v>
          </cell>
          <cell r="C1160" t="str">
            <v>ულქერი_ალბენი_შოკ.კარამელ ბისკვ_500გ*12_KZ</v>
          </cell>
          <cell r="D1160" t="str">
            <v>TON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O1160">
            <v>0</v>
          </cell>
          <cell r="AP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O1160">
            <v>0</v>
          </cell>
          <cell r="CP1160">
            <v>0</v>
          </cell>
          <cell r="CQ1160">
            <v>0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G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  <cell r="DL1160">
            <v>0</v>
          </cell>
          <cell r="DM1160">
            <v>0</v>
          </cell>
          <cell r="DN1160">
            <v>0</v>
          </cell>
          <cell r="DO1160">
            <v>0</v>
          </cell>
          <cell r="DP1160">
            <v>0</v>
          </cell>
          <cell r="DQ1160">
            <v>0</v>
          </cell>
          <cell r="DR1160">
            <v>0</v>
          </cell>
          <cell r="DS1160">
            <v>0</v>
          </cell>
          <cell r="DT1160">
            <v>0</v>
          </cell>
          <cell r="DU1160">
            <v>0</v>
          </cell>
          <cell r="DV1160">
            <v>0</v>
          </cell>
          <cell r="DW1160">
            <v>0</v>
          </cell>
          <cell r="DX1160">
            <v>0</v>
          </cell>
          <cell r="DY1160" t="str">
            <v/>
          </cell>
          <cell r="DZ1160" t="str">
            <v>pasiv</v>
          </cell>
          <cell r="EA1160" t="e">
            <v>#DIV/0!</v>
          </cell>
        </row>
        <row r="1161">
          <cell r="B1161">
            <v>307902</v>
          </cell>
          <cell r="C1161" t="str">
            <v>ულქერი_ჰელი_სენდვიჩი ზეფირი_360გ*10_KZ</v>
          </cell>
          <cell r="D1161" t="str">
            <v>TON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-1.4400000000000001E-3</v>
          </cell>
          <cell r="AD1161">
            <v>-25.76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O1161">
            <v>-1.4400000000000001E-3</v>
          </cell>
          <cell r="AP1161">
            <v>-25.76</v>
          </cell>
          <cell r="AS1161">
            <v>0</v>
          </cell>
          <cell r="AT1161">
            <v>0</v>
          </cell>
          <cell r="AU1161">
            <v>-2.16E-3</v>
          </cell>
          <cell r="AV1161">
            <v>-38.880000000000003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-7.2000000000000005E-4</v>
          </cell>
          <cell r="CD1161">
            <v>-13.12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-7.2000000000000005E-4</v>
          </cell>
          <cell r="CJ1161">
            <v>-13.12</v>
          </cell>
          <cell r="CK1161">
            <v>-7.2000000000000005E-4</v>
          </cell>
          <cell r="CL1161">
            <v>-13.12</v>
          </cell>
          <cell r="CO1161">
            <v>0</v>
          </cell>
          <cell r="CP1161">
            <v>0</v>
          </cell>
          <cell r="CQ1161">
            <v>0</v>
          </cell>
          <cell r="CR1161">
            <v>0</v>
          </cell>
          <cell r="CS1161">
            <v>0</v>
          </cell>
          <cell r="CT1161">
            <v>0</v>
          </cell>
          <cell r="CU1161">
            <v>0</v>
          </cell>
          <cell r="CV1161">
            <v>0</v>
          </cell>
          <cell r="CW1161">
            <v>0</v>
          </cell>
          <cell r="CX1161">
            <v>0</v>
          </cell>
          <cell r="CY1161">
            <v>0</v>
          </cell>
          <cell r="CZ1161">
            <v>0</v>
          </cell>
          <cell r="DA1161">
            <v>0</v>
          </cell>
          <cell r="DB1161">
            <v>0</v>
          </cell>
          <cell r="DC1161">
            <v>0</v>
          </cell>
          <cell r="DD1161">
            <v>0</v>
          </cell>
          <cell r="DE1161">
            <v>0</v>
          </cell>
          <cell r="DF1161">
            <v>0</v>
          </cell>
          <cell r="DG1161">
            <v>0</v>
          </cell>
          <cell r="DH1161">
            <v>0</v>
          </cell>
          <cell r="DI1161">
            <v>0</v>
          </cell>
          <cell r="DJ1161">
            <v>0</v>
          </cell>
          <cell r="DK1161">
            <v>0</v>
          </cell>
          <cell r="DL1161">
            <v>0</v>
          </cell>
          <cell r="DM1161">
            <v>0</v>
          </cell>
          <cell r="DN1161">
            <v>0</v>
          </cell>
          <cell r="DO1161">
            <v>0</v>
          </cell>
          <cell r="DP1161">
            <v>0</v>
          </cell>
          <cell r="DQ1161">
            <v>0</v>
          </cell>
          <cell r="DR1161">
            <v>0</v>
          </cell>
          <cell r="DS1161">
            <v>0</v>
          </cell>
          <cell r="DT1161">
            <v>0</v>
          </cell>
          <cell r="DU1161">
            <v>0</v>
          </cell>
          <cell r="DV1161">
            <v>0</v>
          </cell>
          <cell r="DW1161">
            <v>-2.16E-3</v>
          </cell>
          <cell r="DX1161">
            <v>-38.880000000000003</v>
          </cell>
          <cell r="DY1161" t="str">
            <v/>
          </cell>
          <cell r="DZ1161">
            <v>0</v>
          </cell>
          <cell r="EA1161">
            <v>18000</v>
          </cell>
        </row>
        <row r="1162">
          <cell r="B1162">
            <v>308063</v>
          </cell>
          <cell r="C1162" t="str">
            <v>ულქერი_ბისკრემი_ალუბ.ბისკვიტი შოკ.კრემ_90გ*18</v>
          </cell>
          <cell r="D1162" t="str">
            <v>TON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O1162">
            <v>0</v>
          </cell>
          <cell r="AP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0</v>
          </cell>
          <cell r="CB1162">
            <v>0</v>
          </cell>
          <cell r="CC1162">
            <v>0</v>
          </cell>
          <cell r="CD1162">
            <v>0</v>
          </cell>
          <cell r="CE1162">
            <v>0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O1162">
            <v>0</v>
          </cell>
          <cell r="CP1162">
            <v>0</v>
          </cell>
          <cell r="CQ1162">
            <v>0</v>
          </cell>
          <cell r="CR1162">
            <v>0</v>
          </cell>
          <cell r="CS1162">
            <v>0</v>
          </cell>
          <cell r="CT1162">
            <v>0</v>
          </cell>
          <cell r="CU1162">
            <v>0</v>
          </cell>
          <cell r="CV1162">
            <v>0</v>
          </cell>
          <cell r="CW1162">
            <v>0</v>
          </cell>
          <cell r="CX1162">
            <v>0</v>
          </cell>
          <cell r="CY1162">
            <v>0</v>
          </cell>
          <cell r="CZ1162">
            <v>0</v>
          </cell>
          <cell r="DA1162">
            <v>0</v>
          </cell>
          <cell r="DB1162">
            <v>0</v>
          </cell>
          <cell r="DC1162">
            <v>0</v>
          </cell>
          <cell r="DD1162">
            <v>0</v>
          </cell>
          <cell r="DE1162">
            <v>0</v>
          </cell>
          <cell r="DF1162">
            <v>0</v>
          </cell>
          <cell r="DG1162">
            <v>0</v>
          </cell>
          <cell r="DH1162">
            <v>0</v>
          </cell>
          <cell r="DI1162">
            <v>0</v>
          </cell>
          <cell r="DJ1162">
            <v>0</v>
          </cell>
          <cell r="DK1162">
            <v>0</v>
          </cell>
          <cell r="DL1162">
            <v>0</v>
          </cell>
          <cell r="DM1162">
            <v>0</v>
          </cell>
          <cell r="DN1162">
            <v>0</v>
          </cell>
          <cell r="DO1162">
            <v>0</v>
          </cell>
          <cell r="DP1162">
            <v>0</v>
          </cell>
          <cell r="DQ1162">
            <v>0</v>
          </cell>
          <cell r="DR1162">
            <v>0</v>
          </cell>
          <cell r="DS1162">
            <v>0</v>
          </cell>
          <cell r="DT1162">
            <v>0</v>
          </cell>
          <cell r="DU1162">
            <v>0</v>
          </cell>
          <cell r="DV1162">
            <v>0</v>
          </cell>
          <cell r="DW1162">
            <v>0</v>
          </cell>
          <cell r="DX1162">
            <v>0</v>
          </cell>
          <cell r="DY1162" t="str">
            <v/>
          </cell>
          <cell r="DZ1162" t="str">
            <v>pasiv</v>
          </cell>
          <cell r="EA1162" t="e">
            <v>#DIV/0!</v>
          </cell>
        </row>
        <row r="1163">
          <cell r="B1163">
            <v>329313</v>
          </cell>
          <cell r="C1163" t="str">
            <v>ულქერი_ალბენი_რძიანი შოკოლადი_252გ*12_KZ</v>
          </cell>
          <cell r="D1163" t="str">
            <v>TON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8.9599999999999992E-3</v>
          </cell>
          <cell r="AD1163">
            <v>176.4</v>
          </cell>
          <cell r="AE1163">
            <v>0</v>
          </cell>
          <cell r="AF1163">
            <v>0</v>
          </cell>
          <cell r="AG1163">
            <v>1.2800000000000001E-3</v>
          </cell>
          <cell r="AH1163">
            <v>25.2</v>
          </cell>
          <cell r="AI1163">
            <v>6.7200000000000003E-3</v>
          </cell>
          <cell r="AJ1163">
            <v>132.30000000000001</v>
          </cell>
          <cell r="AK1163">
            <v>2.8800000000000002E-3</v>
          </cell>
          <cell r="AL1163">
            <v>56.7</v>
          </cell>
          <cell r="AO1163">
            <v>1.984E-2</v>
          </cell>
          <cell r="AP1163">
            <v>390.59999999999997</v>
          </cell>
          <cell r="AS1163">
            <v>0</v>
          </cell>
          <cell r="AT1163">
            <v>0</v>
          </cell>
          <cell r="AU1163">
            <v>0.1376</v>
          </cell>
          <cell r="AV1163">
            <v>2394.66</v>
          </cell>
          <cell r="AW1163">
            <v>0</v>
          </cell>
          <cell r="AX1163">
            <v>0</v>
          </cell>
          <cell r="AY1163">
            <v>3.8400000000000001E-3</v>
          </cell>
          <cell r="AZ1163">
            <v>72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3.8400000000000001E-3</v>
          </cell>
          <cell r="BF1163">
            <v>72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1.92E-3</v>
          </cell>
          <cell r="BN1163">
            <v>37.799999999999997</v>
          </cell>
          <cell r="BO1163">
            <v>6.4000000000000005E-4</v>
          </cell>
          <cell r="BP1163">
            <v>12.6</v>
          </cell>
          <cell r="BQ1163">
            <v>0</v>
          </cell>
          <cell r="BR1163">
            <v>0</v>
          </cell>
          <cell r="BS1163">
            <v>2.5600000000000002E-3</v>
          </cell>
          <cell r="BT1163">
            <v>50.4</v>
          </cell>
          <cell r="BU1163">
            <v>7.6800000000000002E-3</v>
          </cell>
          <cell r="BV1163">
            <v>140.76</v>
          </cell>
          <cell r="BW1163">
            <v>7.6800000000000002E-3</v>
          </cell>
          <cell r="BX1163">
            <v>141.84</v>
          </cell>
          <cell r="BY1163">
            <v>8.3199999999999993E-3</v>
          </cell>
          <cell r="BZ1163">
            <v>147.96</v>
          </cell>
          <cell r="CA1163">
            <v>5.7600000000000004E-3</v>
          </cell>
          <cell r="CB1163">
            <v>113.4</v>
          </cell>
          <cell r="CC1163">
            <v>0</v>
          </cell>
          <cell r="CD1163">
            <v>0</v>
          </cell>
          <cell r="CE1163">
            <v>6.9440000000000002E-2</v>
          </cell>
          <cell r="CF1163">
            <v>1113</v>
          </cell>
          <cell r="CG1163">
            <v>0</v>
          </cell>
          <cell r="CH1163">
            <v>0</v>
          </cell>
          <cell r="CI1163">
            <v>9.8879999999999996E-2</v>
          </cell>
          <cell r="CJ1163">
            <v>1656.96</v>
          </cell>
          <cell r="CK1163">
            <v>0.10144</v>
          </cell>
          <cell r="CL1163">
            <v>1707.3600000000001</v>
          </cell>
          <cell r="CO1163">
            <v>0</v>
          </cell>
          <cell r="CP1163">
            <v>0</v>
          </cell>
          <cell r="CQ1163">
            <v>0</v>
          </cell>
          <cell r="CR1163">
            <v>0</v>
          </cell>
          <cell r="CS1163">
            <v>0</v>
          </cell>
          <cell r="CT1163">
            <v>0</v>
          </cell>
          <cell r="CU1163">
            <v>5.4400000000000004E-3</v>
          </cell>
          <cell r="CV1163">
            <v>90</v>
          </cell>
          <cell r="CW1163">
            <v>0</v>
          </cell>
          <cell r="CX1163">
            <v>0</v>
          </cell>
          <cell r="CY1163">
            <v>0</v>
          </cell>
          <cell r="CZ1163">
            <v>0</v>
          </cell>
          <cell r="DA1163">
            <v>1.6000000000000001E-3</v>
          </cell>
          <cell r="DB1163">
            <v>30</v>
          </cell>
          <cell r="DC1163">
            <v>1.92E-3</v>
          </cell>
          <cell r="DD1163">
            <v>36</v>
          </cell>
          <cell r="DE1163">
            <v>3.5200000000000001E-3</v>
          </cell>
          <cell r="DF1163">
            <v>66</v>
          </cell>
          <cell r="DG1163">
            <v>0</v>
          </cell>
          <cell r="DH1163">
            <v>0</v>
          </cell>
          <cell r="DI1163">
            <v>1.6000000000000001E-3</v>
          </cell>
          <cell r="DJ1163">
            <v>31.5</v>
          </cell>
          <cell r="DK1163">
            <v>1.92E-3</v>
          </cell>
          <cell r="DL1163">
            <v>37.200000000000003</v>
          </cell>
          <cell r="DM1163">
            <v>3.5200000000000001E-3</v>
          </cell>
          <cell r="DN1163">
            <v>68.7</v>
          </cell>
          <cell r="DO1163">
            <v>1.6000000000000001E-3</v>
          </cell>
          <cell r="DP1163">
            <v>30</v>
          </cell>
          <cell r="DQ1163">
            <v>0</v>
          </cell>
          <cell r="DR1163">
            <v>0</v>
          </cell>
          <cell r="DS1163">
            <v>3.8400000000000001E-3</v>
          </cell>
          <cell r="DT1163">
            <v>60</v>
          </cell>
          <cell r="DU1163">
            <v>5.4400000000000004E-3</v>
          </cell>
          <cell r="DV1163">
            <v>90</v>
          </cell>
          <cell r="DW1163">
            <v>0.1376</v>
          </cell>
          <cell r="DX1163">
            <v>2394.6600000000003</v>
          </cell>
          <cell r="DY1163" t="str">
            <v/>
          </cell>
          <cell r="DZ1163">
            <v>0</v>
          </cell>
          <cell r="EA1163">
            <v>17403.052325581397</v>
          </cell>
        </row>
        <row r="1164">
          <cell r="B1164">
            <v>310498</v>
          </cell>
          <cell r="C1164" t="str">
            <v>ულქერი_ონეო_14გ*27*6_მენთოლ.პიტნ_უშაქრო_საღეჭი რეზ</v>
          </cell>
          <cell r="D1164" t="str">
            <v>TON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O1164">
            <v>0</v>
          </cell>
          <cell r="AP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  <cell r="BO1164">
            <v>0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O1164">
            <v>0</v>
          </cell>
          <cell r="CP1164">
            <v>0</v>
          </cell>
          <cell r="CQ1164">
            <v>0</v>
          </cell>
          <cell r="CR1164">
            <v>0</v>
          </cell>
          <cell r="CS1164">
            <v>0</v>
          </cell>
          <cell r="CT1164">
            <v>0</v>
          </cell>
          <cell r="CU1164">
            <v>0</v>
          </cell>
          <cell r="CV1164">
            <v>0</v>
          </cell>
          <cell r="CW1164">
            <v>0</v>
          </cell>
          <cell r="CX1164">
            <v>0</v>
          </cell>
          <cell r="CY1164">
            <v>0</v>
          </cell>
          <cell r="CZ1164">
            <v>0</v>
          </cell>
          <cell r="DA1164">
            <v>0</v>
          </cell>
          <cell r="DB1164">
            <v>0</v>
          </cell>
          <cell r="DC1164">
            <v>0</v>
          </cell>
          <cell r="DD1164">
            <v>0</v>
          </cell>
          <cell r="DE1164">
            <v>0</v>
          </cell>
          <cell r="DF1164">
            <v>0</v>
          </cell>
          <cell r="DG1164">
            <v>0</v>
          </cell>
          <cell r="DH1164">
            <v>0</v>
          </cell>
          <cell r="DI1164">
            <v>0</v>
          </cell>
          <cell r="DJ1164">
            <v>0</v>
          </cell>
          <cell r="DK1164">
            <v>0</v>
          </cell>
          <cell r="DL1164">
            <v>0</v>
          </cell>
          <cell r="DM1164">
            <v>0</v>
          </cell>
          <cell r="DN1164">
            <v>0</v>
          </cell>
          <cell r="DO1164">
            <v>0</v>
          </cell>
          <cell r="DP1164">
            <v>0</v>
          </cell>
          <cell r="DQ1164">
            <v>0</v>
          </cell>
          <cell r="DR1164">
            <v>0</v>
          </cell>
          <cell r="DS1164">
            <v>0</v>
          </cell>
          <cell r="DT1164">
            <v>0</v>
          </cell>
          <cell r="DU1164">
            <v>0</v>
          </cell>
          <cell r="DV1164">
            <v>0</v>
          </cell>
          <cell r="DW1164">
            <v>0</v>
          </cell>
          <cell r="DX1164">
            <v>0</v>
          </cell>
          <cell r="DY1164" t="str">
            <v/>
          </cell>
          <cell r="DZ1164" t="str">
            <v>pasiv</v>
          </cell>
          <cell r="EA1164" t="e">
            <v>#DIV/0!</v>
          </cell>
        </row>
        <row r="1165">
          <cell r="B1165">
            <v>313829</v>
          </cell>
          <cell r="C1165" t="str">
            <v>ულქერი_ონეო_14გ*27*6_საზამთრო_უშაქრო_საღეჭი რეზ</v>
          </cell>
          <cell r="D1165" t="str">
            <v>TON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O1165">
            <v>0</v>
          </cell>
          <cell r="AP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K1165">
            <v>0</v>
          </cell>
          <cell r="DL1165">
            <v>0</v>
          </cell>
          <cell r="DM1165">
            <v>0</v>
          </cell>
          <cell r="DN1165">
            <v>0</v>
          </cell>
          <cell r="DO1165">
            <v>0</v>
          </cell>
          <cell r="DP1165">
            <v>0</v>
          </cell>
          <cell r="DQ1165">
            <v>0</v>
          </cell>
          <cell r="DR1165">
            <v>0</v>
          </cell>
          <cell r="DS1165">
            <v>0</v>
          </cell>
          <cell r="DT1165">
            <v>0</v>
          </cell>
          <cell r="DU1165">
            <v>0</v>
          </cell>
          <cell r="DV1165">
            <v>0</v>
          </cell>
          <cell r="DW1165">
            <v>0</v>
          </cell>
          <cell r="DX1165">
            <v>0</v>
          </cell>
          <cell r="DY1165" t="str">
            <v/>
          </cell>
          <cell r="DZ1165" t="str">
            <v>pasiv</v>
          </cell>
          <cell r="EA1165" t="e">
            <v>#DIV/0!</v>
          </cell>
        </row>
        <row r="1166">
          <cell r="B1166">
            <v>313834</v>
          </cell>
          <cell r="C1166" t="str">
            <v>ულქერი_ონეო_14გ*27*6_მწვ.პიტნა_უშაქრო_საღეჭი რეზ</v>
          </cell>
          <cell r="D1166" t="str">
            <v>TON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O1166">
            <v>0</v>
          </cell>
          <cell r="AP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K1166">
            <v>0</v>
          </cell>
          <cell r="DL1166">
            <v>0</v>
          </cell>
          <cell r="DM1166">
            <v>0</v>
          </cell>
          <cell r="DN1166">
            <v>0</v>
          </cell>
          <cell r="DO1166">
            <v>0</v>
          </cell>
          <cell r="DP1166">
            <v>0</v>
          </cell>
          <cell r="DQ1166">
            <v>0</v>
          </cell>
          <cell r="DR1166">
            <v>0</v>
          </cell>
          <cell r="DS1166">
            <v>0</v>
          </cell>
          <cell r="DT1166">
            <v>0</v>
          </cell>
          <cell r="DU1166">
            <v>0</v>
          </cell>
          <cell r="DV1166">
            <v>0</v>
          </cell>
          <cell r="DW1166">
            <v>0</v>
          </cell>
          <cell r="DX1166">
            <v>0</v>
          </cell>
          <cell r="DY1166" t="str">
            <v/>
          </cell>
          <cell r="DZ1166" t="str">
            <v>pasiv</v>
          </cell>
          <cell r="EA1166" t="e">
            <v>#DIV/0!</v>
          </cell>
        </row>
        <row r="1167">
          <cell r="B1167">
            <v>303567</v>
          </cell>
          <cell r="C1167" t="str">
            <v>ულქერი_დანქექ_8ქექ_შოკ.ბანან_55გ*24</v>
          </cell>
          <cell r="D1167" t="str">
            <v>TON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O1167">
            <v>0</v>
          </cell>
          <cell r="AP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  <cell r="DL1167">
            <v>0</v>
          </cell>
          <cell r="DM1167">
            <v>0</v>
          </cell>
          <cell r="DN1167">
            <v>0</v>
          </cell>
          <cell r="DO1167">
            <v>0</v>
          </cell>
          <cell r="DP1167">
            <v>0</v>
          </cell>
          <cell r="DQ1167">
            <v>0</v>
          </cell>
          <cell r="DR1167">
            <v>0</v>
          </cell>
          <cell r="DS1167">
            <v>0</v>
          </cell>
          <cell r="DT1167">
            <v>0</v>
          </cell>
          <cell r="DU1167">
            <v>0</v>
          </cell>
          <cell r="DV1167">
            <v>0</v>
          </cell>
          <cell r="DW1167">
            <v>0</v>
          </cell>
          <cell r="DX1167">
            <v>0</v>
          </cell>
          <cell r="DY1167" t="str">
            <v/>
          </cell>
          <cell r="DZ1167" t="str">
            <v>pasiv</v>
          </cell>
          <cell r="EA1167" t="e">
            <v>#DIV/0!</v>
          </cell>
        </row>
        <row r="1168">
          <cell r="B1168">
            <v>303689</v>
          </cell>
          <cell r="C1168" t="str">
            <v>ულქერი_საქლიქოი_ორცხ.შოკ.რძ.კრემით_100გ*24</v>
          </cell>
          <cell r="D1168" t="str">
            <v>TON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O1168">
            <v>0</v>
          </cell>
          <cell r="AP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  <cell r="DL1168">
            <v>0</v>
          </cell>
          <cell r="DM1168">
            <v>0</v>
          </cell>
          <cell r="DN1168">
            <v>0</v>
          </cell>
          <cell r="DO1168">
            <v>0</v>
          </cell>
          <cell r="DP1168">
            <v>0</v>
          </cell>
          <cell r="DQ1168">
            <v>0</v>
          </cell>
          <cell r="DR1168">
            <v>0</v>
          </cell>
          <cell r="DS1168">
            <v>0</v>
          </cell>
          <cell r="DT1168">
            <v>0</v>
          </cell>
          <cell r="DU1168">
            <v>0</v>
          </cell>
          <cell r="DV1168">
            <v>0</v>
          </cell>
          <cell r="DW1168">
            <v>0</v>
          </cell>
          <cell r="DX1168">
            <v>0</v>
          </cell>
          <cell r="DY1168" t="str">
            <v/>
          </cell>
          <cell r="DZ1168" t="str">
            <v>pasiv</v>
          </cell>
          <cell r="EA1168" t="e">
            <v>#DIV/0!</v>
          </cell>
        </row>
        <row r="1169">
          <cell r="B1169">
            <v>304881</v>
          </cell>
          <cell r="C1169" t="str">
            <v>ულქერი_მეტრო_რძიანი შოკოლადი_40გ*24*6</v>
          </cell>
          <cell r="D1169" t="str">
            <v>TON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O1169">
            <v>0</v>
          </cell>
          <cell r="AP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  <cell r="DL1169">
            <v>0</v>
          </cell>
          <cell r="DM1169">
            <v>0</v>
          </cell>
          <cell r="DN1169">
            <v>0</v>
          </cell>
          <cell r="DO1169">
            <v>0</v>
          </cell>
          <cell r="DP1169">
            <v>0</v>
          </cell>
          <cell r="DQ1169">
            <v>0</v>
          </cell>
          <cell r="DR1169">
            <v>0</v>
          </cell>
          <cell r="DS1169">
            <v>0</v>
          </cell>
          <cell r="DT1169">
            <v>0</v>
          </cell>
          <cell r="DU1169">
            <v>0</v>
          </cell>
          <cell r="DV1169">
            <v>0</v>
          </cell>
          <cell r="DW1169">
            <v>0</v>
          </cell>
          <cell r="DX1169">
            <v>0</v>
          </cell>
          <cell r="DY1169" t="str">
            <v/>
          </cell>
          <cell r="DZ1169" t="str">
            <v>pasiv</v>
          </cell>
          <cell r="EA1169" t="e">
            <v>#DIV/0!</v>
          </cell>
        </row>
        <row r="1170">
          <cell r="B1170">
            <v>304882</v>
          </cell>
          <cell r="C1170" t="str">
            <v>ულქერი_ლავივა_შოკოლადი_35გ*24*6</v>
          </cell>
          <cell r="D1170" t="str">
            <v>TON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O1170">
            <v>0</v>
          </cell>
          <cell r="AP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  <cell r="DL1170">
            <v>0</v>
          </cell>
          <cell r="DM1170">
            <v>0</v>
          </cell>
          <cell r="DN1170">
            <v>0</v>
          </cell>
          <cell r="DO1170">
            <v>0</v>
          </cell>
          <cell r="DP1170">
            <v>0</v>
          </cell>
          <cell r="DQ1170">
            <v>0</v>
          </cell>
          <cell r="DR1170">
            <v>0</v>
          </cell>
          <cell r="DS1170">
            <v>0</v>
          </cell>
          <cell r="DT1170">
            <v>0</v>
          </cell>
          <cell r="DU1170">
            <v>0</v>
          </cell>
          <cell r="DV1170">
            <v>0</v>
          </cell>
          <cell r="DW1170">
            <v>0</v>
          </cell>
          <cell r="DX1170">
            <v>0</v>
          </cell>
          <cell r="DY1170" t="str">
            <v/>
          </cell>
          <cell r="DZ1170" t="str">
            <v>pasiv</v>
          </cell>
          <cell r="EA1170" t="e">
            <v>#DIV/0!</v>
          </cell>
        </row>
        <row r="1171">
          <cell r="B1171">
            <v>304990</v>
          </cell>
          <cell r="C1171" t="str">
            <v>ულქერი_ალბენი_რძიანი შოკოლადი_252გ*12</v>
          </cell>
          <cell r="D1171" t="str">
            <v>TON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O1171">
            <v>0</v>
          </cell>
          <cell r="AP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  <cell r="DL1171">
            <v>0</v>
          </cell>
          <cell r="DM1171">
            <v>0</v>
          </cell>
          <cell r="DN1171">
            <v>0</v>
          </cell>
          <cell r="DO1171">
            <v>0</v>
          </cell>
          <cell r="DP1171">
            <v>0</v>
          </cell>
          <cell r="DQ1171">
            <v>0</v>
          </cell>
          <cell r="DR1171">
            <v>0</v>
          </cell>
          <cell r="DS1171">
            <v>0</v>
          </cell>
          <cell r="DT1171">
            <v>0</v>
          </cell>
          <cell r="DU1171">
            <v>0</v>
          </cell>
          <cell r="DV1171">
            <v>0</v>
          </cell>
          <cell r="DW1171">
            <v>0</v>
          </cell>
          <cell r="DX1171">
            <v>0</v>
          </cell>
          <cell r="DY1171" t="str">
            <v/>
          </cell>
          <cell r="DZ1171" t="str">
            <v>pasiv</v>
          </cell>
          <cell r="EA1171" t="e">
            <v>#DIV/0!</v>
          </cell>
        </row>
        <row r="1172">
          <cell r="B1172">
            <v>305363</v>
          </cell>
          <cell r="C1172" t="str">
            <v>ულქერი_ვაფლი შოკოლადით_40გ*36*6</v>
          </cell>
          <cell r="D1172" t="str">
            <v>TON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O1172">
            <v>0</v>
          </cell>
          <cell r="AP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  <cell r="DL1172">
            <v>0</v>
          </cell>
          <cell r="DM1172">
            <v>0</v>
          </cell>
          <cell r="DN1172">
            <v>0</v>
          </cell>
          <cell r="DO1172">
            <v>0</v>
          </cell>
          <cell r="DP1172">
            <v>0</v>
          </cell>
          <cell r="DQ1172">
            <v>0</v>
          </cell>
          <cell r="DR1172">
            <v>0</v>
          </cell>
          <cell r="DS1172">
            <v>0</v>
          </cell>
          <cell r="DT1172">
            <v>0</v>
          </cell>
          <cell r="DU1172">
            <v>0</v>
          </cell>
          <cell r="DV1172">
            <v>0</v>
          </cell>
          <cell r="DW1172">
            <v>0</v>
          </cell>
          <cell r="DX1172">
            <v>0</v>
          </cell>
          <cell r="DY1172" t="str">
            <v/>
          </cell>
          <cell r="DZ1172" t="str">
            <v>pasiv</v>
          </cell>
          <cell r="EA1172" t="e">
            <v>#DIV/0!</v>
          </cell>
        </row>
        <row r="1173">
          <cell r="B1173">
            <v>323625</v>
          </cell>
          <cell r="C1173" t="str">
            <v>ულქერი_ალბენი_შოკოლადი_95გ*15*6_KZ</v>
          </cell>
          <cell r="D1173" t="str">
            <v>TON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O1173">
            <v>0</v>
          </cell>
          <cell r="AP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  <cell r="DL1173">
            <v>0</v>
          </cell>
          <cell r="DM1173">
            <v>0</v>
          </cell>
          <cell r="DN1173">
            <v>0</v>
          </cell>
          <cell r="DO1173">
            <v>0</v>
          </cell>
          <cell r="DP1173">
            <v>0</v>
          </cell>
          <cell r="DQ1173">
            <v>0</v>
          </cell>
          <cell r="DR1173">
            <v>0</v>
          </cell>
          <cell r="DS1173">
            <v>0</v>
          </cell>
          <cell r="DT1173">
            <v>0</v>
          </cell>
          <cell r="DU1173">
            <v>0</v>
          </cell>
          <cell r="DV1173">
            <v>0</v>
          </cell>
          <cell r="DW1173">
            <v>0</v>
          </cell>
          <cell r="DX1173">
            <v>0</v>
          </cell>
          <cell r="DY1173" t="str">
            <v/>
          </cell>
          <cell r="DZ1173" t="str">
            <v>pasiv</v>
          </cell>
          <cell r="EA1173" t="e">
            <v>#DIV/0!</v>
          </cell>
        </row>
        <row r="1174">
          <cell r="B1174">
            <v>315054</v>
          </cell>
          <cell r="C1174" t="str">
            <v>ულქერი_ჰელი_სენდვიჩი ზეფირი_240გ*12_KZ</v>
          </cell>
          <cell r="D1174" t="str">
            <v>TON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O1174">
            <v>0</v>
          </cell>
          <cell r="AP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  <cell r="DL1174">
            <v>0</v>
          </cell>
          <cell r="DM1174">
            <v>0</v>
          </cell>
          <cell r="DN1174">
            <v>0</v>
          </cell>
          <cell r="DO1174">
            <v>0</v>
          </cell>
          <cell r="DP1174">
            <v>0</v>
          </cell>
          <cell r="DQ1174">
            <v>0</v>
          </cell>
          <cell r="DR1174">
            <v>0</v>
          </cell>
          <cell r="DS1174">
            <v>0</v>
          </cell>
          <cell r="DT1174">
            <v>0</v>
          </cell>
          <cell r="DU1174">
            <v>0</v>
          </cell>
          <cell r="DV1174">
            <v>0</v>
          </cell>
          <cell r="DW1174">
            <v>0</v>
          </cell>
          <cell r="DX1174">
            <v>0</v>
          </cell>
          <cell r="DY1174" t="str">
            <v/>
          </cell>
          <cell r="DZ1174" t="str">
            <v>pasiv</v>
          </cell>
          <cell r="EA1174" t="e">
            <v>#DIV/0!</v>
          </cell>
        </row>
        <row r="1175">
          <cell r="B1175">
            <v>303517</v>
          </cell>
          <cell r="C1175" t="str">
            <v>ულქერი_დანქექი_კექსი ქოქოსით_160გ*8</v>
          </cell>
          <cell r="D1175" t="str">
            <v>TON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1.2800000000000001E-3</v>
          </cell>
          <cell r="AD1175">
            <v>26.88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4.8000000000000001E-4</v>
          </cell>
          <cell r="AL1175">
            <v>9.89</v>
          </cell>
          <cell r="AO1175">
            <v>1.7600000000000001E-3</v>
          </cell>
          <cell r="AP1175">
            <v>36.769999999999996</v>
          </cell>
          <cell r="AS1175">
            <v>0</v>
          </cell>
          <cell r="AT1175">
            <v>0</v>
          </cell>
          <cell r="AU1175">
            <v>6.9120000000000001E-2</v>
          </cell>
          <cell r="AV1175">
            <v>1412.17</v>
          </cell>
          <cell r="AW1175">
            <v>0</v>
          </cell>
          <cell r="AX1175">
            <v>0</v>
          </cell>
          <cell r="AY1175">
            <v>1.2800000000000001E-3</v>
          </cell>
          <cell r="AZ1175">
            <v>27.2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1.2800000000000001E-3</v>
          </cell>
          <cell r="BF1175">
            <v>27.2</v>
          </cell>
          <cell r="BG1175">
            <v>1.2800000000000001E-3</v>
          </cell>
          <cell r="BH1175">
            <v>26.88</v>
          </cell>
          <cell r="BI1175">
            <v>0</v>
          </cell>
          <cell r="BJ1175">
            <v>0</v>
          </cell>
          <cell r="BK1175">
            <v>1.2800000000000001E-3</v>
          </cell>
          <cell r="BL1175">
            <v>26.88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2.5600000000000002E-3</v>
          </cell>
          <cell r="BT1175">
            <v>53.76</v>
          </cell>
          <cell r="BU1175">
            <v>6.4000000000000005E-4</v>
          </cell>
          <cell r="BV1175">
            <v>13.19</v>
          </cell>
          <cell r="BW1175">
            <v>9.6000000000000002E-4</v>
          </cell>
          <cell r="BX1175">
            <v>19.79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1.2800000000000001E-2</v>
          </cell>
          <cell r="CF1175">
            <v>228.48</v>
          </cell>
          <cell r="CG1175">
            <v>0</v>
          </cell>
          <cell r="CH1175">
            <v>0</v>
          </cell>
          <cell r="CI1175">
            <v>1.44E-2</v>
          </cell>
          <cell r="CJ1175">
            <v>261.45999999999998</v>
          </cell>
          <cell r="CK1175">
            <v>1.6959999999999999E-2</v>
          </cell>
          <cell r="CL1175">
            <v>315.21999999999997</v>
          </cell>
          <cell r="CO1175">
            <v>0</v>
          </cell>
          <cell r="CP1175">
            <v>0</v>
          </cell>
          <cell r="CQ1175">
            <v>0</v>
          </cell>
          <cell r="CR1175">
            <v>0</v>
          </cell>
          <cell r="CS1175">
            <v>0</v>
          </cell>
          <cell r="CT1175">
            <v>0</v>
          </cell>
          <cell r="CU1175">
            <v>3.2000000000000002E-3</v>
          </cell>
          <cell r="CV1175">
            <v>66.819999999999993</v>
          </cell>
          <cell r="CW1175">
            <v>0</v>
          </cell>
          <cell r="CX1175">
            <v>0</v>
          </cell>
          <cell r="CY1175">
            <v>4.3520000000000003E-2</v>
          </cell>
          <cell r="CZ1175">
            <v>913.92</v>
          </cell>
          <cell r="DA1175">
            <v>0</v>
          </cell>
          <cell r="DB1175">
            <v>0</v>
          </cell>
          <cell r="DC1175">
            <v>1.2800000000000001E-3</v>
          </cell>
          <cell r="DD1175">
            <v>25.57</v>
          </cell>
          <cell r="DE1175">
            <v>4.4800000000000006E-2</v>
          </cell>
          <cell r="DF1175">
            <v>939.49</v>
          </cell>
          <cell r="DG1175">
            <v>-1.6000000000000001E-4</v>
          </cell>
          <cell r="DH1175">
            <v>-0.21000000000000099</v>
          </cell>
          <cell r="DI1175">
            <v>1.2800000000000001E-3</v>
          </cell>
          <cell r="DJ1175">
            <v>26.88</v>
          </cell>
          <cell r="DK1175">
            <v>0</v>
          </cell>
          <cell r="DL1175">
            <v>0</v>
          </cell>
          <cell r="DM1175">
            <v>1.1199999999999999E-3</v>
          </cell>
          <cell r="DN1175">
            <v>26.67</v>
          </cell>
          <cell r="DO1175">
            <v>1.2800000000000001E-3</v>
          </cell>
          <cell r="DP1175">
            <v>26.88</v>
          </cell>
          <cell r="DQ1175">
            <v>6.4000000000000005E-4</v>
          </cell>
          <cell r="DR1175">
            <v>13.06</v>
          </cell>
          <cell r="DS1175">
            <v>1.2800000000000001E-3</v>
          </cell>
          <cell r="DT1175">
            <v>26.88</v>
          </cell>
          <cell r="DU1175">
            <v>3.2000000000000002E-3</v>
          </cell>
          <cell r="DV1175">
            <v>66.819999999999993</v>
          </cell>
          <cell r="DW1175">
            <v>6.9120000000000015E-2</v>
          </cell>
          <cell r="DX1175">
            <v>1412.17</v>
          </cell>
          <cell r="DY1175" t="str">
            <v/>
          </cell>
          <cell r="DZ1175">
            <v>0</v>
          </cell>
          <cell r="EA1175">
            <v>20430.700231481478</v>
          </cell>
        </row>
        <row r="1176">
          <cell r="B1176">
            <v>352372</v>
          </cell>
          <cell r="C1176" t="str">
            <v>ულქერი_ჰელი_მინი სენდვიჩი ზეფირი_66გ_22ც+2ც</v>
          </cell>
          <cell r="D1176" t="str">
            <v>TON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O1176">
            <v>0</v>
          </cell>
          <cell r="AP1176">
            <v>0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0</v>
          </cell>
          <cell r="CB1176">
            <v>0</v>
          </cell>
          <cell r="CC1176">
            <v>0</v>
          </cell>
          <cell r="CD1176">
            <v>0</v>
          </cell>
          <cell r="CE1176">
            <v>0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O1176">
            <v>0</v>
          </cell>
          <cell r="CP1176">
            <v>0</v>
          </cell>
          <cell r="CQ1176">
            <v>0</v>
          </cell>
          <cell r="CR1176">
            <v>0</v>
          </cell>
          <cell r="CS1176">
            <v>0</v>
          </cell>
          <cell r="CT1176">
            <v>0</v>
          </cell>
          <cell r="CU1176">
            <v>0</v>
          </cell>
          <cell r="CV1176">
            <v>0</v>
          </cell>
          <cell r="CW1176">
            <v>0</v>
          </cell>
          <cell r="CX1176">
            <v>0</v>
          </cell>
          <cell r="CY1176">
            <v>0</v>
          </cell>
          <cell r="CZ1176">
            <v>0</v>
          </cell>
          <cell r="DA1176">
            <v>0</v>
          </cell>
          <cell r="DB1176">
            <v>0</v>
          </cell>
          <cell r="DC1176">
            <v>0</v>
          </cell>
          <cell r="DD1176">
            <v>0</v>
          </cell>
          <cell r="DE1176">
            <v>0</v>
          </cell>
          <cell r="DF1176">
            <v>0</v>
          </cell>
          <cell r="DG1176">
            <v>0</v>
          </cell>
          <cell r="DH1176">
            <v>0</v>
          </cell>
          <cell r="DI1176">
            <v>0</v>
          </cell>
          <cell r="DJ1176">
            <v>0</v>
          </cell>
          <cell r="DK1176">
            <v>0</v>
          </cell>
          <cell r="DL1176">
            <v>0</v>
          </cell>
          <cell r="DM1176">
            <v>0</v>
          </cell>
          <cell r="DN1176">
            <v>0</v>
          </cell>
          <cell r="DO1176">
            <v>0</v>
          </cell>
          <cell r="DP1176">
            <v>0</v>
          </cell>
          <cell r="DQ1176">
            <v>0</v>
          </cell>
          <cell r="DR1176">
            <v>0</v>
          </cell>
          <cell r="DS1176">
            <v>0</v>
          </cell>
          <cell r="DT1176">
            <v>0</v>
          </cell>
          <cell r="DU1176">
            <v>0</v>
          </cell>
          <cell r="DV1176">
            <v>0</v>
          </cell>
          <cell r="DW1176">
            <v>0</v>
          </cell>
          <cell r="DX1176">
            <v>0</v>
          </cell>
          <cell r="DY1176" t="str">
            <v/>
          </cell>
          <cell r="DZ1176" t="str">
            <v>pasiv</v>
          </cell>
          <cell r="EA1176" t="e">
            <v>#DIV/0!</v>
          </cell>
        </row>
        <row r="1177">
          <cell r="B1177">
            <v>304988</v>
          </cell>
          <cell r="C1177" t="str">
            <v>ულქერი_ალბენი-შოკ.ბისკვ კარამ_31გ*24*6</v>
          </cell>
          <cell r="D1177" t="str">
            <v>TON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O1177">
            <v>0</v>
          </cell>
          <cell r="AP1177">
            <v>0</v>
          </cell>
          <cell r="AS1177">
            <v>0</v>
          </cell>
          <cell r="AT1177">
            <v>0</v>
          </cell>
          <cell r="AU1177">
            <v>1.4446000000000001E-2</v>
          </cell>
          <cell r="AV1177">
            <v>332.16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  <cell r="BO1177">
            <v>0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2.9759999999999999E-3</v>
          </cell>
          <cell r="BV1177">
            <v>71.7</v>
          </cell>
          <cell r="BW1177">
            <v>1.488E-3</v>
          </cell>
          <cell r="BX1177">
            <v>35.85</v>
          </cell>
          <cell r="BY1177">
            <v>1.488E-3</v>
          </cell>
          <cell r="BZ1177">
            <v>35.85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5.5180000000000003E-3</v>
          </cell>
          <cell r="CF1177">
            <v>115.96</v>
          </cell>
          <cell r="CG1177">
            <v>0</v>
          </cell>
          <cell r="CH1177">
            <v>0</v>
          </cell>
          <cell r="CI1177">
            <v>1.1469999999999999E-2</v>
          </cell>
          <cell r="CJ1177">
            <v>259.36</v>
          </cell>
          <cell r="CK1177">
            <v>1.1469999999999999E-2</v>
          </cell>
          <cell r="CL1177">
            <v>259.36</v>
          </cell>
          <cell r="CO1177">
            <v>0</v>
          </cell>
          <cell r="CP1177">
            <v>0</v>
          </cell>
          <cell r="CQ1177">
            <v>0</v>
          </cell>
          <cell r="CR1177">
            <v>0</v>
          </cell>
          <cell r="CS1177">
            <v>0</v>
          </cell>
          <cell r="CT1177">
            <v>0</v>
          </cell>
          <cell r="CU1177">
            <v>2.232E-3</v>
          </cell>
          <cell r="CV1177">
            <v>54.6</v>
          </cell>
          <cell r="CW1177">
            <v>0</v>
          </cell>
          <cell r="CX1177">
            <v>0</v>
          </cell>
          <cell r="CY1177">
            <v>0</v>
          </cell>
          <cell r="CZ1177">
            <v>0</v>
          </cell>
          <cell r="DA1177">
            <v>0</v>
          </cell>
          <cell r="DB1177">
            <v>0</v>
          </cell>
          <cell r="DC1177">
            <v>0</v>
          </cell>
          <cell r="DD1177">
            <v>0</v>
          </cell>
          <cell r="DE1177">
            <v>0</v>
          </cell>
          <cell r="DF1177">
            <v>0</v>
          </cell>
          <cell r="DG1177">
            <v>0</v>
          </cell>
          <cell r="DH1177">
            <v>0</v>
          </cell>
          <cell r="DI1177">
            <v>0</v>
          </cell>
          <cell r="DJ1177">
            <v>0</v>
          </cell>
          <cell r="DK1177">
            <v>7.4399999999999998E-4</v>
          </cell>
          <cell r="DL1177">
            <v>18.2</v>
          </cell>
          <cell r="DM1177">
            <v>7.4399999999999998E-4</v>
          </cell>
          <cell r="DN1177">
            <v>18.2</v>
          </cell>
          <cell r="DO1177">
            <v>0</v>
          </cell>
          <cell r="DP1177">
            <v>0</v>
          </cell>
          <cell r="DQ1177">
            <v>0</v>
          </cell>
          <cell r="DR1177">
            <v>0</v>
          </cell>
          <cell r="DS1177">
            <v>2.232E-3</v>
          </cell>
          <cell r="DT1177">
            <v>54.6</v>
          </cell>
          <cell r="DU1177">
            <v>2.232E-3</v>
          </cell>
          <cell r="DV1177">
            <v>54.6</v>
          </cell>
          <cell r="DW1177">
            <v>1.4445999999999999E-2</v>
          </cell>
          <cell r="DX1177">
            <v>332.16</v>
          </cell>
          <cell r="DY1177" t="str">
            <v/>
          </cell>
          <cell r="DZ1177">
            <v>0</v>
          </cell>
          <cell r="EA1177">
            <v>22993.216115187599</v>
          </cell>
        </row>
        <row r="1178">
          <cell r="B1178">
            <v>304991</v>
          </cell>
          <cell r="C1178" t="str">
            <v>ულქერი_მეტრო_რძ.შოკოლად.ნუგა_30გ*24*6</v>
          </cell>
          <cell r="D1178" t="str">
            <v>TON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O1178">
            <v>0</v>
          </cell>
          <cell r="AP1178">
            <v>0</v>
          </cell>
          <cell r="AS1178">
            <v>0</v>
          </cell>
          <cell r="AT1178">
            <v>0</v>
          </cell>
          <cell r="AU1178">
            <v>2.8800000000000002E-3</v>
          </cell>
          <cell r="AV1178">
            <v>73.92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1.4400000000000001E-3</v>
          </cell>
          <cell r="BL1178">
            <v>36.96</v>
          </cell>
          <cell r="BM1178">
            <v>7.2000000000000005E-4</v>
          </cell>
          <cell r="BN1178">
            <v>18.48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2.16E-3</v>
          </cell>
          <cell r="BT1178">
            <v>55.44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2.16E-3</v>
          </cell>
          <cell r="CL1178">
            <v>55.44</v>
          </cell>
          <cell r="CO1178">
            <v>0</v>
          </cell>
          <cell r="CP1178">
            <v>0</v>
          </cell>
          <cell r="CQ1178">
            <v>0</v>
          </cell>
          <cell r="CR1178">
            <v>0</v>
          </cell>
          <cell r="CS1178">
            <v>0</v>
          </cell>
          <cell r="CT1178">
            <v>0</v>
          </cell>
          <cell r="CU1178">
            <v>0</v>
          </cell>
          <cell r="CV1178">
            <v>0</v>
          </cell>
          <cell r="CW1178">
            <v>0</v>
          </cell>
          <cell r="CX1178">
            <v>0</v>
          </cell>
          <cell r="CY1178">
            <v>0</v>
          </cell>
          <cell r="CZ1178">
            <v>0</v>
          </cell>
          <cell r="DA1178">
            <v>0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7.2000000000000005E-4</v>
          </cell>
          <cell r="DJ1178">
            <v>18.48</v>
          </cell>
          <cell r="DK1178">
            <v>0</v>
          </cell>
          <cell r="DL1178">
            <v>0</v>
          </cell>
          <cell r="DM1178">
            <v>7.2000000000000005E-4</v>
          </cell>
          <cell r="DN1178">
            <v>18.48</v>
          </cell>
          <cell r="DO1178">
            <v>0</v>
          </cell>
          <cell r="DP1178">
            <v>0</v>
          </cell>
          <cell r="DQ1178">
            <v>0</v>
          </cell>
          <cell r="DR1178">
            <v>0</v>
          </cell>
          <cell r="DS1178">
            <v>0</v>
          </cell>
          <cell r="DT1178">
            <v>0</v>
          </cell>
          <cell r="DU1178">
            <v>0</v>
          </cell>
          <cell r="DV1178">
            <v>0</v>
          </cell>
          <cell r="DW1178">
            <v>2.8800000000000002E-3</v>
          </cell>
          <cell r="DX1178">
            <v>73.92</v>
          </cell>
          <cell r="DY1178" t="str">
            <v/>
          </cell>
          <cell r="DZ1178">
            <v>0</v>
          </cell>
          <cell r="EA1178">
            <v>25666.666666666664</v>
          </cell>
        </row>
        <row r="1179">
          <cell r="B1179">
            <v>317316</v>
          </cell>
          <cell r="C1179" t="str">
            <v>ულქერი_დანქექ_კაკაოს კექსი_200გ*6</v>
          </cell>
          <cell r="D1179" t="str">
            <v>TON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2.8E-3</v>
          </cell>
          <cell r="AD1179">
            <v>59.22</v>
          </cell>
          <cell r="AE1179">
            <v>0</v>
          </cell>
          <cell r="AF1179">
            <v>0</v>
          </cell>
          <cell r="AG1179">
            <v>-8.0000000000000004E-4</v>
          </cell>
          <cell r="AH1179">
            <v>-16.440000000000001</v>
          </cell>
          <cell r="AI1179">
            <v>0</v>
          </cell>
          <cell r="AJ1179">
            <v>0</v>
          </cell>
          <cell r="AK1179">
            <v>3.5999999999999999E-3</v>
          </cell>
          <cell r="AL1179">
            <v>75.42</v>
          </cell>
          <cell r="AO1179">
            <v>5.5999999999999999E-3</v>
          </cell>
          <cell r="AP1179">
            <v>118.2</v>
          </cell>
          <cell r="AS1179">
            <v>0</v>
          </cell>
          <cell r="AT1179">
            <v>0</v>
          </cell>
          <cell r="AU1179">
            <v>3.5999999999999997E-2</v>
          </cell>
          <cell r="AV1179">
            <v>742.81</v>
          </cell>
          <cell r="AW1179">
            <v>0</v>
          </cell>
          <cell r="AX1179">
            <v>0</v>
          </cell>
          <cell r="AY1179">
            <v>1.1999999999999999E-3</v>
          </cell>
          <cell r="AZ1179">
            <v>24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1.1999999999999999E-3</v>
          </cell>
          <cell r="BF1179">
            <v>24</v>
          </cell>
          <cell r="BG1179">
            <v>4.0000000000000002E-4</v>
          </cell>
          <cell r="BH1179">
            <v>8.3800000000000008</v>
          </cell>
          <cell r="BI1179">
            <v>0</v>
          </cell>
          <cell r="BJ1179">
            <v>0</v>
          </cell>
          <cell r="BK1179">
            <v>3.0000000000000001E-3</v>
          </cell>
          <cell r="BL1179">
            <v>62.85</v>
          </cell>
          <cell r="BM1179">
            <v>2E-3</v>
          </cell>
          <cell r="BN1179">
            <v>41.9</v>
          </cell>
          <cell r="BO1179">
            <v>1E-3</v>
          </cell>
          <cell r="BP1179">
            <v>20.95</v>
          </cell>
          <cell r="BQ1179">
            <v>0</v>
          </cell>
          <cell r="BR1179">
            <v>0</v>
          </cell>
          <cell r="BS1179">
            <v>6.4000000000000003E-3</v>
          </cell>
          <cell r="BT1179">
            <v>134.08000000000001</v>
          </cell>
          <cell r="BU1179">
            <v>0</v>
          </cell>
          <cell r="BV1179">
            <v>0</v>
          </cell>
          <cell r="BW1179">
            <v>1.1999999999999999E-3</v>
          </cell>
          <cell r="BX1179">
            <v>23.28</v>
          </cell>
          <cell r="BY1179">
            <v>0</v>
          </cell>
          <cell r="BZ1179">
            <v>0</v>
          </cell>
          <cell r="CA1179">
            <v>2E-3</v>
          </cell>
          <cell r="CB1179">
            <v>41.9</v>
          </cell>
          <cell r="CC1179">
            <v>-4.0000000000000002E-4</v>
          </cell>
          <cell r="CD1179">
            <v>-8.2200000000000006</v>
          </cell>
          <cell r="CE1179">
            <v>4.5999999999999999E-3</v>
          </cell>
          <cell r="CF1179">
            <v>92.22</v>
          </cell>
          <cell r="CG1179">
            <v>0</v>
          </cell>
          <cell r="CH1179">
            <v>0</v>
          </cell>
          <cell r="CI1179">
            <v>7.4000000000000003E-3</v>
          </cell>
          <cell r="CJ1179">
            <v>149.18</v>
          </cell>
          <cell r="CK1179">
            <v>1.38E-2</v>
          </cell>
          <cell r="CL1179">
            <v>283.26</v>
          </cell>
          <cell r="CO1179">
            <v>0</v>
          </cell>
          <cell r="CP1179">
            <v>0</v>
          </cell>
          <cell r="CQ1179">
            <v>0</v>
          </cell>
          <cell r="CR1179">
            <v>0</v>
          </cell>
          <cell r="CS1179">
            <v>0</v>
          </cell>
          <cell r="CT1179">
            <v>0</v>
          </cell>
          <cell r="CU1179">
            <v>3.3999999999999998E-3</v>
          </cell>
          <cell r="CV1179">
            <v>71.23</v>
          </cell>
          <cell r="CW1179">
            <v>0</v>
          </cell>
          <cell r="CX1179">
            <v>0</v>
          </cell>
          <cell r="CY1179">
            <v>0</v>
          </cell>
          <cell r="CZ1179">
            <v>0</v>
          </cell>
          <cell r="DA1179">
            <v>2.3999999999999998E-3</v>
          </cell>
          <cell r="DB1179">
            <v>50.28</v>
          </cell>
          <cell r="DC1179">
            <v>6.0000000000000001E-3</v>
          </cell>
          <cell r="DD1179">
            <v>120.42</v>
          </cell>
          <cell r="DE1179">
            <v>8.3999999999999995E-3</v>
          </cell>
          <cell r="DF1179">
            <v>170.7</v>
          </cell>
          <cell r="DG1179">
            <v>0</v>
          </cell>
          <cell r="DH1179">
            <v>0</v>
          </cell>
          <cell r="DI1179">
            <v>3.5999999999999999E-3</v>
          </cell>
          <cell r="DJ1179">
            <v>75.42</v>
          </cell>
          <cell r="DK1179">
            <v>0</v>
          </cell>
          <cell r="DL1179">
            <v>0</v>
          </cell>
          <cell r="DM1179">
            <v>3.5999999999999999E-3</v>
          </cell>
          <cell r="DN1179">
            <v>75.42</v>
          </cell>
          <cell r="DO1179">
            <v>1E-3</v>
          </cell>
          <cell r="DP1179">
            <v>20.95</v>
          </cell>
          <cell r="DQ1179">
            <v>0</v>
          </cell>
          <cell r="DR1179">
            <v>0</v>
          </cell>
          <cell r="DS1179">
            <v>2.3999999999999998E-3</v>
          </cell>
          <cell r="DT1179">
            <v>50.28</v>
          </cell>
          <cell r="DU1179">
            <v>3.3999999999999998E-3</v>
          </cell>
          <cell r="DV1179">
            <v>71.23</v>
          </cell>
          <cell r="DW1179">
            <v>3.5999999999999997E-2</v>
          </cell>
          <cell r="DX1179">
            <v>742.81000000000006</v>
          </cell>
          <cell r="DY1179" t="str">
            <v/>
          </cell>
          <cell r="DZ1179">
            <v>0</v>
          </cell>
          <cell r="EA1179">
            <v>20633.611111111113</v>
          </cell>
        </row>
        <row r="1180">
          <cell r="B1180">
            <v>317460</v>
          </cell>
          <cell r="C1180" t="str">
            <v>ულქერი_დანქექ_ხილის კექსი_200გ*6</v>
          </cell>
          <cell r="D1180" t="str">
            <v>TON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-2.0000000000000001E-4</v>
          </cell>
          <cell r="AD1180">
            <v>-3.71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3.0000000000000001E-3</v>
          </cell>
          <cell r="AL1180">
            <v>62.85</v>
          </cell>
          <cell r="AO1180">
            <v>2.8E-3</v>
          </cell>
          <cell r="AP1180">
            <v>59.14</v>
          </cell>
          <cell r="AS1180">
            <v>0</v>
          </cell>
          <cell r="AT1180">
            <v>0</v>
          </cell>
          <cell r="AU1180">
            <v>2.64E-2</v>
          </cell>
          <cell r="AV1180">
            <v>520.66999999999996</v>
          </cell>
          <cell r="AW1180">
            <v>0</v>
          </cell>
          <cell r="AX1180">
            <v>0</v>
          </cell>
          <cell r="AY1180">
            <v>1.1999999999999999E-3</v>
          </cell>
          <cell r="AZ1180">
            <v>24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1.1999999999999999E-3</v>
          </cell>
          <cell r="BF1180">
            <v>24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4.0000000000000002E-4</v>
          </cell>
          <cell r="BL1180">
            <v>8.3800000000000008</v>
          </cell>
          <cell r="BM1180">
            <v>1.1999999999999999E-3</v>
          </cell>
          <cell r="BN1180">
            <v>25.14</v>
          </cell>
          <cell r="BO1180">
            <v>1.1999999999999999E-3</v>
          </cell>
          <cell r="BP1180">
            <v>25.14</v>
          </cell>
          <cell r="BQ1180">
            <v>0</v>
          </cell>
          <cell r="BR1180">
            <v>0</v>
          </cell>
          <cell r="BS1180">
            <v>2.8E-3</v>
          </cell>
          <cell r="BT1180">
            <v>58.66</v>
          </cell>
          <cell r="BU1180">
            <v>0</v>
          </cell>
          <cell r="BV1180">
            <v>0</v>
          </cell>
          <cell r="BW1180">
            <v>1.1999999999999999E-3</v>
          </cell>
          <cell r="BX1180">
            <v>23.28</v>
          </cell>
          <cell r="BY1180">
            <v>1.1999999999999999E-3</v>
          </cell>
          <cell r="BZ1180">
            <v>25.14</v>
          </cell>
          <cell r="CA1180">
            <v>3.2000000000000002E-3</v>
          </cell>
          <cell r="CB1180">
            <v>67.040000000000006</v>
          </cell>
          <cell r="CC1180">
            <v>4.0000000000000002E-4</v>
          </cell>
          <cell r="CD1180">
            <v>8.4600000000000009</v>
          </cell>
          <cell r="CE1180">
            <v>6.6E-3</v>
          </cell>
          <cell r="CF1180">
            <v>112.08</v>
          </cell>
          <cell r="CG1180">
            <v>0</v>
          </cell>
          <cell r="CH1180">
            <v>0</v>
          </cell>
          <cell r="CI1180">
            <v>1.26E-2</v>
          </cell>
          <cell r="CJ1180">
            <v>236</v>
          </cell>
          <cell r="CK1180">
            <v>1.54E-2</v>
          </cell>
          <cell r="CL1180">
            <v>294.65999999999997</v>
          </cell>
          <cell r="CO1180">
            <v>0</v>
          </cell>
          <cell r="CP1180">
            <v>0</v>
          </cell>
          <cell r="CQ1180">
            <v>0</v>
          </cell>
          <cell r="CR1180">
            <v>0</v>
          </cell>
          <cell r="CS1180">
            <v>0</v>
          </cell>
          <cell r="CT1180">
            <v>0</v>
          </cell>
          <cell r="CU1180">
            <v>0</v>
          </cell>
          <cell r="CV1180">
            <v>0</v>
          </cell>
          <cell r="CW1180">
            <v>0</v>
          </cell>
          <cell r="CX1180">
            <v>0</v>
          </cell>
          <cell r="CY1180">
            <v>1.1999999999999999E-3</v>
          </cell>
          <cell r="CZ1180">
            <v>24</v>
          </cell>
          <cell r="DA1180">
            <v>1.1999999999999999E-3</v>
          </cell>
          <cell r="DB1180">
            <v>25.14</v>
          </cell>
          <cell r="DC1180">
            <v>1.1999999999999999E-3</v>
          </cell>
          <cell r="DD1180">
            <v>22.5</v>
          </cell>
          <cell r="DE1180">
            <v>3.5999999999999999E-3</v>
          </cell>
          <cell r="DF1180">
            <v>71.64</v>
          </cell>
          <cell r="DG1180">
            <v>1E-3</v>
          </cell>
          <cell r="DH1180">
            <v>20.95</v>
          </cell>
          <cell r="DI1180">
            <v>1E-3</v>
          </cell>
          <cell r="DJ1180">
            <v>20.95</v>
          </cell>
          <cell r="DK1180">
            <v>1.4E-3</v>
          </cell>
          <cell r="DL1180">
            <v>29.33</v>
          </cell>
          <cell r="DM1180">
            <v>3.3999999999999998E-3</v>
          </cell>
          <cell r="DN1180">
            <v>71.23</v>
          </cell>
          <cell r="DO1180">
            <v>0</v>
          </cell>
          <cell r="DP1180">
            <v>0</v>
          </cell>
          <cell r="DQ1180">
            <v>0</v>
          </cell>
          <cell r="DR1180">
            <v>0</v>
          </cell>
          <cell r="DS1180">
            <v>0</v>
          </cell>
          <cell r="DT1180">
            <v>0</v>
          </cell>
          <cell r="DU1180">
            <v>0</v>
          </cell>
          <cell r="DV1180">
            <v>0</v>
          </cell>
          <cell r="DW1180">
            <v>2.64E-2</v>
          </cell>
          <cell r="DX1180">
            <v>520.66999999999996</v>
          </cell>
          <cell r="DY1180" t="str">
            <v/>
          </cell>
          <cell r="DZ1180">
            <v>0</v>
          </cell>
          <cell r="EA1180">
            <v>19722.348484848484</v>
          </cell>
        </row>
        <row r="1181">
          <cell r="B1181">
            <v>317461</v>
          </cell>
          <cell r="C1181" t="str">
            <v>ულქერი_დანქექ_კექსი_მოზაიკა_200გ*6</v>
          </cell>
          <cell r="D1181" t="str">
            <v>TON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4.5999999999999999E-3</v>
          </cell>
          <cell r="AD1181">
            <v>96.77</v>
          </cell>
          <cell r="AE1181">
            <v>4.0000000000000002E-4</v>
          </cell>
          <cell r="AF1181">
            <v>7.52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8.0000000000000004E-4</v>
          </cell>
          <cell r="AL1181">
            <v>17.96</v>
          </cell>
          <cell r="AO1181">
            <v>5.8000000000000005E-3</v>
          </cell>
          <cell r="AP1181">
            <v>122.25</v>
          </cell>
          <cell r="AS1181">
            <v>0</v>
          </cell>
          <cell r="AT1181">
            <v>0</v>
          </cell>
          <cell r="AU1181">
            <v>2.46E-2</v>
          </cell>
          <cell r="AV1181">
            <v>511.09</v>
          </cell>
          <cell r="AW1181">
            <v>0</v>
          </cell>
          <cell r="AX1181">
            <v>0</v>
          </cell>
          <cell r="AY1181">
            <v>1.1999999999999999E-3</v>
          </cell>
          <cell r="AZ1181">
            <v>24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1.1999999999999999E-3</v>
          </cell>
          <cell r="BF1181">
            <v>24</v>
          </cell>
          <cell r="BG1181">
            <v>2.3999999999999998E-3</v>
          </cell>
          <cell r="BH1181">
            <v>50.28</v>
          </cell>
          <cell r="BI1181">
            <v>0</v>
          </cell>
          <cell r="BJ1181">
            <v>0</v>
          </cell>
          <cell r="BK1181">
            <v>1.1999999999999999E-3</v>
          </cell>
          <cell r="BL1181">
            <v>25.14</v>
          </cell>
          <cell r="BM1181">
            <v>0</v>
          </cell>
          <cell r="BN1181">
            <v>0</v>
          </cell>
          <cell r="BO1181">
            <v>8.0000000000000004E-4</v>
          </cell>
          <cell r="BP1181">
            <v>16.760000000000002</v>
          </cell>
          <cell r="BQ1181">
            <v>0</v>
          </cell>
          <cell r="BR1181">
            <v>0</v>
          </cell>
          <cell r="BS1181">
            <v>4.4000000000000003E-3</v>
          </cell>
          <cell r="BT1181">
            <v>92.18</v>
          </cell>
          <cell r="BU1181">
            <v>0</v>
          </cell>
          <cell r="BV1181">
            <v>0</v>
          </cell>
          <cell r="BW1181">
            <v>1.1999999999999999E-3</v>
          </cell>
          <cell r="BX1181">
            <v>23.28</v>
          </cell>
          <cell r="BY1181">
            <v>1.4E-3</v>
          </cell>
          <cell r="BZ1181">
            <v>29.33</v>
          </cell>
          <cell r="CA1181">
            <v>0</v>
          </cell>
          <cell r="CB1181">
            <v>0</v>
          </cell>
          <cell r="CC1181">
            <v>5.9999999999999995E-4</v>
          </cell>
          <cell r="CD1181">
            <v>12.65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3.2000000000000002E-3</v>
          </cell>
          <cell r="CJ1181">
            <v>65.260000000000005</v>
          </cell>
          <cell r="CK1181">
            <v>7.6000000000000009E-3</v>
          </cell>
          <cell r="CL1181">
            <v>157.44</v>
          </cell>
          <cell r="CO1181">
            <v>0</v>
          </cell>
          <cell r="CP1181">
            <v>0</v>
          </cell>
          <cell r="CQ1181">
            <v>0</v>
          </cell>
          <cell r="CR1181">
            <v>0</v>
          </cell>
          <cell r="CS1181">
            <v>0</v>
          </cell>
          <cell r="CT1181">
            <v>0</v>
          </cell>
          <cell r="CU1181">
            <v>1.6000000000000001E-3</v>
          </cell>
          <cell r="CV1181">
            <v>31.42</v>
          </cell>
          <cell r="CW1181">
            <v>0</v>
          </cell>
          <cell r="CX1181">
            <v>0</v>
          </cell>
          <cell r="CY1181">
            <v>0</v>
          </cell>
          <cell r="CZ1181">
            <v>0</v>
          </cell>
          <cell r="DA1181">
            <v>3.5999999999999999E-3</v>
          </cell>
          <cell r="DB1181">
            <v>75.42</v>
          </cell>
          <cell r="DC1181">
            <v>1.1999999999999999E-3</v>
          </cell>
          <cell r="DD1181">
            <v>25.14</v>
          </cell>
          <cell r="DE1181">
            <v>4.7999999999999996E-3</v>
          </cell>
          <cell r="DF1181">
            <v>100.56</v>
          </cell>
          <cell r="DG1181">
            <v>2.2000000000000001E-3</v>
          </cell>
          <cell r="DH1181">
            <v>46.09</v>
          </cell>
          <cell r="DI1181">
            <v>1.4E-3</v>
          </cell>
          <cell r="DJ1181">
            <v>29.33</v>
          </cell>
          <cell r="DK1181">
            <v>0</v>
          </cell>
          <cell r="DL1181">
            <v>0</v>
          </cell>
          <cell r="DM1181">
            <v>3.5999999999999999E-3</v>
          </cell>
          <cell r="DN1181">
            <v>75.42</v>
          </cell>
          <cell r="DO1181">
            <v>4.0000000000000002E-4</v>
          </cell>
          <cell r="DP1181">
            <v>8.3800000000000008</v>
          </cell>
          <cell r="DQ1181">
            <v>1.1999999999999999E-3</v>
          </cell>
          <cell r="DR1181">
            <v>23.04</v>
          </cell>
          <cell r="DS1181">
            <v>0</v>
          </cell>
          <cell r="DT1181">
            <v>0</v>
          </cell>
          <cell r="DU1181">
            <v>1.6000000000000001E-3</v>
          </cell>
          <cell r="DV1181">
            <v>31.42</v>
          </cell>
          <cell r="DW1181">
            <v>2.46E-2</v>
          </cell>
          <cell r="DX1181">
            <v>511.09000000000003</v>
          </cell>
          <cell r="DY1181" t="str">
            <v/>
          </cell>
          <cell r="DZ1181">
            <v>0</v>
          </cell>
          <cell r="EA1181">
            <v>20776.016260162603</v>
          </cell>
        </row>
        <row r="1182">
          <cell r="B1182">
            <v>324417</v>
          </cell>
          <cell r="C1182" t="str">
            <v>ულქერი_დიდო_ვაფლი თეთრი რძ.შოკ_36.5გ*24*6</v>
          </cell>
          <cell r="D1182" t="str">
            <v>TON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O1182">
            <v>0</v>
          </cell>
          <cell r="AP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  <cell r="BO1182">
            <v>0</v>
          </cell>
          <cell r="BP1182">
            <v>0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O1182">
            <v>0</v>
          </cell>
          <cell r="CP1182">
            <v>0</v>
          </cell>
          <cell r="CQ1182">
            <v>0</v>
          </cell>
          <cell r="CR1182">
            <v>0</v>
          </cell>
          <cell r="CS1182">
            <v>0</v>
          </cell>
          <cell r="CT1182">
            <v>0</v>
          </cell>
          <cell r="CU1182">
            <v>0</v>
          </cell>
          <cell r="CV1182">
            <v>0</v>
          </cell>
          <cell r="CW1182">
            <v>0</v>
          </cell>
          <cell r="CX1182">
            <v>0</v>
          </cell>
          <cell r="CY1182">
            <v>0</v>
          </cell>
          <cell r="CZ1182">
            <v>0</v>
          </cell>
          <cell r="DA1182">
            <v>0</v>
          </cell>
          <cell r="DB1182">
            <v>0</v>
          </cell>
          <cell r="DC1182">
            <v>0</v>
          </cell>
          <cell r="DD1182">
            <v>0</v>
          </cell>
          <cell r="DE1182">
            <v>0</v>
          </cell>
          <cell r="DF1182">
            <v>0</v>
          </cell>
          <cell r="DG1182">
            <v>0</v>
          </cell>
          <cell r="DH1182">
            <v>0</v>
          </cell>
          <cell r="DI1182">
            <v>0</v>
          </cell>
          <cell r="DJ1182">
            <v>0</v>
          </cell>
          <cell r="DK1182">
            <v>0</v>
          </cell>
          <cell r="DL1182">
            <v>0</v>
          </cell>
          <cell r="DM1182">
            <v>0</v>
          </cell>
          <cell r="DN1182">
            <v>0</v>
          </cell>
          <cell r="DO1182">
            <v>0</v>
          </cell>
          <cell r="DP1182">
            <v>0</v>
          </cell>
          <cell r="DQ1182">
            <v>0</v>
          </cell>
          <cell r="DR1182">
            <v>0</v>
          </cell>
          <cell r="DS1182">
            <v>0</v>
          </cell>
          <cell r="DT1182">
            <v>0</v>
          </cell>
          <cell r="DU1182">
            <v>0</v>
          </cell>
          <cell r="DV1182">
            <v>0</v>
          </cell>
          <cell r="DW1182">
            <v>0</v>
          </cell>
          <cell r="DX1182">
            <v>0</v>
          </cell>
          <cell r="DY1182" t="str">
            <v/>
          </cell>
          <cell r="DZ1182" t="str">
            <v>pasiv</v>
          </cell>
          <cell r="EA1182" t="e">
            <v>#DIV/0!</v>
          </cell>
        </row>
        <row r="1183">
          <cell r="B1183">
            <v>308070</v>
          </cell>
          <cell r="C1183" t="str">
            <v>ულქერი_ონეო_60გ*12_მენთოლ პიტნ_უშაქრო_საღეჭი რეზ</v>
          </cell>
          <cell r="D1183" t="str">
            <v>TON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O1183">
            <v>0</v>
          </cell>
          <cell r="AP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O1183">
            <v>0</v>
          </cell>
          <cell r="CP1183">
            <v>0</v>
          </cell>
          <cell r="CQ1183">
            <v>0</v>
          </cell>
          <cell r="CR1183">
            <v>0</v>
          </cell>
          <cell r="CS1183">
            <v>0</v>
          </cell>
          <cell r="CT1183">
            <v>0</v>
          </cell>
          <cell r="CU1183">
            <v>0</v>
          </cell>
          <cell r="CV1183">
            <v>0</v>
          </cell>
          <cell r="CW1183">
            <v>0</v>
          </cell>
          <cell r="CX1183">
            <v>0</v>
          </cell>
          <cell r="CY1183">
            <v>0</v>
          </cell>
          <cell r="CZ1183">
            <v>0</v>
          </cell>
          <cell r="DA1183">
            <v>0</v>
          </cell>
          <cell r="DB1183">
            <v>0</v>
          </cell>
          <cell r="DC1183">
            <v>0</v>
          </cell>
          <cell r="DD1183">
            <v>0</v>
          </cell>
          <cell r="DE1183">
            <v>0</v>
          </cell>
          <cell r="DF1183">
            <v>0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  <cell r="DL1183">
            <v>0</v>
          </cell>
          <cell r="DM1183">
            <v>0</v>
          </cell>
          <cell r="DN1183">
            <v>0</v>
          </cell>
          <cell r="DO1183">
            <v>0</v>
          </cell>
          <cell r="DP1183">
            <v>0</v>
          </cell>
          <cell r="DQ1183">
            <v>0</v>
          </cell>
          <cell r="DR1183">
            <v>0</v>
          </cell>
          <cell r="DS1183">
            <v>0</v>
          </cell>
          <cell r="DT1183">
            <v>0</v>
          </cell>
          <cell r="DU1183">
            <v>0</v>
          </cell>
          <cell r="DV1183">
            <v>0</v>
          </cell>
          <cell r="DW1183">
            <v>0</v>
          </cell>
          <cell r="DX1183">
            <v>0</v>
          </cell>
          <cell r="DY1183" t="str">
            <v/>
          </cell>
          <cell r="DZ1183" t="str">
            <v>pasiv</v>
          </cell>
          <cell r="EA1183" t="e">
            <v>#DIV/0!</v>
          </cell>
        </row>
        <row r="1184">
          <cell r="B1184">
            <v>310292</v>
          </cell>
          <cell r="C1184" t="str">
            <v>ულქერი_9კატ კატ_ვაფლი_თხილ.კრემით_114გ*16</v>
          </cell>
          <cell r="D1184" t="str">
            <v>TON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O1184">
            <v>0</v>
          </cell>
          <cell r="AP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  <cell r="BO1184">
            <v>0</v>
          </cell>
          <cell r="BP1184">
            <v>0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O1184">
            <v>0</v>
          </cell>
          <cell r="CP1184">
            <v>0</v>
          </cell>
          <cell r="CQ1184">
            <v>0</v>
          </cell>
          <cell r="CR1184">
            <v>0</v>
          </cell>
          <cell r="CS1184">
            <v>0</v>
          </cell>
          <cell r="CT1184">
            <v>0</v>
          </cell>
          <cell r="CU1184">
            <v>0</v>
          </cell>
          <cell r="CV1184">
            <v>0</v>
          </cell>
          <cell r="CW1184">
            <v>0</v>
          </cell>
          <cell r="CX1184">
            <v>0</v>
          </cell>
          <cell r="CY1184">
            <v>0</v>
          </cell>
          <cell r="CZ1184">
            <v>0</v>
          </cell>
          <cell r="DA1184">
            <v>0</v>
          </cell>
          <cell r="DB1184">
            <v>0</v>
          </cell>
          <cell r="DC1184">
            <v>0</v>
          </cell>
          <cell r="DD1184">
            <v>0</v>
          </cell>
          <cell r="DE1184">
            <v>0</v>
          </cell>
          <cell r="DF1184">
            <v>0</v>
          </cell>
          <cell r="DG1184">
            <v>0</v>
          </cell>
          <cell r="DH1184">
            <v>0</v>
          </cell>
          <cell r="DI1184">
            <v>0</v>
          </cell>
          <cell r="DJ1184">
            <v>0</v>
          </cell>
          <cell r="DK1184">
            <v>0</v>
          </cell>
          <cell r="DL1184">
            <v>0</v>
          </cell>
          <cell r="DM1184">
            <v>0</v>
          </cell>
          <cell r="DN1184">
            <v>0</v>
          </cell>
          <cell r="DO1184">
            <v>0</v>
          </cell>
          <cell r="DP1184">
            <v>0</v>
          </cell>
          <cell r="DQ1184">
            <v>0</v>
          </cell>
          <cell r="DR1184">
            <v>0</v>
          </cell>
          <cell r="DS1184">
            <v>0</v>
          </cell>
          <cell r="DT1184">
            <v>0</v>
          </cell>
          <cell r="DU1184">
            <v>0</v>
          </cell>
          <cell r="DV1184">
            <v>0</v>
          </cell>
          <cell r="DW1184">
            <v>0</v>
          </cell>
          <cell r="DX1184">
            <v>0</v>
          </cell>
          <cell r="DY1184" t="str">
            <v/>
          </cell>
          <cell r="DZ1184" t="str">
            <v>pasiv</v>
          </cell>
          <cell r="EA1184" t="e">
            <v>#DIV/0!</v>
          </cell>
        </row>
        <row r="1185">
          <cell r="B1185">
            <v>312203</v>
          </cell>
          <cell r="C1185" t="str">
            <v>ულქერი_9კატ კატ_ვაფლი ქოქოს.კრემ_114გ*16</v>
          </cell>
          <cell r="D1185" t="str">
            <v>TON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O1185">
            <v>0</v>
          </cell>
          <cell r="AP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O1185">
            <v>0</v>
          </cell>
          <cell r="CP1185">
            <v>0</v>
          </cell>
          <cell r="CQ1185">
            <v>0</v>
          </cell>
          <cell r="CR1185">
            <v>0</v>
          </cell>
          <cell r="CS1185">
            <v>0</v>
          </cell>
          <cell r="CT1185">
            <v>0</v>
          </cell>
          <cell r="CU1185">
            <v>0</v>
          </cell>
          <cell r="CV1185">
            <v>0</v>
          </cell>
          <cell r="CW1185">
            <v>0</v>
          </cell>
          <cell r="CX1185">
            <v>0</v>
          </cell>
          <cell r="CY1185">
            <v>0</v>
          </cell>
          <cell r="CZ1185">
            <v>0</v>
          </cell>
          <cell r="DA1185">
            <v>0</v>
          </cell>
          <cell r="DB1185">
            <v>0</v>
          </cell>
          <cell r="DC1185">
            <v>0</v>
          </cell>
          <cell r="DD1185">
            <v>0</v>
          </cell>
          <cell r="DE1185">
            <v>0</v>
          </cell>
          <cell r="DF1185">
            <v>0</v>
          </cell>
          <cell r="DG1185">
            <v>0</v>
          </cell>
          <cell r="DH1185">
            <v>0</v>
          </cell>
          <cell r="DI1185">
            <v>0</v>
          </cell>
          <cell r="DJ1185">
            <v>0</v>
          </cell>
          <cell r="DK1185">
            <v>0</v>
          </cell>
          <cell r="DL1185">
            <v>0</v>
          </cell>
          <cell r="DM1185">
            <v>0</v>
          </cell>
          <cell r="DN1185">
            <v>0</v>
          </cell>
          <cell r="DO1185">
            <v>0</v>
          </cell>
          <cell r="DP1185">
            <v>0</v>
          </cell>
          <cell r="DQ1185">
            <v>0</v>
          </cell>
          <cell r="DR1185">
            <v>0</v>
          </cell>
          <cell r="DS1185">
            <v>0</v>
          </cell>
          <cell r="DT1185">
            <v>0</v>
          </cell>
          <cell r="DU1185">
            <v>0</v>
          </cell>
          <cell r="DV1185">
            <v>0</v>
          </cell>
          <cell r="DW1185">
            <v>0</v>
          </cell>
          <cell r="DX1185">
            <v>0</v>
          </cell>
          <cell r="DY1185" t="str">
            <v/>
          </cell>
          <cell r="DZ1185" t="str">
            <v>pasiv</v>
          </cell>
          <cell r="EA1185" t="e">
            <v>#DIV/0!</v>
          </cell>
        </row>
        <row r="1186">
          <cell r="B1186">
            <v>359569</v>
          </cell>
          <cell r="C1186" t="str">
            <v>ულქერი_ბებე_172გ_2ც+1ც ჯამი კოვზით_საბავშვო</v>
          </cell>
          <cell r="D1186" t="str">
            <v>TON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O1186">
            <v>0</v>
          </cell>
          <cell r="AP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  <cell r="BO1186">
            <v>0</v>
          </cell>
          <cell r="BP1186">
            <v>0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O1186">
            <v>0</v>
          </cell>
          <cell r="CP1186">
            <v>0</v>
          </cell>
          <cell r="CQ1186">
            <v>0</v>
          </cell>
          <cell r="CR1186">
            <v>0</v>
          </cell>
          <cell r="CS1186">
            <v>0</v>
          </cell>
          <cell r="CT1186">
            <v>0</v>
          </cell>
          <cell r="CU1186">
            <v>0</v>
          </cell>
          <cell r="CV1186">
            <v>0</v>
          </cell>
          <cell r="CW1186">
            <v>0</v>
          </cell>
          <cell r="CX1186">
            <v>0</v>
          </cell>
          <cell r="CY1186">
            <v>0</v>
          </cell>
          <cell r="CZ1186">
            <v>0</v>
          </cell>
          <cell r="DA1186">
            <v>0</v>
          </cell>
          <cell r="DB1186">
            <v>0</v>
          </cell>
          <cell r="DC1186">
            <v>0</v>
          </cell>
          <cell r="DD1186">
            <v>0</v>
          </cell>
          <cell r="DE1186">
            <v>0</v>
          </cell>
          <cell r="DF1186">
            <v>0</v>
          </cell>
          <cell r="DG1186">
            <v>0</v>
          </cell>
          <cell r="DH1186">
            <v>0</v>
          </cell>
          <cell r="DI1186">
            <v>0</v>
          </cell>
          <cell r="DJ1186">
            <v>0</v>
          </cell>
          <cell r="DK1186">
            <v>0</v>
          </cell>
          <cell r="DL1186">
            <v>0</v>
          </cell>
          <cell r="DM1186">
            <v>0</v>
          </cell>
          <cell r="DN1186">
            <v>0</v>
          </cell>
          <cell r="DO1186">
            <v>0</v>
          </cell>
          <cell r="DP1186">
            <v>0</v>
          </cell>
          <cell r="DQ1186">
            <v>0</v>
          </cell>
          <cell r="DR1186">
            <v>0</v>
          </cell>
          <cell r="DS1186">
            <v>0</v>
          </cell>
          <cell r="DT1186">
            <v>0</v>
          </cell>
          <cell r="DU1186">
            <v>0</v>
          </cell>
          <cell r="DV1186">
            <v>0</v>
          </cell>
          <cell r="DW1186">
            <v>0</v>
          </cell>
          <cell r="DX1186">
            <v>0</v>
          </cell>
          <cell r="DY1186" t="str">
            <v/>
          </cell>
          <cell r="DZ1186" t="str">
            <v>pasiv</v>
          </cell>
          <cell r="EA1186" t="e">
            <v>#DIV/0!</v>
          </cell>
        </row>
        <row r="1187">
          <cell r="B1187">
            <v>322138</v>
          </cell>
          <cell r="C1187" t="str">
            <v>ულქერი_ფექი_რულეტი_მარწყვ.კრემით_150გ*15_KZ</v>
          </cell>
          <cell r="D1187" t="str">
            <v>TON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O1187">
            <v>0</v>
          </cell>
          <cell r="AP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O1187">
            <v>0</v>
          </cell>
          <cell r="CP1187">
            <v>0</v>
          </cell>
          <cell r="CQ1187">
            <v>0</v>
          </cell>
          <cell r="CR1187">
            <v>0</v>
          </cell>
          <cell r="CS1187">
            <v>0</v>
          </cell>
          <cell r="CT1187">
            <v>0</v>
          </cell>
          <cell r="CU1187">
            <v>0</v>
          </cell>
          <cell r="CV1187">
            <v>0</v>
          </cell>
          <cell r="CW1187">
            <v>0</v>
          </cell>
          <cell r="CX1187">
            <v>0</v>
          </cell>
          <cell r="CY1187">
            <v>0</v>
          </cell>
          <cell r="CZ1187">
            <v>0</v>
          </cell>
          <cell r="DA1187">
            <v>0</v>
          </cell>
          <cell r="DB1187">
            <v>0</v>
          </cell>
          <cell r="DC1187">
            <v>0</v>
          </cell>
          <cell r="DD1187">
            <v>0</v>
          </cell>
          <cell r="DE1187">
            <v>0</v>
          </cell>
          <cell r="DF1187">
            <v>0</v>
          </cell>
          <cell r="DG1187">
            <v>0</v>
          </cell>
          <cell r="DH1187">
            <v>0</v>
          </cell>
          <cell r="DI1187">
            <v>0</v>
          </cell>
          <cell r="DJ1187">
            <v>0</v>
          </cell>
          <cell r="DK1187">
            <v>0</v>
          </cell>
          <cell r="DL1187">
            <v>0</v>
          </cell>
          <cell r="DM1187">
            <v>0</v>
          </cell>
          <cell r="DN1187">
            <v>0</v>
          </cell>
          <cell r="DO1187">
            <v>0</v>
          </cell>
          <cell r="DP1187">
            <v>0</v>
          </cell>
          <cell r="DQ1187">
            <v>0</v>
          </cell>
          <cell r="DR1187">
            <v>0</v>
          </cell>
          <cell r="DS1187">
            <v>0</v>
          </cell>
          <cell r="DT1187">
            <v>0</v>
          </cell>
          <cell r="DU1187">
            <v>0</v>
          </cell>
          <cell r="DV1187">
            <v>0</v>
          </cell>
          <cell r="DW1187">
            <v>0</v>
          </cell>
          <cell r="DX1187">
            <v>0</v>
          </cell>
          <cell r="DY1187" t="str">
            <v/>
          </cell>
          <cell r="DZ1187" t="str">
            <v>pasiv</v>
          </cell>
          <cell r="EA1187" t="e">
            <v>#DIV/0!</v>
          </cell>
        </row>
        <row r="1188">
          <cell r="B1188">
            <v>322139</v>
          </cell>
          <cell r="C1188" t="str">
            <v>ულქერი_ფექი_რულეტი_შესქ.რძის კრემით_150გ*15_KZ</v>
          </cell>
          <cell r="D1188" t="str">
            <v>TON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O1188">
            <v>0</v>
          </cell>
          <cell r="AP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  <cell r="BO1188">
            <v>0</v>
          </cell>
          <cell r="BP1188">
            <v>0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O1188">
            <v>0</v>
          </cell>
          <cell r="CP1188">
            <v>0</v>
          </cell>
          <cell r="CQ1188">
            <v>0</v>
          </cell>
          <cell r="CR1188">
            <v>0</v>
          </cell>
          <cell r="CS1188">
            <v>0</v>
          </cell>
          <cell r="CT1188">
            <v>0</v>
          </cell>
          <cell r="CU1188">
            <v>0</v>
          </cell>
          <cell r="CV1188">
            <v>0</v>
          </cell>
          <cell r="CW1188">
            <v>0</v>
          </cell>
          <cell r="CX1188">
            <v>0</v>
          </cell>
          <cell r="CY1188">
            <v>0</v>
          </cell>
          <cell r="CZ1188">
            <v>0</v>
          </cell>
          <cell r="DA1188">
            <v>0</v>
          </cell>
          <cell r="DB1188">
            <v>0</v>
          </cell>
          <cell r="DC1188">
            <v>0</v>
          </cell>
          <cell r="DD1188">
            <v>0</v>
          </cell>
          <cell r="DE1188">
            <v>0</v>
          </cell>
          <cell r="DF1188">
            <v>0</v>
          </cell>
          <cell r="DG1188">
            <v>0</v>
          </cell>
          <cell r="DH1188">
            <v>0</v>
          </cell>
          <cell r="DI1188">
            <v>0</v>
          </cell>
          <cell r="DJ1188">
            <v>0</v>
          </cell>
          <cell r="DK1188">
            <v>0</v>
          </cell>
          <cell r="DL1188">
            <v>0</v>
          </cell>
          <cell r="DM1188">
            <v>0</v>
          </cell>
          <cell r="DN1188">
            <v>0</v>
          </cell>
          <cell r="DO1188">
            <v>0</v>
          </cell>
          <cell r="DP1188">
            <v>0</v>
          </cell>
          <cell r="DQ1188">
            <v>0</v>
          </cell>
          <cell r="DR1188">
            <v>0</v>
          </cell>
          <cell r="DS1188">
            <v>0</v>
          </cell>
          <cell r="DT1188">
            <v>0</v>
          </cell>
          <cell r="DU1188">
            <v>0</v>
          </cell>
          <cell r="DV1188">
            <v>0</v>
          </cell>
          <cell r="DW1188">
            <v>0</v>
          </cell>
          <cell r="DX1188">
            <v>0</v>
          </cell>
          <cell r="DY1188" t="str">
            <v/>
          </cell>
          <cell r="DZ1188" t="str">
            <v>pasiv</v>
          </cell>
          <cell r="EA1188" t="e">
            <v>#DIV/0!</v>
          </cell>
        </row>
        <row r="1189">
          <cell r="B1189">
            <v>352502</v>
          </cell>
          <cell r="C1189" t="str">
            <v>ულქერი_YUPO_დრაჟე_15გ*24*6</v>
          </cell>
          <cell r="D1189" t="str">
            <v>TON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O1189">
            <v>0</v>
          </cell>
          <cell r="AP1189">
            <v>0</v>
          </cell>
          <cell r="AS1189">
            <v>0</v>
          </cell>
          <cell r="AT1189">
            <v>0</v>
          </cell>
          <cell r="AU1189">
            <v>1.08E-3</v>
          </cell>
          <cell r="AV1189">
            <v>57.02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  <cell r="BO1189">
            <v>0</v>
          </cell>
          <cell r="BP1189">
            <v>0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3.6000000000000002E-4</v>
          </cell>
          <cell r="BX1189">
            <v>18.62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3.6000000000000002E-4</v>
          </cell>
          <cell r="CJ1189">
            <v>18.62</v>
          </cell>
          <cell r="CK1189">
            <v>3.6000000000000002E-4</v>
          </cell>
          <cell r="CL1189">
            <v>18.62</v>
          </cell>
          <cell r="CO1189">
            <v>0</v>
          </cell>
          <cell r="CP1189">
            <v>0</v>
          </cell>
          <cell r="CQ1189">
            <v>0</v>
          </cell>
          <cell r="CR1189">
            <v>0</v>
          </cell>
          <cell r="CS1189">
            <v>0</v>
          </cell>
          <cell r="CT1189">
            <v>0</v>
          </cell>
          <cell r="CU1189">
            <v>7.2000000000000005E-4</v>
          </cell>
          <cell r="CV1189">
            <v>38.4</v>
          </cell>
          <cell r="CW1189">
            <v>0</v>
          </cell>
          <cell r="CX1189">
            <v>0</v>
          </cell>
          <cell r="CY1189">
            <v>0</v>
          </cell>
          <cell r="CZ1189">
            <v>0</v>
          </cell>
          <cell r="DA1189">
            <v>0</v>
          </cell>
          <cell r="DB1189">
            <v>0</v>
          </cell>
          <cell r="DC1189">
            <v>0</v>
          </cell>
          <cell r="DD1189">
            <v>0</v>
          </cell>
          <cell r="DE1189">
            <v>0</v>
          </cell>
          <cell r="DF1189">
            <v>0</v>
          </cell>
          <cell r="DG1189">
            <v>0</v>
          </cell>
          <cell r="DH1189">
            <v>0</v>
          </cell>
          <cell r="DI1189">
            <v>0</v>
          </cell>
          <cell r="DJ1189">
            <v>0</v>
          </cell>
          <cell r="DK1189">
            <v>0</v>
          </cell>
          <cell r="DL1189">
            <v>0</v>
          </cell>
          <cell r="DM1189">
            <v>0</v>
          </cell>
          <cell r="DN1189">
            <v>0</v>
          </cell>
          <cell r="DO1189">
            <v>0</v>
          </cell>
          <cell r="DP1189">
            <v>0</v>
          </cell>
          <cell r="DQ1189">
            <v>0</v>
          </cell>
          <cell r="DR1189">
            <v>0</v>
          </cell>
          <cell r="DS1189">
            <v>7.2000000000000005E-4</v>
          </cell>
          <cell r="DT1189">
            <v>38.4</v>
          </cell>
          <cell r="DU1189">
            <v>7.2000000000000005E-4</v>
          </cell>
          <cell r="DV1189">
            <v>38.4</v>
          </cell>
          <cell r="DW1189">
            <v>1.08E-3</v>
          </cell>
          <cell r="DX1189">
            <v>57.019999999999996</v>
          </cell>
          <cell r="DY1189" t="str">
            <v/>
          </cell>
          <cell r="DZ1189">
            <v>0</v>
          </cell>
          <cell r="EA1189">
            <v>52796.296296296292</v>
          </cell>
        </row>
        <row r="1190">
          <cell r="B1190">
            <v>372629</v>
          </cell>
          <cell r="C1190" t="str">
            <v>ულქერი_მეტრო ბიგ3_45გ*18*6</v>
          </cell>
          <cell r="D1190" t="str">
            <v>TON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  <cell r="AJ1190">
            <v>0</v>
          </cell>
          <cell r="AK1190">
            <v>0</v>
          </cell>
          <cell r="AL1190">
            <v>0</v>
          </cell>
          <cell r="AO1190">
            <v>0</v>
          </cell>
          <cell r="AP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0</v>
          </cell>
          <cell r="CB1190">
            <v>0</v>
          </cell>
          <cell r="CC1190">
            <v>0</v>
          </cell>
          <cell r="CD1190">
            <v>0</v>
          </cell>
          <cell r="CE1190">
            <v>0</v>
          </cell>
          <cell r="CF1190">
            <v>0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O1190">
            <v>0</v>
          </cell>
          <cell r="CP1190">
            <v>0</v>
          </cell>
          <cell r="CQ1190">
            <v>0</v>
          </cell>
          <cell r="CR1190">
            <v>0</v>
          </cell>
          <cell r="CS1190">
            <v>0</v>
          </cell>
          <cell r="CT1190">
            <v>0</v>
          </cell>
          <cell r="CU1190">
            <v>0</v>
          </cell>
          <cell r="CV1190">
            <v>0</v>
          </cell>
          <cell r="CW1190">
            <v>0</v>
          </cell>
          <cell r="CX1190">
            <v>0</v>
          </cell>
          <cell r="CY1190">
            <v>0</v>
          </cell>
          <cell r="CZ1190">
            <v>0</v>
          </cell>
          <cell r="DA1190">
            <v>0</v>
          </cell>
          <cell r="DB1190">
            <v>0</v>
          </cell>
          <cell r="DC1190">
            <v>0</v>
          </cell>
          <cell r="DD1190">
            <v>0</v>
          </cell>
          <cell r="DE1190">
            <v>0</v>
          </cell>
          <cell r="DF1190">
            <v>0</v>
          </cell>
          <cell r="DG1190">
            <v>0</v>
          </cell>
          <cell r="DH1190">
            <v>0</v>
          </cell>
          <cell r="DI1190">
            <v>0</v>
          </cell>
          <cell r="DJ1190">
            <v>0</v>
          </cell>
          <cell r="DK1190">
            <v>0</v>
          </cell>
          <cell r="DL1190">
            <v>0</v>
          </cell>
          <cell r="DM1190">
            <v>0</v>
          </cell>
          <cell r="DN1190">
            <v>0</v>
          </cell>
          <cell r="DO1190">
            <v>0</v>
          </cell>
          <cell r="DP1190">
            <v>0</v>
          </cell>
          <cell r="DQ1190">
            <v>0</v>
          </cell>
          <cell r="DR1190">
            <v>0</v>
          </cell>
          <cell r="DS1190">
            <v>0</v>
          </cell>
          <cell r="DT1190">
            <v>0</v>
          </cell>
          <cell r="DU1190">
            <v>0</v>
          </cell>
          <cell r="DV1190">
            <v>0</v>
          </cell>
          <cell r="DW1190">
            <v>0</v>
          </cell>
          <cell r="DX1190">
            <v>0</v>
          </cell>
          <cell r="DY1190" t="str">
            <v/>
          </cell>
          <cell r="DZ1190" t="str">
            <v>pasiv</v>
          </cell>
          <cell r="EA1190" t="e">
            <v>#DIV/0!</v>
          </cell>
        </row>
        <row r="1191">
          <cell r="B1191">
            <v>322143</v>
          </cell>
          <cell r="C1191" t="str">
            <v>ულქერი_ფექი_რულეტი_კაკაოს კრემით_150გ*15_KZ</v>
          </cell>
          <cell r="D1191" t="str">
            <v>TON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  <cell r="AJ1191">
            <v>0</v>
          </cell>
          <cell r="AK1191">
            <v>0</v>
          </cell>
          <cell r="AL1191">
            <v>0</v>
          </cell>
          <cell r="AO1191">
            <v>0</v>
          </cell>
          <cell r="AP1191">
            <v>0</v>
          </cell>
          <cell r="AS1191">
            <v>0</v>
          </cell>
          <cell r="AT1191">
            <v>0</v>
          </cell>
          <cell r="AU1191">
            <v>8.9999999999999998E-4</v>
          </cell>
          <cell r="AV1191">
            <v>12.8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  <cell r="BO1191">
            <v>0</v>
          </cell>
          <cell r="BP1191">
            <v>0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8.9999999999999998E-4</v>
          </cell>
          <cell r="BX1191">
            <v>12.8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8.9999999999999998E-4</v>
          </cell>
          <cell r="CJ1191">
            <v>12.8</v>
          </cell>
          <cell r="CK1191">
            <v>8.9999999999999998E-4</v>
          </cell>
          <cell r="CL1191">
            <v>12.8</v>
          </cell>
          <cell r="CO1191">
            <v>0</v>
          </cell>
          <cell r="CP1191">
            <v>0</v>
          </cell>
          <cell r="CQ1191">
            <v>0</v>
          </cell>
          <cell r="CR1191">
            <v>0</v>
          </cell>
          <cell r="CS1191">
            <v>0</v>
          </cell>
          <cell r="CT1191">
            <v>0</v>
          </cell>
          <cell r="CU1191">
            <v>0</v>
          </cell>
          <cell r="CV1191">
            <v>0</v>
          </cell>
          <cell r="CW1191">
            <v>0</v>
          </cell>
          <cell r="CX1191">
            <v>0</v>
          </cell>
          <cell r="CY1191">
            <v>0</v>
          </cell>
          <cell r="CZ1191">
            <v>0</v>
          </cell>
          <cell r="DA1191">
            <v>0</v>
          </cell>
          <cell r="DB1191">
            <v>0</v>
          </cell>
          <cell r="DC1191">
            <v>0</v>
          </cell>
          <cell r="DD1191">
            <v>0</v>
          </cell>
          <cell r="DE1191">
            <v>0</v>
          </cell>
          <cell r="DF1191">
            <v>0</v>
          </cell>
          <cell r="DG1191">
            <v>0</v>
          </cell>
          <cell r="DH1191">
            <v>0</v>
          </cell>
          <cell r="DI1191">
            <v>0</v>
          </cell>
          <cell r="DJ1191">
            <v>0</v>
          </cell>
          <cell r="DK1191">
            <v>0</v>
          </cell>
          <cell r="DL1191">
            <v>0</v>
          </cell>
          <cell r="DM1191">
            <v>0</v>
          </cell>
          <cell r="DN1191">
            <v>0</v>
          </cell>
          <cell r="DO1191">
            <v>0</v>
          </cell>
          <cell r="DP1191">
            <v>0</v>
          </cell>
          <cell r="DQ1191">
            <v>0</v>
          </cell>
          <cell r="DR1191">
            <v>0</v>
          </cell>
          <cell r="DS1191">
            <v>0</v>
          </cell>
          <cell r="DT1191">
            <v>0</v>
          </cell>
          <cell r="DU1191">
            <v>0</v>
          </cell>
          <cell r="DV1191">
            <v>0</v>
          </cell>
          <cell r="DW1191">
            <v>8.9999999999999998E-4</v>
          </cell>
          <cell r="DX1191">
            <v>12.8</v>
          </cell>
          <cell r="DY1191" t="str">
            <v/>
          </cell>
          <cell r="DZ1191">
            <v>0</v>
          </cell>
          <cell r="EA1191">
            <v>14222.222222222223</v>
          </cell>
        </row>
        <row r="1192">
          <cell r="B1192">
            <v>322172</v>
          </cell>
          <cell r="C1192" t="str">
            <v>ულქერი_ფექი_რულეტი_გარგარის კრემით_150გ*15_KZ</v>
          </cell>
          <cell r="D1192" t="str">
            <v>TON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O1192">
            <v>0</v>
          </cell>
          <cell r="AP1192">
            <v>0</v>
          </cell>
          <cell r="AS1192">
            <v>0</v>
          </cell>
          <cell r="AT1192">
            <v>0</v>
          </cell>
          <cell r="AU1192">
            <v>5.9999999999999995E-4</v>
          </cell>
          <cell r="AV1192">
            <v>8.4499999999999993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5.9999999999999995E-4</v>
          </cell>
          <cell r="BZ1192">
            <v>8.4499999999999993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5.9999999999999995E-4</v>
          </cell>
          <cell r="CJ1192">
            <v>8.4499999999999993</v>
          </cell>
          <cell r="CK1192">
            <v>5.9999999999999995E-4</v>
          </cell>
          <cell r="CL1192">
            <v>8.4499999999999993</v>
          </cell>
          <cell r="CO1192">
            <v>0</v>
          </cell>
          <cell r="CP1192">
            <v>0</v>
          </cell>
          <cell r="CQ1192">
            <v>0</v>
          </cell>
          <cell r="CR1192">
            <v>0</v>
          </cell>
          <cell r="CS1192">
            <v>0</v>
          </cell>
          <cell r="CT1192">
            <v>0</v>
          </cell>
          <cell r="CU1192">
            <v>0</v>
          </cell>
          <cell r="CV1192">
            <v>0</v>
          </cell>
          <cell r="CW1192">
            <v>0</v>
          </cell>
          <cell r="CX1192">
            <v>0</v>
          </cell>
          <cell r="CY1192">
            <v>0</v>
          </cell>
          <cell r="CZ1192">
            <v>0</v>
          </cell>
          <cell r="DA1192">
            <v>0</v>
          </cell>
          <cell r="DB1192">
            <v>0</v>
          </cell>
          <cell r="DC1192">
            <v>0</v>
          </cell>
          <cell r="DD1192">
            <v>0</v>
          </cell>
          <cell r="DE1192">
            <v>0</v>
          </cell>
          <cell r="DF1192">
            <v>0</v>
          </cell>
          <cell r="DG1192">
            <v>0</v>
          </cell>
          <cell r="DH1192">
            <v>0</v>
          </cell>
          <cell r="DI1192">
            <v>0</v>
          </cell>
          <cell r="DJ1192">
            <v>0</v>
          </cell>
          <cell r="DK1192">
            <v>0</v>
          </cell>
          <cell r="DL1192">
            <v>0</v>
          </cell>
          <cell r="DM1192">
            <v>0</v>
          </cell>
          <cell r="DN1192">
            <v>0</v>
          </cell>
          <cell r="DO1192">
            <v>0</v>
          </cell>
          <cell r="DP1192">
            <v>0</v>
          </cell>
          <cell r="DQ1192">
            <v>0</v>
          </cell>
          <cell r="DR1192">
            <v>0</v>
          </cell>
          <cell r="DS1192">
            <v>0</v>
          </cell>
          <cell r="DT1192">
            <v>0</v>
          </cell>
          <cell r="DU1192">
            <v>0</v>
          </cell>
          <cell r="DV1192">
            <v>0</v>
          </cell>
          <cell r="DW1192">
            <v>5.9999999999999995E-4</v>
          </cell>
          <cell r="DX1192">
            <v>8.4499999999999993</v>
          </cell>
          <cell r="DY1192" t="str">
            <v/>
          </cell>
          <cell r="DZ1192">
            <v>0</v>
          </cell>
          <cell r="EA1192">
            <v>14083.333333333334</v>
          </cell>
        </row>
        <row r="1193">
          <cell r="B1193">
            <v>323624</v>
          </cell>
          <cell r="C1193" t="str">
            <v>ულქერი_ლუნა_ვაფლი შოკ.მიწ.თხილ_40გ*24*6_KZ</v>
          </cell>
          <cell r="D1193" t="str">
            <v>TON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O1193">
            <v>0</v>
          </cell>
          <cell r="AP1193">
            <v>0</v>
          </cell>
          <cell r="AS1193">
            <v>0</v>
          </cell>
          <cell r="AT1193">
            <v>0</v>
          </cell>
          <cell r="AU1193">
            <v>-6.8000000000000005E-4</v>
          </cell>
          <cell r="AV1193">
            <v>-15.61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  <cell r="BO1193">
            <v>0</v>
          </cell>
          <cell r="BP1193">
            <v>0</v>
          </cell>
          <cell r="BQ1193">
            <v>0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O1193">
            <v>0</v>
          </cell>
          <cell r="CP1193">
            <v>0</v>
          </cell>
          <cell r="CQ1193">
            <v>0</v>
          </cell>
          <cell r="CR1193">
            <v>0</v>
          </cell>
          <cell r="CS1193">
            <v>0</v>
          </cell>
          <cell r="CT1193">
            <v>0</v>
          </cell>
          <cell r="CU1193">
            <v>-4.8000000000000001E-4</v>
          </cell>
          <cell r="CV1193">
            <v>-11.16</v>
          </cell>
          <cell r="CW1193">
            <v>0</v>
          </cell>
          <cell r="CX1193">
            <v>0</v>
          </cell>
          <cell r="CY1193">
            <v>0</v>
          </cell>
          <cell r="CZ1193">
            <v>0</v>
          </cell>
          <cell r="DA1193">
            <v>0</v>
          </cell>
          <cell r="DB1193">
            <v>0</v>
          </cell>
          <cell r="DC1193">
            <v>0</v>
          </cell>
          <cell r="DD1193">
            <v>0</v>
          </cell>
          <cell r="DE1193">
            <v>0</v>
          </cell>
          <cell r="DF1193">
            <v>0</v>
          </cell>
          <cell r="DG1193">
            <v>0</v>
          </cell>
          <cell r="DH1193">
            <v>0</v>
          </cell>
          <cell r="DI1193">
            <v>-2.0000000000000001E-4</v>
          </cell>
          <cell r="DJ1193">
            <v>-4.45</v>
          </cell>
          <cell r="DK1193">
            <v>0</v>
          </cell>
          <cell r="DL1193">
            <v>0</v>
          </cell>
          <cell r="DM1193">
            <v>-2.0000000000000001E-4</v>
          </cell>
          <cell r="DN1193">
            <v>-4.45</v>
          </cell>
          <cell r="DO1193">
            <v>0</v>
          </cell>
          <cell r="DP1193">
            <v>0</v>
          </cell>
          <cell r="DQ1193">
            <v>-4.8000000000000001E-4</v>
          </cell>
          <cell r="DR1193">
            <v>-11.16</v>
          </cell>
          <cell r="DS1193">
            <v>0</v>
          </cell>
          <cell r="DT1193">
            <v>0</v>
          </cell>
          <cell r="DU1193">
            <v>-4.8000000000000001E-4</v>
          </cell>
          <cell r="DV1193">
            <v>-11.16</v>
          </cell>
          <cell r="DW1193">
            <v>-6.8000000000000005E-4</v>
          </cell>
          <cell r="DX1193">
            <v>-15.61</v>
          </cell>
          <cell r="DY1193" t="str">
            <v/>
          </cell>
          <cell r="DZ1193">
            <v>0</v>
          </cell>
          <cell r="EA1193">
            <v>22955.882352941175</v>
          </cell>
        </row>
        <row r="1194">
          <cell r="B1194">
            <v>376010</v>
          </cell>
          <cell r="C1194" t="str">
            <v>ულქერი_POTIBOR_ორცხობილა ორფერი_150გ*14</v>
          </cell>
          <cell r="D1194" t="str">
            <v>TON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O1194">
            <v>0</v>
          </cell>
          <cell r="AP1194">
            <v>0</v>
          </cell>
          <cell r="AS1194">
            <v>0</v>
          </cell>
          <cell r="AT1194">
            <v>0</v>
          </cell>
          <cell r="AU1194">
            <v>8.9999999999999998E-4</v>
          </cell>
          <cell r="AV1194">
            <v>14.52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  <cell r="BO1194">
            <v>0</v>
          </cell>
          <cell r="BP1194">
            <v>0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O1194">
            <v>0</v>
          </cell>
          <cell r="CP1194">
            <v>0</v>
          </cell>
          <cell r="CQ1194">
            <v>0</v>
          </cell>
          <cell r="CR1194">
            <v>0</v>
          </cell>
          <cell r="CS1194">
            <v>0</v>
          </cell>
          <cell r="CT1194">
            <v>0</v>
          </cell>
          <cell r="CU1194">
            <v>0</v>
          </cell>
          <cell r="CV1194">
            <v>0</v>
          </cell>
          <cell r="CW1194">
            <v>0</v>
          </cell>
          <cell r="CX1194">
            <v>0</v>
          </cell>
          <cell r="CY1194">
            <v>0</v>
          </cell>
          <cell r="CZ1194">
            <v>0</v>
          </cell>
          <cell r="DA1194">
            <v>8.9999999999999998E-4</v>
          </cell>
          <cell r="DB1194">
            <v>14.52</v>
          </cell>
          <cell r="DC1194">
            <v>0</v>
          </cell>
          <cell r="DD1194">
            <v>0</v>
          </cell>
          <cell r="DE1194">
            <v>8.9999999999999998E-4</v>
          </cell>
          <cell r="DF1194">
            <v>14.52</v>
          </cell>
          <cell r="DG1194">
            <v>0</v>
          </cell>
          <cell r="DH1194">
            <v>0</v>
          </cell>
          <cell r="DI1194">
            <v>0</v>
          </cell>
          <cell r="DJ1194">
            <v>0</v>
          </cell>
          <cell r="DK1194">
            <v>0</v>
          </cell>
          <cell r="DL1194">
            <v>0</v>
          </cell>
          <cell r="DM1194">
            <v>0</v>
          </cell>
          <cell r="DN1194">
            <v>0</v>
          </cell>
          <cell r="DO1194">
            <v>0</v>
          </cell>
          <cell r="DP1194">
            <v>0</v>
          </cell>
          <cell r="DQ1194">
            <v>0</v>
          </cell>
          <cell r="DR1194">
            <v>0</v>
          </cell>
          <cell r="DS1194">
            <v>0</v>
          </cell>
          <cell r="DT1194">
            <v>0</v>
          </cell>
          <cell r="DU1194">
            <v>0</v>
          </cell>
          <cell r="DV1194">
            <v>0</v>
          </cell>
          <cell r="DW1194">
            <v>8.9999999999999998E-4</v>
          </cell>
          <cell r="DX1194">
            <v>14.52</v>
          </cell>
          <cell r="DY1194" t="str">
            <v/>
          </cell>
          <cell r="DZ1194">
            <v>0</v>
          </cell>
          <cell r="EA1194">
            <v>16133.333333333334</v>
          </cell>
        </row>
        <row r="1195">
          <cell r="B1195">
            <v>323721</v>
          </cell>
          <cell r="C1195" t="str">
            <v>ულქერი_ალბენი_რძიანი შოკოლადი_55გ*24*6_KZ</v>
          </cell>
          <cell r="D1195" t="str">
            <v>TON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2.904E-2</v>
          </cell>
          <cell r="AD1195">
            <v>575.52</v>
          </cell>
          <cell r="AE1195">
            <v>0</v>
          </cell>
          <cell r="AF1195">
            <v>0</v>
          </cell>
          <cell r="AG1195">
            <v>6.6E-3</v>
          </cell>
          <cell r="AH1195">
            <v>127.73</v>
          </cell>
          <cell r="AI1195">
            <v>1.452E-2</v>
          </cell>
          <cell r="AJ1195">
            <v>287.76</v>
          </cell>
          <cell r="AK1195">
            <v>2.2440000000000002E-2</v>
          </cell>
          <cell r="AL1195">
            <v>442.81</v>
          </cell>
          <cell r="AO1195">
            <v>7.2599999999999998E-2</v>
          </cell>
          <cell r="AP1195">
            <v>1433.82</v>
          </cell>
          <cell r="AS1195">
            <v>0</v>
          </cell>
          <cell r="AT1195">
            <v>0</v>
          </cell>
          <cell r="AU1195">
            <v>0.13705999999999999</v>
          </cell>
          <cell r="AV1195">
            <v>2654.46</v>
          </cell>
          <cell r="AW1195">
            <v>0</v>
          </cell>
          <cell r="AX1195">
            <v>0</v>
          </cell>
          <cell r="AY1195">
            <v>1.32E-3</v>
          </cell>
          <cell r="AZ1195">
            <v>25</v>
          </cell>
          <cell r="BA1195">
            <v>0</v>
          </cell>
          <cell r="BB1195">
            <v>0</v>
          </cell>
          <cell r="BC1195">
            <v>1.32E-3</v>
          </cell>
          <cell r="BD1195">
            <v>24.25</v>
          </cell>
          <cell r="BE1195">
            <v>2.64E-3</v>
          </cell>
          <cell r="BF1195">
            <v>49.25</v>
          </cell>
          <cell r="BG1195">
            <v>3.96E-3</v>
          </cell>
          <cell r="BH1195">
            <v>78.48</v>
          </cell>
          <cell r="BI1195">
            <v>0</v>
          </cell>
          <cell r="BJ1195">
            <v>0</v>
          </cell>
          <cell r="BK1195">
            <v>1.32E-3</v>
          </cell>
          <cell r="BL1195">
            <v>26.16</v>
          </cell>
          <cell r="BM1195">
            <v>1.32E-3</v>
          </cell>
          <cell r="BN1195">
            <v>26.16</v>
          </cell>
          <cell r="BO1195">
            <v>9.2399999999999999E-3</v>
          </cell>
          <cell r="BP1195">
            <v>181.21</v>
          </cell>
          <cell r="BQ1195">
            <v>0</v>
          </cell>
          <cell r="BR1195">
            <v>0</v>
          </cell>
          <cell r="BS1195">
            <v>1.584E-2</v>
          </cell>
          <cell r="BT1195">
            <v>312.01</v>
          </cell>
          <cell r="BU1195">
            <v>2.64E-3</v>
          </cell>
          <cell r="BV1195">
            <v>49.25</v>
          </cell>
          <cell r="BW1195">
            <v>5.28E-3</v>
          </cell>
          <cell r="BX1195">
            <v>97.75</v>
          </cell>
          <cell r="BY1195">
            <v>3.96E-3</v>
          </cell>
          <cell r="BZ1195">
            <v>75.819999999999993</v>
          </cell>
          <cell r="CA1195">
            <v>3.96E-3</v>
          </cell>
          <cell r="CB1195">
            <v>78.48</v>
          </cell>
          <cell r="CC1195">
            <v>-3.8499999999999998E-4</v>
          </cell>
          <cell r="CD1195">
            <v>-7</v>
          </cell>
          <cell r="CE1195">
            <v>1.3254999999999999E-2</v>
          </cell>
          <cell r="CF1195">
            <v>226.3</v>
          </cell>
          <cell r="CG1195">
            <v>0</v>
          </cell>
          <cell r="CH1195">
            <v>0</v>
          </cell>
          <cell r="CI1195">
            <v>2.8709999999999999E-2</v>
          </cell>
          <cell r="CJ1195">
            <v>520.6</v>
          </cell>
          <cell r="CK1195">
            <v>4.4549999999999999E-2</v>
          </cell>
          <cell r="CL1195">
            <v>832.61</v>
          </cell>
          <cell r="CO1195">
            <v>0</v>
          </cell>
          <cell r="CP1195">
            <v>0</v>
          </cell>
          <cell r="CQ1195">
            <v>0</v>
          </cell>
          <cell r="CR1195">
            <v>0</v>
          </cell>
          <cell r="CS1195">
            <v>0</v>
          </cell>
          <cell r="CT1195">
            <v>0</v>
          </cell>
          <cell r="CU1195">
            <v>7.92E-3</v>
          </cell>
          <cell r="CV1195">
            <v>156.96</v>
          </cell>
          <cell r="CW1195">
            <v>0</v>
          </cell>
          <cell r="CX1195">
            <v>0</v>
          </cell>
          <cell r="CY1195">
            <v>5.28E-3</v>
          </cell>
          <cell r="CZ1195">
            <v>102.32</v>
          </cell>
          <cell r="DA1195">
            <v>0</v>
          </cell>
          <cell r="DB1195">
            <v>0</v>
          </cell>
          <cell r="DC1195">
            <v>0</v>
          </cell>
          <cell r="DD1195">
            <v>0</v>
          </cell>
          <cell r="DE1195">
            <v>5.28E-3</v>
          </cell>
          <cell r="DF1195">
            <v>102.32</v>
          </cell>
          <cell r="DG1195">
            <v>0</v>
          </cell>
          <cell r="DH1195">
            <v>0</v>
          </cell>
          <cell r="DI1195">
            <v>2.64E-3</v>
          </cell>
          <cell r="DJ1195">
            <v>51.16</v>
          </cell>
          <cell r="DK1195">
            <v>1.4300000000000001E-3</v>
          </cell>
          <cell r="DL1195">
            <v>28.34</v>
          </cell>
          <cell r="DM1195">
            <v>4.0699999999999998E-3</v>
          </cell>
          <cell r="DN1195">
            <v>79.5</v>
          </cell>
          <cell r="DO1195">
            <v>3.96E-3</v>
          </cell>
          <cell r="DP1195">
            <v>78.48</v>
          </cell>
          <cell r="DQ1195">
            <v>1.32E-3</v>
          </cell>
          <cell r="DR1195">
            <v>26.16</v>
          </cell>
          <cell r="DS1195">
            <v>2.64E-3</v>
          </cell>
          <cell r="DT1195">
            <v>52.32</v>
          </cell>
          <cell r="DU1195">
            <v>7.92E-3</v>
          </cell>
          <cell r="DV1195">
            <v>156.96</v>
          </cell>
          <cell r="DW1195">
            <v>0.13706000000000002</v>
          </cell>
          <cell r="DX1195">
            <v>2654.46</v>
          </cell>
          <cell r="DY1195" t="str">
            <v/>
          </cell>
          <cell r="DZ1195">
            <v>0</v>
          </cell>
          <cell r="EA1195">
            <v>19367.138479498029</v>
          </cell>
        </row>
        <row r="1196">
          <cell r="B1196">
            <v>308407</v>
          </cell>
          <cell r="C1196" t="str">
            <v>ულქერი_ჰელი_ბისკვ შავი თუთის_235.9*12</v>
          </cell>
          <cell r="D1196" t="str">
            <v>TON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O1196">
            <v>0</v>
          </cell>
          <cell r="AP1196">
            <v>0</v>
          </cell>
          <cell r="AS1196">
            <v>0</v>
          </cell>
          <cell r="AT1196">
            <v>0</v>
          </cell>
          <cell r="AU1196">
            <v>5.2605699999999998E-2</v>
          </cell>
          <cell r="AV1196">
            <v>1033.3599999999999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-2.5948999999999998E-3</v>
          </cell>
          <cell r="BJ1196">
            <v>-52.65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-2.5948999999999998E-3</v>
          </cell>
          <cell r="BT1196">
            <v>-52.65</v>
          </cell>
          <cell r="BU1196">
            <v>1.4154E-3</v>
          </cell>
          <cell r="BV1196">
            <v>31.8</v>
          </cell>
          <cell r="BW1196">
            <v>2.8308000000000001E-3</v>
          </cell>
          <cell r="BX1196">
            <v>62.65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4.8123600000000002E-2</v>
          </cell>
          <cell r="CF1196">
            <v>928.56</v>
          </cell>
          <cell r="CG1196">
            <v>0</v>
          </cell>
          <cell r="CH1196">
            <v>0</v>
          </cell>
          <cell r="CI1196">
            <v>5.2369800000000001E-2</v>
          </cell>
          <cell r="CJ1196">
            <v>1023.01</v>
          </cell>
          <cell r="CK1196">
            <v>4.9774900000000004E-2</v>
          </cell>
          <cell r="CL1196">
            <v>970.36</v>
          </cell>
          <cell r="CO1196">
            <v>0</v>
          </cell>
          <cell r="CP1196">
            <v>0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0</v>
          </cell>
          <cell r="CW1196">
            <v>0</v>
          </cell>
          <cell r="CX1196">
            <v>0</v>
          </cell>
          <cell r="CY1196">
            <v>2.8308000000000001E-3</v>
          </cell>
          <cell r="CZ1196">
            <v>63</v>
          </cell>
          <cell r="DA1196">
            <v>0</v>
          </cell>
          <cell r="DB1196">
            <v>0</v>
          </cell>
          <cell r="DC1196">
            <v>0</v>
          </cell>
          <cell r="DD1196">
            <v>0</v>
          </cell>
          <cell r="DE1196">
            <v>2.8308000000000001E-3</v>
          </cell>
          <cell r="DF1196">
            <v>63</v>
          </cell>
          <cell r="DG1196">
            <v>0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  <cell r="DL1196">
            <v>0</v>
          </cell>
          <cell r="DM1196">
            <v>0</v>
          </cell>
          <cell r="DN1196">
            <v>0</v>
          </cell>
          <cell r="DO1196">
            <v>0</v>
          </cell>
          <cell r="DP1196">
            <v>0</v>
          </cell>
          <cell r="DQ1196">
            <v>0</v>
          </cell>
          <cell r="DR1196">
            <v>0</v>
          </cell>
          <cell r="DS1196">
            <v>0</v>
          </cell>
          <cell r="DT1196">
            <v>0</v>
          </cell>
          <cell r="DU1196">
            <v>0</v>
          </cell>
          <cell r="DV1196">
            <v>0</v>
          </cell>
          <cell r="DW1196">
            <v>5.2605700000000005E-2</v>
          </cell>
          <cell r="DX1196">
            <v>1033.3600000000001</v>
          </cell>
          <cell r="DY1196" t="str">
            <v/>
          </cell>
          <cell r="DZ1196">
            <v>0</v>
          </cell>
          <cell r="EA1196">
            <v>19643.498708314877</v>
          </cell>
        </row>
        <row r="1197">
          <cell r="B1197">
            <v>310102</v>
          </cell>
          <cell r="C1197" t="str">
            <v>ულქერი_ჩოკომელ_კაკოს ზეფირი_48გ*30</v>
          </cell>
          <cell r="D1197" t="str">
            <v>TON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O1197">
            <v>0</v>
          </cell>
          <cell r="AP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0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O1197">
            <v>0</v>
          </cell>
          <cell r="CP1197">
            <v>0</v>
          </cell>
          <cell r="CQ1197">
            <v>0</v>
          </cell>
          <cell r="CR1197">
            <v>0</v>
          </cell>
          <cell r="CS1197">
            <v>0</v>
          </cell>
          <cell r="CT1197">
            <v>0</v>
          </cell>
          <cell r="CU1197">
            <v>0</v>
          </cell>
          <cell r="CV1197">
            <v>0</v>
          </cell>
          <cell r="CW1197">
            <v>0</v>
          </cell>
          <cell r="CX1197">
            <v>0</v>
          </cell>
          <cell r="CY1197">
            <v>0</v>
          </cell>
          <cell r="CZ1197">
            <v>0</v>
          </cell>
          <cell r="DA1197">
            <v>0</v>
          </cell>
          <cell r="DB1197">
            <v>0</v>
          </cell>
          <cell r="DC1197">
            <v>0</v>
          </cell>
          <cell r="DD1197">
            <v>0</v>
          </cell>
          <cell r="DE1197">
            <v>0</v>
          </cell>
          <cell r="DF1197">
            <v>0</v>
          </cell>
          <cell r="DG1197">
            <v>0</v>
          </cell>
          <cell r="DH1197">
            <v>0</v>
          </cell>
          <cell r="DI1197">
            <v>0</v>
          </cell>
          <cell r="DJ1197">
            <v>0</v>
          </cell>
          <cell r="DK1197">
            <v>0</v>
          </cell>
          <cell r="DL1197">
            <v>0</v>
          </cell>
          <cell r="DM1197">
            <v>0</v>
          </cell>
          <cell r="DN1197">
            <v>0</v>
          </cell>
          <cell r="DO1197">
            <v>0</v>
          </cell>
          <cell r="DP1197">
            <v>0</v>
          </cell>
          <cell r="DQ1197">
            <v>0</v>
          </cell>
          <cell r="DR1197">
            <v>0</v>
          </cell>
          <cell r="DS1197">
            <v>0</v>
          </cell>
          <cell r="DT1197">
            <v>0</v>
          </cell>
          <cell r="DU1197">
            <v>0</v>
          </cell>
          <cell r="DV1197">
            <v>0</v>
          </cell>
          <cell r="DW1197">
            <v>0</v>
          </cell>
          <cell r="DX1197">
            <v>0</v>
          </cell>
          <cell r="DY1197" t="str">
            <v/>
          </cell>
          <cell r="DZ1197" t="str">
            <v>pasiv</v>
          </cell>
          <cell r="EA1197" t="e">
            <v>#DIV/0!</v>
          </cell>
        </row>
        <row r="1198">
          <cell r="B1198">
            <v>360116</v>
          </cell>
          <cell r="C1198" t="str">
            <v>ულქერი_HAYLAYF_ორცხობილა_150გ*12</v>
          </cell>
          <cell r="D1198" t="str">
            <v>TON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O1198">
            <v>0</v>
          </cell>
          <cell r="AP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0</v>
          </cell>
          <cell r="BM1198">
            <v>0</v>
          </cell>
          <cell r="BN1198">
            <v>0</v>
          </cell>
          <cell r="BO1198">
            <v>0</v>
          </cell>
          <cell r="BP1198">
            <v>0</v>
          </cell>
          <cell r="BQ1198">
            <v>0</v>
          </cell>
          <cell r="BR1198">
            <v>0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O1198">
            <v>0</v>
          </cell>
          <cell r="CP1198">
            <v>0</v>
          </cell>
          <cell r="CQ1198">
            <v>0</v>
          </cell>
          <cell r="CR1198">
            <v>0</v>
          </cell>
          <cell r="CS1198">
            <v>0</v>
          </cell>
          <cell r="CT1198">
            <v>0</v>
          </cell>
          <cell r="CU1198">
            <v>0</v>
          </cell>
          <cell r="CV1198">
            <v>0</v>
          </cell>
          <cell r="CW1198">
            <v>0</v>
          </cell>
          <cell r="CX1198">
            <v>0</v>
          </cell>
          <cell r="CY1198">
            <v>0</v>
          </cell>
          <cell r="CZ1198">
            <v>0</v>
          </cell>
          <cell r="DA1198">
            <v>0</v>
          </cell>
          <cell r="DB1198">
            <v>0</v>
          </cell>
          <cell r="DC1198">
            <v>0</v>
          </cell>
          <cell r="DD1198">
            <v>0</v>
          </cell>
          <cell r="DE1198">
            <v>0</v>
          </cell>
          <cell r="DF1198">
            <v>0</v>
          </cell>
          <cell r="DG1198">
            <v>0</v>
          </cell>
          <cell r="DH1198">
            <v>0</v>
          </cell>
          <cell r="DI1198">
            <v>0</v>
          </cell>
          <cell r="DJ1198">
            <v>0</v>
          </cell>
          <cell r="DK1198">
            <v>0</v>
          </cell>
          <cell r="DL1198">
            <v>0</v>
          </cell>
          <cell r="DM1198">
            <v>0</v>
          </cell>
          <cell r="DN1198">
            <v>0</v>
          </cell>
          <cell r="DO1198">
            <v>0</v>
          </cell>
          <cell r="DP1198">
            <v>0</v>
          </cell>
          <cell r="DQ1198">
            <v>0</v>
          </cell>
          <cell r="DR1198">
            <v>0</v>
          </cell>
          <cell r="DS1198">
            <v>0</v>
          </cell>
          <cell r="DT1198">
            <v>0</v>
          </cell>
          <cell r="DU1198">
            <v>0</v>
          </cell>
          <cell r="DV1198">
            <v>0</v>
          </cell>
          <cell r="DW1198">
            <v>0</v>
          </cell>
          <cell r="DX1198">
            <v>0</v>
          </cell>
          <cell r="DY1198" t="str">
            <v/>
          </cell>
          <cell r="DZ1198" t="str">
            <v>pasiv</v>
          </cell>
          <cell r="EA1198" t="e">
            <v>#DIV/0!</v>
          </cell>
        </row>
        <row r="1199">
          <cell r="B1199">
            <v>305325</v>
          </cell>
          <cell r="C1199" t="str">
            <v>ულქერი_ალბენი_ჩხირი_47გ*18*6</v>
          </cell>
          <cell r="D1199" t="str">
            <v>TON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O1199">
            <v>0</v>
          </cell>
          <cell r="AP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0</v>
          </cell>
          <cell r="BJ1199">
            <v>0</v>
          </cell>
          <cell r="BK1199">
            <v>0</v>
          </cell>
          <cell r="BL1199">
            <v>0</v>
          </cell>
          <cell r="BM1199">
            <v>0</v>
          </cell>
          <cell r="BN1199">
            <v>0</v>
          </cell>
          <cell r="BO1199">
            <v>0</v>
          </cell>
          <cell r="BP1199">
            <v>0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O1199">
            <v>0</v>
          </cell>
          <cell r="CP1199">
            <v>0</v>
          </cell>
          <cell r="CQ1199">
            <v>0</v>
          </cell>
          <cell r="CR1199">
            <v>0</v>
          </cell>
          <cell r="CS1199">
            <v>0</v>
          </cell>
          <cell r="CT1199">
            <v>0</v>
          </cell>
          <cell r="CU1199">
            <v>0</v>
          </cell>
          <cell r="CV1199">
            <v>0</v>
          </cell>
          <cell r="CW1199">
            <v>0</v>
          </cell>
          <cell r="CX1199">
            <v>0</v>
          </cell>
          <cell r="CY1199">
            <v>0</v>
          </cell>
          <cell r="CZ1199">
            <v>0</v>
          </cell>
          <cell r="DA1199">
            <v>0</v>
          </cell>
          <cell r="DB1199">
            <v>0</v>
          </cell>
          <cell r="DC1199">
            <v>0</v>
          </cell>
          <cell r="DD1199">
            <v>0</v>
          </cell>
          <cell r="DE1199">
            <v>0</v>
          </cell>
          <cell r="DF1199">
            <v>0</v>
          </cell>
          <cell r="DG1199">
            <v>0</v>
          </cell>
          <cell r="DH1199">
            <v>0</v>
          </cell>
          <cell r="DI1199">
            <v>0</v>
          </cell>
          <cell r="DJ1199">
            <v>0</v>
          </cell>
          <cell r="DK1199">
            <v>0</v>
          </cell>
          <cell r="DL1199">
            <v>0</v>
          </cell>
          <cell r="DM1199">
            <v>0</v>
          </cell>
          <cell r="DN1199">
            <v>0</v>
          </cell>
          <cell r="DO1199">
            <v>0</v>
          </cell>
          <cell r="DP1199">
            <v>0</v>
          </cell>
          <cell r="DQ1199">
            <v>0</v>
          </cell>
          <cell r="DR1199">
            <v>0</v>
          </cell>
          <cell r="DS1199">
            <v>0</v>
          </cell>
          <cell r="DT1199">
            <v>0</v>
          </cell>
          <cell r="DU1199">
            <v>0</v>
          </cell>
          <cell r="DV1199">
            <v>0</v>
          </cell>
          <cell r="DW1199">
            <v>0</v>
          </cell>
          <cell r="DX1199">
            <v>0</v>
          </cell>
          <cell r="DY1199" t="str">
            <v/>
          </cell>
          <cell r="DZ1199" t="str">
            <v>pasiv</v>
          </cell>
          <cell r="EA1199" t="e">
            <v>#DIV/0!</v>
          </cell>
        </row>
        <row r="1200">
          <cell r="B1200">
            <v>304521</v>
          </cell>
          <cell r="C1200" t="str">
            <v>ულქერი_ჩხირები_სეზამით_40გ*30</v>
          </cell>
          <cell r="D1200" t="str">
            <v>TON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2.4000000000000001E-4</v>
          </cell>
          <cell r="AF1200">
            <v>4.62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O1200">
            <v>2.4000000000000001E-4</v>
          </cell>
          <cell r="AP1200">
            <v>4.62</v>
          </cell>
          <cell r="AS1200">
            <v>0</v>
          </cell>
          <cell r="AT1200">
            <v>0</v>
          </cell>
          <cell r="AU1200">
            <v>1.044E-2</v>
          </cell>
          <cell r="AV1200">
            <v>201.6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0</v>
          </cell>
          <cell r="BM1200">
            <v>0</v>
          </cell>
          <cell r="BN1200">
            <v>0</v>
          </cell>
          <cell r="BO1200">
            <v>0</v>
          </cell>
          <cell r="BP1200">
            <v>0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1.1999999999999999E-3</v>
          </cell>
          <cell r="BV1200">
            <v>24.6</v>
          </cell>
          <cell r="BW1200">
            <v>0</v>
          </cell>
          <cell r="BX1200">
            <v>0</v>
          </cell>
          <cell r="BY1200">
            <v>4.0000000000000001E-3</v>
          </cell>
          <cell r="BZ1200">
            <v>78.3</v>
          </cell>
          <cell r="CA1200">
            <v>1.1999999999999999E-3</v>
          </cell>
          <cell r="CB1200">
            <v>24.3</v>
          </cell>
          <cell r="CC1200">
            <v>0</v>
          </cell>
          <cell r="CD1200">
            <v>0</v>
          </cell>
          <cell r="CE1200">
            <v>2.5999999999999999E-3</v>
          </cell>
          <cell r="CF1200">
            <v>45.18</v>
          </cell>
          <cell r="CG1200">
            <v>0</v>
          </cell>
          <cell r="CH1200">
            <v>0</v>
          </cell>
          <cell r="CI1200">
            <v>8.9999999999999993E-3</v>
          </cell>
          <cell r="CJ1200">
            <v>172.38</v>
          </cell>
          <cell r="CK1200">
            <v>8.9999999999999993E-3</v>
          </cell>
          <cell r="CL1200">
            <v>172.38</v>
          </cell>
          <cell r="CO1200">
            <v>0</v>
          </cell>
          <cell r="CP1200">
            <v>0</v>
          </cell>
          <cell r="CQ1200">
            <v>0</v>
          </cell>
          <cell r="CR1200">
            <v>0</v>
          </cell>
          <cell r="CS1200">
            <v>0</v>
          </cell>
          <cell r="CT1200">
            <v>0</v>
          </cell>
          <cell r="CU1200">
            <v>0</v>
          </cell>
          <cell r="CV1200">
            <v>0</v>
          </cell>
          <cell r="CW1200">
            <v>0</v>
          </cell>
          <cell r="CX1200">
            <v>0</v>
          </cell>
          <cell r="CY1200">
            <v>1.1999999999999999E-3</v>
          </cell>
          <cell r="CZ1200">
            <v>24.6</v>
          </cell>
          <cell r="DA1200">
            <v>0</v>
          </cell>
          <cell r="DB1200">
            <v>0</v>
          </cell>
          <cell r="DC1200">
            <v>0</v>
          </cell>
          <cell r="DD1200">
            <v>0</v>
          </cell>
          <cell r="DE1200">
            <v>1.1999999999999999E-3</v>
          </cell>
          <cell r="DF1200">
            <v>24.6</v>
          </cell>
          <cell r="DG1200">
            <v>0</v>
          </cell>
          <cell r="DH1200">
            <v>0</v>
          </cell>
          <cell r="DI1200">
            <v>0</v>
          </cell>
          <cell r="DJ1200">
            <v>0</v>
          </cell>
          <cell r="DK1200">
            <v>0</v>
          </cell>
          <cell r="DL1200">
            <v>0</v>
          </cell>
          <cell r="DM1200">
            <v>0</v>
          </cell>
          <cell r="DN1200">
            <v>0</v>
          </cell>
          <cell r="DO1200">
            <v>0</v>
          </cell>
          <cell r="DP1200">
            <v>0</v>
          </cell>
          <cell r="DQ1200">
            <v>0</v>
          </cell>
          <cell r="DR1200">
            <v>0</v>
          </cell>
          <cell r="DS1200">
            <v>0</v>
          </cell>
          <cell r="DT1200">
            <v>0</v>
          </cell>
          <cell r="DU1200">
            <v>0</v>
          </cell>
          <cell r="DV1200">
            <v>0</v>
          </cell>
          <cell r="DW1200">
            <v>1.044E-2</v>
          </cell>
          <cell r="DX1200">
            <v>201.6</v>
          </cell>
          <cell r="DY1200" t="str">
            <v/>
          </cell>
          <cell r="DZ1200">
            <v>0</v>
          </cell>
          <cell r="EA1200">
            <v>19310.344827586207</v>
          </cell>
        </row>
        <row r="1201">
          <cell r="B1201">
            <v>304481</v>
          </cell>
          <cell r="C1201" t="str">
            <v>ულქერი_ბისკრემ_ბისკვ.კაკაოს კრემ_205გ*12</v>
          </cell>
          <cell r="D1201" t="str">
            <v>TON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1.23E-3</v>
          </cell>
          <cell r="AD1201">
            <v>18.48</v>
          </cell>
          <cell r="AE1201">
            <v>0</v>
          </cell>
          <cell r="AF1201">
            <v>0</v>
          </cell>
          <cell r="AG1201">
            <v>1.23E-3</v>
          </cell>
          <cell r="AH1201">
            <v>18.48</v>
          </cell>
          <cell r="AI1201">
            <v>6.3550000000000004E-3</v>
          </cell>
          <cell r="AJ1201">
            <v>96.08</v>
          </cell>
          <cell r="AK1201">
            <v>3.6900000000000001E-3</v>
          </cell>
          <cell r="AL1201">
            <v>55.44</v>
          </cell>
          <cell r="AO1201">
            <v>1.2505E-2</v>
          </cell>
          <cell r="AP1201">
            <v>188.48</v>
          </cell>
          <cell r="AS1201">
            <v>0</v>
          </cell>
          <cell r="AT1201">
            <v>0</v>
          </cell>
          <cell r="AU1201">
            <v>0.17424999999999999</v>
          </cell>
          <cell r="AV1201">
            <v>2527.12</v>
          </cell>
          <cell r="AW1201">
            <v>0</v>
          </cell>
          <cell r="AX1201">
            <v>0</v>
          </cell>
          <cell r="AY1201">
            <v>4.9199999999999999E-3</v>
          </cell>
          <cell r="AZ1201">
            <v>75.36</v>
          </cell>
          <cell r="BA1201">
            <v>0</v>
          </cell>
          <cell r="BB1201">
            <v>0</v>
          </cell>
          <cell r="BC1201">
            <v>8.1999999999999998E-4</v>
          </cell>
          <cell r="BD1201">
            <v>12.32</v>
          </cell>
          <cell r="BE1201">
            <v>5.7400000000000003E-3</v>
          </cell>
          <cell r="BF1201">
            <v>87.68</v>
          </cell>
          <cell r="BG1201">
            <v>2.4599999999999999E-3</v>
          </cell>
          <cell r="BH1201">
            <v>36.96</v>
          </cell>
          <cell r="BI1201">
            <v>0</v>
          </cell>
          <cell r="BJ1201">
            <v>0</v>
          </cell>
          <cell r="BK1201">
            <v>4.5100000000000001E-3</v>
          </cell>
          <cell r="BL1201">
            <v>67.760000000000005</v>
          </cell>
          <cell r="BM1201">
            <v>1.23E-3</v>
          </cell>
          <cell r="BN1201">
            <v>18.48</v>
          </cell>
          <cell r="BO1201">
            <v>1.4350000000000001E-3</v>
          </cell>
          <cell r="BP1201">
            <v>21.56</v>
          </cell>
          <cell r="BQ1201">
            <v>0</v>
          </cell>
          <cell r="BR1201">
            <v>0</v>
          </cell>
          <cell r="BS1201">
            <v>9.6349999999999995E-3</v>
          </cell>
          <cell r="BT1201">
            <v>144.76</v>
          </cell>
          <cell r="BU1201">
            <v>0</v>
          </cell>
          <cell r="BV1201">
            <v>0</v>
          </cell>
          <cell r="BW1201">
            <v>3.6900000000000001E-3</v>
          </cell>
          <cell r="BX1201">
            <v>55.87</v>
          </cell>
          <cell r="BY1201">
            <v>2.4599999999999999E-3</v>
          </cell>
          <cell r="BZ1201">
            <v>37.25</v>
          </cell>
          <cell r="CA1201">
            <v>8.6099999999999996E-3</v>
          </cell>
          <cell r="CB1201">
            <v>129.36000000000001</v>
          </cell>
          <cell r="CC1201">
            <v>0</v>
          </cell>
          <cell r="CD1201">
            <v>0</v>
          </cell>
          <cell r="CE1201">
            <v>5.6579999999999998E-2</v>
          </cell>
          <cell r="CF1201">
            <v>751.3</v>
          </cell>
          <cell r="CG1201">
            <v>0</v>
          </cell>
          <cell r="CH1201">
            <v>0</v>
          </cell>
          <cell r="CI1201">
            <v>7.1340000000000001E-2</v>
          </cell>
          <cell r="CJ1201">
            <v>973.78</v>
          </cell>
          <cell r="CK1201">
            <v>8.0975000000000005E-2</v>
          </cell>
          <cell r="CL1201">
            <v>1118.54</v>
          </cell>
          <cell r="CO1201">
            <v>0</v>
          </cell>
          <cell r="CP1201">
            <v>0</v>
          </cell>
          <cell r="CQ1201">
            <v>0</v>
          </cell>
          <cell r="CR1201">
            <v>0</v>
          </cell>
          <cell r="CS1201">
            <v>0</v>
          </cell>
          <cell r="CT1201">
            <v>0</v>
          </cell>
          <cell r="CU1201">
            <v>2.7470000000000001E-2</v>
          </cell>
          <cell r="CV1201">
            <v>417.04</v>
          </cell>
          <cell r="CW1201">
            <v>0</v>
          </cell>
          <cell r="CX1201">
            <v>0</v>
          </cell>
          <cell r="CY1201">
            <v>3.6694999999999998E-2</v>
          </cell>
          <cell r="CZ1201">
            <v>551.97</v>
          </cell>
          <cell r="DA1201">
            <v>8.4049999999999993E-3</v>
          </cell>
          <cell r="DB1201">
            <v>126.88</v>
          </cell>
          <cell r="DC1201">
            <v>1.23E-3</v>
          </cell>
          <cell r="DD1201">
            <v>18.05</v>
          </cell>
          <cell r="DE1201">
            <v>4.6330000000000003E-2</v>
          </cell>
          <cell r="DF1201">
            <v>696.9</v>
          </cell>
          <cell r="DG1201">
            <v>0</v>
          </cell>
          <cell r="DH1201">
            <v>0</v>
          </cell>
          <cell r="DI1201">
            <v>0</v>
          </cell>
          <cell r="DJ1201">
            <v>0</v>
          </cell>
          <cell r="DK1201">
            <v>1.23E-3</v>
          </cell>
          <cell r="DL1201">
            <v>18.48</v>
          </cell>
          <cell r="DM1201">
            <v>1.23E-3</v>
          </cell>
          <cell r="DN1201">
            <v>18.48</v>
          </cell>
          <cell r="DO1201">
            <v>6.5599999999999999E-3</v>
          </cell>
          <cell r="DP1201">
            <v>98.56</v>
          </cell>
          <cell r="DQ1201">
            <v>2.4599999999999999E-3</v>
          </cell>
          <cell r="DR1201">
            <v>36.96</v>
          </cell>
          <cell r="DS1201">
            <v>1.8450000000000001E-2</v>
          </cell>
          <cell r="DT1201">
            <v>281.52</v>
          </cell>
          <cell r="DU1201">
            <v>2.7470000000000001E-2</v>
          </cell>
          <cell r="DV1201">
            <v>417.04</v>
          </cell>
          <cell r="DW1201">
            <v>0.17424999999999999</v>
          </cell>
          <cell r="DX1201">
            <v>2527.12</v>
          </cell>
          <cell r="DY1201" t="str">
            <v/>
          </cell>
          <cell r="DZ1201">
            <v>0</v>
          </cell>
          <cell r="EA1201">
            <v>14502.84074605452</v>
          </cell>
        </row>
        <row r="1202">
          <cell r="B1202">
            <v>323722</v>
          </cell>
          <cell r="C1202" t="str">
            <v>ულქერი_ჰელი_სენდვიჩი შოკ.ზეფირი_30გ*48_KZ</v>
          </cell>
          <cell r="D1202" t="str">
            <v>TON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O1202">
            <v>0</v>
          </cell>
          <cell r="AP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  <cell r="BO1202">
            <v>0</v>
          </cell>
          <cell r="BP1202">
            <v>0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O1202">
            <v>0</v>
          </cell>
          <cell r="CP1202">
            <v>0</v>
          </cell>
          <cell r="CQ1202">
            <v>0</v>
          </cell>
          <cell r="CR1202">
            <v>0</v>
          </cell>
          <cell r="CS1202">
            <v>0</v>
          </cell>
          <cell r="CT1202">
            <v>0</v>
          </cell>
          <cell r="CU1202">
            <v>0</v>
          </cell>
          <cell r="CV1202">
            <v>0</v>
          </cell>
          <cell r="CW1202">
            <v>0</v>
          </cell>
          <cell r="CX1202">
            <v>0</v>
          </cell>
          <cell r="CY1202">
            <v>0</v>
          </cell>
          <cell r="CZ1202">
            <v>0</v>
          </cell>
          <cell r="DA1202">
            <v>0</v>
          </cell>
          <cell r="DB1202">
            <v>0</v>
          </cell>
          <cell r="DC1202">
            <v>0</v>
          </cell>
          <cell r="DD1202">
            <v>0</v>
          </cell>
          <cell r="DE1202">
            <v>0</v>
          </cell>
          <cell r="DF1202">
            <v>0</v>
          </cell>
          <cell r="DG1202">
            <v>0</v>
          </cell>
          <cell r="DH1202">
            <v>0</v>
          </cell>
          <cell r="DI1202">
            <v>0</v>
          </cell>
          <cell r="DJ1202">
            <v>0</v>
          </cell>
          <cell r="DK1202">
            <v>0</v>
          </cell>
          <cell r="DL1202">
            <v>0</v>
          </cell>
          <cell r="DM1202">
            <v>0</v>
          </cell>
          <cell r="DN1202">
            <v>0</v>
          </cell>
          <cell r="DO1202">
            <v>0</v>
          </cell>
          <cell r="DP1202">
            <v>0</v>
          </cell>
          <cell r="DQ1202">
            <v>0</v>
          </cell>
          <cell r="DR1202">
            <v>0</v>
          </cell>
          <cell r="DS1202">
            <v>0</v>
          </cell>
          <cell r="DT1202">
            <v>0</v>
          </cell>
          <cell r="DU1202">
            <v>0</v>
          </cell>
          <cell r="DV1202">
            <v>0</v>
          </cell>
          <cell r="DW1202">
            <v>0</v>
          </cell>
          <cell r="DX1202">
            <v>0</v>
          </cell>
          <cell r="DY1202" t="str">
            <v/>
          </cell>
          <cell r="DZ1202" t="str">
            <v>pasiv</v>
          </cell>
          <cell r="EA1202" t="e">
            <v>#DIV/0!</v>
          </cell>
        </row>
        <row r="1203">
          <cell r="B1203">
            <v>304993</v>
          </cell>
          <cell r="C1203" t="str">
            <v>ულქერი_ბისკრემ_ბისკვიტი კაკაოს კრემით _130გ*18</v>
          </cell>
          <cell r="D1203" t="str">
            <v>TON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1.2999999999999999E-3</v>
          </cell>
          <cell r="AD1203">
            <v>27.21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3.1199999999999999E-3</v>
          </cell>
          <cell r="AJ1203">
            <v>63.12</v>
          </cell>
          <cell r="AK1203">
            <v>4.4200000000000003E-3</v>
          </cell>
          <cell r="AL1203">
            <v>89.42</v>
          </cell>
          <cell r="AO1203">
            <v>8.8400000000000006E-3</v>
          </cell>
          <cell r="AP1203">
            <v>179.75</v>
          </cell>
          <cell r="AS1203">
            <v>0</v>
          </cell>
          <cell r="AT1203">
            <v>0</v>
          </cell>
          <cell r="AU1203">
            <v>2.392E-2</v>
          </cell>
          <cell r="AV1203">
            <v>469.44</v>
          </cell>
          <cell r="AW1203">
            <v>0</v>
          </cell>
          <cell r="AX1203">
            <v>0</v>
          </cell>
          <cell r="AY1203">
            <v>2.3400000000000001E-3</v>
          </cell>
          <cell r="AZ1203">
            <v>45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2.3400000000000001E-3</v>
          </cell>
          <cell r="BF1203">
            <v>45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-1.2999999999999999E-4</v>
          </cell>
          <cell r="BL1203">
            <v>-2.29</v>
          </cell>
          <cell r="BM1203">
            <v>0</v>
          </cell>
          <cell r="BN1203">
            <v>0</v>
          </cell>
          <cell r="BO1203">
            <v>7.7999999999999999E-4</v>
          </cell>
          <cell r="BP1203">
            <v>15.78</v>
          </cell>
          <cell r="BQ1203">
            <v>0</v>
          </cell>
          <cell r="BR1203">
            <v>0</v>
          </cell>
          <cell r="BS1203">
            <v>6.4999999999999997E-4</v>
          </cell>
          <cell r="BT1203">
            <v>13.49</v>
          </cell>
          <cell r="BU1203">
            <v>0</v>
          </cell>
          <cell r="BV1203">
            <v>0</v>
          </cell>
          <cell r="BW1203">
            <v>3.1199999999999999E-3</v>
          </cell>
          <cell r="BX1203">
            <v>58.2</v>
          </cell>
          <cell r="BY1203">
            <v>2.0799999999999998E-3</v>
          </cell>
          <cell r="BZ1203">
            <v>37.6</v>
          </cell>
          <cell r="CA1203">
            <v>2.47E-3</v>
          </cell>
          <cell r="CB1203">
            <v>49.97</v>
          </cell>
          <cell r="CC1203">
            <v>-1.0399999999999999E-3</v>
          </cell>
          <cell r="CD1203">
            <v>-18.32</v>
          </cell>
          <cell r="CE1203">
            <v>2.5999999999999998E-4</v>
          </cell>
          <cell r="CF1203">
            <v>4.8</v>
          </cell>
          <cell r="CG1203">
            <v>0</v>
          </cell>
          <cell r="CH1203">
            <v>0</v>
          </cell>
          <cell r="CI1203">
            <v>6.8900000000000003E-3</v>
          </cell>
          <cell r="CJ1203">
            <v>132.25</v>
          </cell>
          <cell r="CK1203">
            <v>7.5399999999999998E-3</v>
          </cell>
          <cell r="CL1203">
            <v>145.74</v>
          </cell>
          <cell r="CO1203">
            <v>0</v>
          </cell>
          <cell r="CP1203">
            <v>0</v>
          </cell>
          <cell r="CQ1203">
            <v>0</v>
          </cell>
          <cell r="CR1203">
            <v>0</v>
          </cell>
          <cell r="CS1203">
            <v>0</v>
          </cell>
          <cell r="CT1203">
            <v>0</v>
          </cell>
          <cell r="CU1203">
            <v>2.7299999999999998E-3</v>
          </cell>
          <cell r="CV1203">
            <v>51.32</v>
          </cell>
          <cell r="CW1203">
            <v>0</v>
          </cell>
          <cell r="CX1203">
            <v>0</v>
          </cell>
          <cell r="CY1203">
            <v>2.3400000000000001E-3</v>
          </cell>
          <cell r="CZ1203">
            <v>45</v>
          </cell>
          <cell r="DA1203">
            <v>0</v>
          </cell>
          <cell r="DB1203">
            <v>0</v>
          </cell>
          <cell r="DC1203">
            <v>0</v>
          </cell>
          <cell r="DD1203">
            <v>0</v>
          </cell>
          <cell r="DE1203">
            <v>2.3400000000000001E-3</v>
          </cell>
          <cell r="DF1203">
            <v>45</v>
          </cell>
          <cell r="DG1203">
            <v>0</v>
          </cell>
          <cell r="DH1203">
            <v>0</v>
          </cell>
          <cell r="DI1203">
            <v>1.2999999999999999E-4</v>
          </cell>
          <cell r="DJ1203">
            <v>2.63</v>
          </cell>
          <cell r="DK1203">
            <v>0</v>
          </cell>
          <cell r="DL1203">
            <v>0</v>
          </cell>
          <cell r="DM1203">
            <v>1.2999999999999999E-4</v>
          </cell>
          <cell r="DN1203">
            <v>2.63</v>
          </cell>
          <cell r="DO1203">
            <v>0</v>
          </cell>
          <cell r="DP1203">
            <v>0</v>
          </cell>
          <cell r="DQ1203">
            <v>2.7299999999999998E-3</v>
          </cell>
          <cell r="DR1203">
            <v>51.32</v>
          </cell>
          <cell r="DS1203">
            <v>0</v>
          </cell>
          <cell r="DT1203">
            <v>0</v>
          </cell>
          <cell r="DU1203">
            <v>2.7299999999999998E-3</v>
          </cell>
          <cell r="DV1203">
            <v>51.32</v>
          </cell>
          <cell r="DW1203">
            <v>2.392E-2</v>
          </cell>
          <cell r="DX1203">
            <v>469.44</v>
          </cell>
          <cell r="DY1203" t="str">
            <v/>
          </cell>
          <cell r="DZ1203">
            <v>0</v>
          </cell>
          <cell r="EA1203">
            <v>19625.418060200667</v>
          </cell>
        </row>
        <row r="1204">
          <cell r="B1204">
            <v>304495</v>
          </cell>
          <cell r="C1204" t="str">
            <v>ულქერი_ბისკრემი_ბისკვიტი კაკაოს კრემით_100გ*18</v>
          </cell>
          <cell r="D1204" t="str">
            <v>TON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1.8E-3</v>
          </cell>
          <cell r="T1204">
            <v>26.78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1.8E-3</v>
          </cell>
          <cell r="Z1204">
            <v>26.78</v>
          </cell>
          <cell r="AA1204">
            <v>0</v>
          </cell>
          <cell r="AB1204">
            <v>0</v>
          </cell>
          <cell r="AC1204">
            <v>1.8E-3</v>
          </cell>
          <cell r="AD1204">
            <v>29.34</v>
          </cell>
          <cell r="AE1204">
            <v>0</v>
          </cell>
          <cell r="AF1204">
            <v>0</v>
          </cell>
          <cell r="AG1204">
            <v>1.8E-3</v>
          </cell>
          <cell r="AH1204">
            <v>29.34</v>
          </cell>
          <cell r="AI1204">
            <v>3.5999999999999999E-3</v>
          </cell>
          <cell r="AJ1204">
            <v>58.68</v>
          </cell>
          <cell r="AK1204">
            <v>4.0000000000000001E-3</v>
          </cell>
          <cell r="AL1204">
            <v>62.92</v>
          </cell>
          <cell r="AO1204">
            <v>1.12E-2</v>
          </cell>
          <cell r="AP1204">
            <v>180.28</v>
          </cell>
          <cell r="AS1204">
            <v>0</v>
          </cell>
          <cell r="AT1204">
            <v>0</v>
          </cell>
          <cell r="AU1204">
            <v>5.3800000000000001E-2</v>
          </cell>
          <cell r="AV1204">
            <v>839.86</v>
          </cell>
          <cell r="AW1204">
            <v>0</v>
          </cell>
          <cell r="AX1204">
            <v>0</v>
          </cell>
          <cell r="AY1204">
            <v>1.8E-3</v>
          </cell>
          <cell r="AZ1204">
            <v>27.9</v>
          </cell>
          <cell r="BA1204">
            <v>0</v>
          </cell>
          <cell r="BB1204">
            <v>0</v>
          </cell>
          <cell r="BC1204">
            <v>1.8E-3</v>
          </cell>
          <cell r="BD1204">
            <v>29.34</v>
          </cell>
          <cell r="BE1204">
            <v>3.5999999999999999E-3</v>
          </cell>
          <cell r="BF1204">
            <v>57.239999999999995</v>
          </cell>
          <cell r="BG1204">
            <v>2.5000000000000001E-3</v>
          </cell>
          <cell r="BH1204">
            <v>40.75</v>
          </cell>
          <cell r="BI1204">
            <v>0</v>
          </cell>
          <cell r="BJ1204">
            <v>0</v>
          </cell>
          <cell r="BK1204">
            <v>1E-3</v>
          </cell>
          <cell r="BL1204">
            <v>16.3</v>
          </cell>
          <cell r="BM1204">
            <v>4.3E-3</v>
          </cell>
          <cell r="BN1204">
            <v>70.09</v>
          </cell>
          <cell r="BO1204">
            <v>2.9999999999999997E-4</v>
          </cell>
          <cell r="BP1204">
            <v>4.8899999999999997</v>
          </cell>
          <cell r="BQ1204">
            <v>0</v>
          </cell>
          <cell r="BR1204">
            <v>0</v>
          </cell>
          <cell r="BS1204">
            <v>8.0999999999999996E-3</v>
          </cell>
          <cell r="BT1204">
            <v>132.03</v>
          </cell>
          <cell r="BU1204">
            <v>5.4000000000000003E-3</v>
          </cell>
          <cell r="BV1204">
            <v>82.02</v>
          </cell>
          <cell r="BW1204">
            <v>1.8E-3</v>
          </cell>
          <cell r="BX1204">
            <v>27.06</v>
          </cell>
          <cell r="BY1204">
            <v>0</v>
          </cell>
          <cell r="BZ1204">
            <v>0</v>
          </cell>
          <cell r="CA1204">
            <v>5.9999999999999995E-4</v>
          </cell>
          <cell r="CB1204">
            <v>9.7799999999999994</v>
          </cell>
          <cell r="CC1204">
            <v>0</v>
          </cell>
          <cell r="CD1204">
            <v>0</v>
          </cell>
          <cell r="CE1204">
            <v>3.7000000000000002E-3</v>
          </cell>
          <cell r="CF1204">
            <v>48.33</v>
          </cell>
          <cell r="CG1204">
            <v>0</v>
          </cell>
          <cell r="CH1204">
            <v>0</v>
          </cell>
          <cell r="CI1204">
            <v>1.15E-2</v>
          </cell>
          <cell r="CJ1204">
            <v>167.19</v>
          </cell>
          <cell r="CK1204">
            <v>1.9599999999999999E-2</v>
          </cell>
          <cell r="CL1204">
            <v>299.22000000000003</v>
          </cell>
          <cell r="CO1204">
            <v>0</v>
          </cell>
          <cell r="CP1204">
            <v>0</v>
          </cell>
          <cell r="CQ1204">
            <v>0</v>
          </cell>
          <cell r="CR1204">
            <v>0</v>
          </cell>
          <cell r="CS1204">
            <v>0</v>
          </cell>
          <cell r="CT1204">
            <v>0</v>
          </cell>
          <cell r="CU1204">
            <v>6.4000000000000003E-3</v>
          </cell>
          <cell r="CV1204">
            <v>101.44</v>
          </cell>
          <cell r="CW1204">
            <v>0</v>
          </cell>
          <cell r="CX1204">
            <v>0</v>
          </cell>
          <cell r="CY1204">
            <v>3.5999999999999999E-3</v>
          </cell>
          <cell r="CZ1204">
            <v>58.68</v>
          </cell>
          <cell r="DA1204">
            <v>1.8E-3</v>
          </cell>
          <cell r="DB1204">
            <v>29.34</v>
          </cell>
          <cell r="DC1204">
            <v>5.4000000000000003E-3</v>
          </cell>
          <cell r="DD1204">
            <v>80.36</v>
          </cell>
          <cell r="DE1204">
            <v>1.0800000000000001E-2</v>
          </cell>
          <cell r="DF1204">
            <v>168.38</v>
          </cell>
          <cell r="DG1204">
            <v>0</v>
          </cell>
          <cell r="DH1204">
            <v>0</v>
          </cell>
          <cell r="DI1204">
            <v>4.0000000000000002E-4</v>
          </cell>
          <cell r="DJ1204">
            <v>6.52</v>
          </cell>
          <cell r="DK1204">
            <v>0</v>
          </cell>
          <cell r="DL1204">
            <v>0</v>
          </cell>
          <cell r="DM1204">
            <v>4.0000000000000002E-4</v>
          </cell>
          <cell r="DN1204">
            <v>6.52</v>
          </cell>
          <cell r="DO1204">
            <v>1E-3</v>
          </cell>
          <cell r="DP1204">
            <v>16.3</v>
          </cell>
          <cell r="DQ1204">
            <v>1.8E-3</v>
          </cell>
          <cell r="DR1204">
            <v>29.34</v>
          </cell>
          <cell r="DS1204">
            <v>3.5999999999999999E-3</v>
          </cell>
          <cell r="DT1204">
            <v>55.8</v>
          </cell>
          <cell r="DU1204">
            <v>6.4000000000000003E-3</v>
          </cell>
          <cell r="DV1204">
            <v>101.44</v>
          </cell>
          <cell r="DW1204">
            <v>5.3800000000000001E-2</v>
          </cell>
          <cell r="DX1204">
            <v>839.86</v>
          </cell>
          <cell r="DY1204" t="str">
            <v/>
          </cell>
          <cell r="DZ1204">
            <v>0</v>
          </cell>
          <cell r="EA1204">
            <v>15610.780669144982</v>
          </cell>
        </row>
        <row r="1205">
          <cell r="B1205">
            <v>304499</v>
          </cell>
          <cell r="C1205" t="str">
            <v>ულქერი_ბისკრემი_ბისკვიტი კაკაოს კრემით_230გ*12</v>
          </cell>
          <cell r="D1205" t="str">
            <v>TON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O1205">
            <v>0</v>
          </cell>
          <cell r="AP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0</v>
          </cell>
          <cell r="BM1205">
            <v>0</v>
          </cell>
          <cell r="BN1205">
            <v>0</v>
          </cell>
          <cell r="BO1205">
            <v>0</v>
          </cell>
          <cell r="BP1205">
            <v>0</v>
          </cell>
          <cell r="BQ1205">
            <v>0</v>
          </cell>
          <cell r="BR1205">
            <v>0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O1205">
            <v>0</v>
          </cell>
          <cell r="CP1205">
            <v>0</v>
          </cell>
          <cell r="CQ1205">
            <v>0</v>
          </cell>
          <cell r="CR1205">
            <v>0</v>
          </cell>
          <cell r="CS1205">
            <v>0</v>
          </cell>
          <cell r="CT1205">
            <v>0</v>
          </cell>
          <cell r="CU1205">
            <v>0</v>
          </cell>
          <cell r="CV1205">
            <v>0</v>
          </cell>
          <cell r="CW1205">
            <v>0</v>
          </cell>
          <cell r="CX1205">
            <v>0</v>
          </cell>
          <cell r="CY1205">
            <v>0</v>
          </cell>
          <cell r="CZ1205">
            <v>0</v>
          </cell>
          <cell r="DA1205">
            <v>0</v>
          </cell>
          <cell r="DB1205">
            <v>0</v>
          </cell>
          <cell r="DC1205">
            <v>0</v>
          </cell>
          <cell r="DD1205">
            <v>0</v>
          </cell>
          <cell r="DE1205">
            <v>0</v>
          </cell>
          <cell r="DF1205">
            <v>0</v>
          </cell>
          <cell r="DG1205">
            <v>0</v>
          </cell>
          <cell r="DH1205">
            <v>0</v>
          </cell>
          <cell r="DI1205">
            <v>0</v>
          </cell>
          <cell r="DJ1205">
            <v>0</v>
          </cell>
          <cell r="DK1205">
            <v>0</v>
          </cell>
          <cell r="DL1205">
            <v>0</v>
          </cell>
          <cell r="DM1205">
            <v>0</v>
          </cell>
          <cell r="DN1205">
            <v>0</v>
          </cell>
          <cell r="DO1205">
            <v>0</v>
          </cell>
          <cell r="DP1205">
            <v>0</v>
          </cell>
          <cell r="DQ1205">
            <v>0</v>
          </cell>
          <cell r="DR1205">
            <v>0</v>
          </cell>
          <cell r="DS1205">
            <v>0</v>
          </cell>
          <cell r="DT1205">
            <v>0</v>
          </cell>
          <cell r="DU1205">
            <v>0</v>
          </cell>
          <cell r="DV1205">
            <v>0</v>
          </cell>
          <cell r="DW1205">
            <v>0</v>
          </cell>
          <cell r="DX1205">
            <v>0</v>
          </cell>
          <cell r="DY1205" t="str">
            <v/>
          </cell>
          <cell r="DZ1205" t="str">
            <v>pasiv</v>
          </cell>
          <cell r="EA1205" t="e">
            <v>#DIV/0!</v>
          </cell>
        </row>
        <row r="1206">
          <cell r="B1206">
            <v>303516</v>
          </cell>
          <cell r="C1206" t="str">
            <v>ულქერი_დანქექ_კექსი_მოზაიკა_210გ*6</v>
          </cell>
          <cell r="D1206" t="str">
            <v>TON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O1206">
            <v>0</v>
          </cell>
          <cell r="AP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0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O1206">
            <v>0</v>
          </cell>
          <cell r="CP1206">
            <v>0</v>
          </cell>
          <cell r="CQ1206">
            <v>0</v>
          </cell>
          <cell r="CR1206">
            <v>0</v>
          </cell>
          <cell r="CS1206">
            <v>0</v>
          </cell>
          <cell r="CT1206">
            <v>0</v>
          </cell>
          <cell r="CU1206">
            <v>0</v>
          </cell>
          <cell r="CV1206">
            <v>0</v>
          </cell>
          <cell r="CW1206">
            <v>0</v>
          </cell>
          <cell r="CX1206">
            <v>0</v>
          </cell>
          <cell r="CY1206">
            <v>0</v>
          </cell>
          <cell r="CZ1206">
            <v>0</v>
          </cell>
          <cell r="DA1206">
            <v>0</v>
          </cell>
          <cell r="DB1206">
            <v>0</v>
          </cell>
          <cell r="DC1206">
            <v>0</v>
          </cell>
          <cell r="DD1206">
            <v>0</v>
          </cell>
          <cell r="DE1206">
            <v>0</v>
          </cell>
          <cell r="DF1206">
            <v>0</v>
          </cell>
          <cell r="DG1206">
            <v>0</v>
          </cell>
          <cell r="DH1206">
            <v>0</v>
          </cell>
          <cell r="DI1206">
            <v>0</v>
          </cell>
          <cell r="DJ1206">
            <v>0</v>
          </cell>
          <cell r="DK1206">
            <v>0</v>
          </cell>
          <cell r="DL1206">
            <v>0</v>
          </cell>
          <cell r="DM1206">
            <v>0</v>
          </cell>
          <cell r="DN1206">
            <v>0</v>
          </cell>
          <cell r="DO1206">
            <v>0</v>
          </cell>
          <cell r="DP1206">
            <v>0</v>
          </cell>
          <cell r="DQ1206">
            <v>0</v>
          </cell>
          <cell r="DR1206">
            <v>0</v>
          </cell>
          <cell r="DS1206">
            <v>0</v>
          </cell>
          <cell r="DT1206">
            <v>0</v>
          </cell>
          <cell r="DU1206">
            <v>0</v>
          </cell>
          <cell r="DV1206">
            <v>0</v>
          </cell>
          <cell r="DW1206">
            <v>0</v>
          </cell>
          <cell r="DX1206">
            <v>0</v>
          </cell>
          <cell r="DY1206" t="str">
            <v/>
          </cell>
          <cell r="DZ1206" t="str">
            <v>pasiv</v>
          </cell>
          <cell r="EA1206" t="e">
            <v>#DIV/0!</v>
          </cell>
        </row>
        <row r="1207">
          <cell r="B1207">
            <v>383159</v>
          </cell>
          <cell r="C1207" t="str">
            <v>ულქერი_TOFFE_კანფეტი ხილის_1კგ*8</v>
          </cell>
          <cell r="D1207" t="str">
            <v>TON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O1207">
            <v>0</v>
          </cell>
          <cell r="AP1207">
            <v>0</v>
          </cell>
          <cell r="AS1207">
            <v>0</v>
          </cell>
          <cell r="AT1207">
            <v>0</v>
          </cell>
          <cell r="AU1207">
            <v>3.5999999999999997E-2</v>
          </cell>
          <cell r="AV1207">
            <v>351.9</v>
          </cell>
          <cell r="AW1207">
            <v>0</v>
          </cell>
          <cell r="AX1207">
            <v>0</v>
          </cell>
          <cell r="AY1207">
            <v>1E-3</v>
          </cell>
          <cell r="AZ1207">
            <v>9.6999999999999993</v>
          </cell>
          <cell r="BA1207">
            <v>0</v>
          </cell>
          <cell r="BB1207">
            <v>0</v>
          </cell>
          <cell r="BC1207">
            <v>1.6E-2</v>
          </cell>
          <cell r="BD1207">
            <v>155.19999999999999</v>
          </cell>
          <cell r="BE1207">
            <v>1.7000000000000001E-2</v>
          </cell>
          <cell r="BF1207">
            <v>164.89999999999998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0</v>
          </cell>
          <cell r="BM1207">
            <v>0</v>
          </cell>
          <cell r="BN1207">
            <v>0</v>
          </cell>
          <cell r="BO1207">
            <v>1E-3</v>
          </cell>
          <cell r="BP1207">
            <v>10</v>
          </cell>
          <cell r="BQ1207">
            <v>0</v>
          </cell>
          <cell r="BR1207">
            <v>0</v>
          </cell>
          <cell r="BS1207">
            <v>1E-3</v>
          </cell>
          <cell r="BT1207">
            <v>10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2E-3</v>
          </cell>
          <cell r="BZ1207">
            <v>19.399999999999999</v>
          </cell>
          <cell r="CA1207">
            <v>0</v>
          </cell>
          <cell r="CB1207">
            <v>0</v>
          </cell>
          <cell r="CC1207">
            <v>4.0000000000000001E-3</v>
          </cell>
          <cell r="CD1207">
            <v>38.799999999999997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6.0000000000000001E-3</v>
          </cell>
          <cell r="CJ1207">
            <v>58.2</v>
          </cell>
          <cell r="CK1207">
            <v>7.0000000000000001E-3</v>
          </cell>
          <cell r="CL1207">
            <v>68.2</v>
          </cell>
          <cell r="CO1207">
            <v>0</v>
          </cell>
          <cell r="CP1207">
            <v>0</v>
          </cell>
          <cell r="CQ1207">
            <v>0</v>
          </cell>
          <cell r="CR1207">
            <v>0</v>
          </cell>
          <cell r="CS1207">
            <v>0</v>
          </cell>
          <cell r="CT1207">
            <v>0</v>
          </cell>
          <cell r="CU1207">
            <v>1.2E-2</v>
          </cell>
          <cell r="CV1207">
            <v>118.8</v>
          </cell>
          <cell r="CW1207">
            <v>0</v>
          </cell>
          <cell r="CX1207">
            <v>0</v>
          </cell>
          <cell r="CY1207">
            <v>0</v>
          </cell>
          <cell r="CZ1207">
            <v>0</v>
          </cell>
          <cell r="DA1207">
            <v>0</v>
          </cell>
          <cell r="DB1207">
            <v>0</v>
          </cell>
          <cell r="DC1207">
            <v>0</v>
          </cell>
          <cell r="DD1207">
            <v>0</v>
          </cell>
          <cell r="DE1207">
            <v>0</v>
          </cell>
          <cell r="DF1207">
            <v>0</v>
          </cell>
          <cell r="DG1207">
            <v>0</v>
          </cell>
          <cell r="DH1207">
            <v>0</v>
          </cell>
          <cell r="DI1207">
            <v>0</v>
          </cell>
          <cell r="DJ1207">
            <v>0</v>
          </cell>
          <cell r="DK1207">
            <v>0</v>
          </cell>
          <cell r="DL1207">
            <v>0</v>
          </cell>
          <cell r="DM1207">
            <v>0</v>
          </cell>
          <cell r="DN1207">
            <v>0</v>
          </cell>
          <cell r="DO1207">
            <v>0</v>
          </cell>
          <cell r="DP1207">
            <v>0</v>
          </cell>
          <cell r="DQ1207">
            <v>1.2E-2</v>
          </cell>
          <cell r="DR1207">
            <v>118.8</v>
          </cell>
          <cell r="DS1207">
            <v>0</v>
          </cell>
          <cell r="DT1207">
            <v>0</v>
          </cell>
          <cell r="DU1207">
            <v>1.2E-2</v>
          </cell>
          <cell r="DV1207">
            <v>118.8</v>
          </cell>
          <cell r="DW1207">
            <v>3.6000000000000004E-2</v>
          </cell>
          <cell r="DX1207">
            <v>351.9</v>
          </cell>
          <cell r="DY1207" t="str">
            <v/>
          </cell>
          <cell r="DZ1207">
            <v>0</v>
          </cell>
          <cell r="EA1207">
            <v>9774.9999999999982</v>
          </cell>
        </row>
        <row r="1208">
          <cell r="B1208">
            <v>384649</v>
          </cell>
          <cell r="C1208" t="str">
            <v>ულქერი_დანქექ_8ქექ_შოკ.თხილით_52გ_22ც+2ც</v>
          </cell>
          <cell r="D1208" t="str">
            <v>TON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O1208">
            <v>0</v>
          </cell>
          <cell r="AP1208">
            <v>0</v>
          </cell>
          <cell r="AS1208">
            <v>0</v>
          </cell>
          <cell r="AT1208">
            <v>0</v>
          </cell>
          <cell r="AU1208">
            <v>1.248E-3</v>
          </cell>
          <cell r="AV1208">
            <v>20.46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1.248E-3</v>
          </cell>
          <cell r="CV1208">
            <v>20.46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G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  <cell r="DL1208">
            <v>0</v>
          </cell>
          <cell r="DM1208">
            <v>0</v>
          </cell>
          <cell r="DN1208">
            <v>0</v>
          </cell>
          <cell r="DO1208">
            <v>0</v>
          </cell>
          <cell r="DP1208">
            <v>0</v>
          </cell>
          <cell r="DQ1208">
            <v>0</v>
          </cell>
          <cell r="DR1208">
            <v>0</v>
          </cell>
          <cell r="DS1208">
            <v>1.248E-3</v>
          </cell>
          <cell r="DT1208">
            <v>20.46</v>
          </cell>
          <cell r="DU1208">
            <v>1.248E-3</v>
          </cell>
          <cell r="DV1208">
            <v>20.46</v>
          </cell>
          <cell r="DW1208">
            <v>1.248E-3</v>
          </cell>
          <cell r="DX1208">
            <v>20.46</v>
          </cell>
          <cell r="DY1208" t="str">
            <v/>
          </cell>
          <cell r="DZ1208">
            <v>0</v>
          </cell>
          <cell r="EA1208">
            <v>16394.23076923077</v>
          </cell>
        </row>
        <row r="1209">
          <cell r="B1209">
            <v>384650</v>
          </cell>
          <cell r="C1209" t="str">
            <v>ულქერი_დანქექ_8ქექ_შოკ.მარწყვ_55გ_22ც+2ც</v>
          </cell>
          <cell r="D1209" t="str">
            <v>TON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O1209">
            <v>0</v>
          </cell>
          <cell r="AP1209">
            <v>0</v>
          </cell>
          <cell r="AS1209">
            <v>0</v>
          </cell>
          <cell r="AT1209">
            <v>0</v>
          </cell>
          <cell r="AU1209">
            <v>2.64E-3</v>
          </cell>
          <cell r="AV1209">
            <v>40.92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O1209">
            <v>0</v>
          </cell>
          <cell r="CP1209">
            <v>0</v>
          </cell>
          <cell r="CQ1209">
            <v>0</v>
          </cell>
          <cell r="CR1209">
            <v>0</v>
          </cell>
          <cell r="CS1209">
            <v>0</v>
          </cell>
          <cell r="CT1209">
            <v>0</v>
          </cell>
          <cell r="CU1209">
            <v>1.32E-3</v>
          </cell>
          <cell r="CV1209">
            <v>20.46</v>
          </cell>
          <cell r="CW1209">
            <v>0</v>
          </cell>
          <cell r="CX1209">
            <v>0</v>
          </cell>
          <cell r="CY1209">
            <v>0</v>
          </cell>
          <cell r="CZ1209">
            <v>0</v>
          </cell>
          <cell r="DA1209">
            <v>0</v>
          </cell>
          <cell r="DB1209">
            <v>0</v>
          </cell>
          <cell r="DC1209">
            <v>0</v>
          </cell>
          <cell r="DD1209">
            <v>0</v>
          </cell>
          <cell r="DE1209">
            <v>0</v>
          </cell>
          <cell r="DF1209">
            <v>0</v>
          </cell>
          <cell r="DG1209">
            <v>0</v>
          </cell>
          <cell r="DH1209">
            <v>0</v>
          </cell>
          <cell r="DI1209">
            <v>0</v>
          </cell>
          <cell r="DJ1209">
            <v>0</v>
          </cell>
          <cell r="DK1209">
            <v>1.32E-3</v>
          </cell>
          <cell r="DL1209">
            <v>20.46</v>
          </cell>
          <cell r="DM1209">
            <v>1.32E-3</v>
          </cell>
          <cell r="DN1209">
            <v>20.46</v>
          </cell>
          <cell r="DO1209">
            <v>0</v>
          </cell>
          <cell r="DP1209">
            <v>0</v>
          </cell>
          <cell r="DQ1209">
            <v>0</v>
          </cell>
          <cell r="DR1209">
            <v>0</v>
          </cell>
          <cell r="DS1209">
            <v>1.32E-3</v>
          </cell>
          <cell r="DT1209">
            <v>20.46</v>
          </cell>
          <cell r="DU1209">
            <v>1.32E-3</v>
          </cell>
          <cell r="DV1209">
            <v>20.46</v>
          </cell>
          <cell r="DW1209">
            <v>2.64E-3</v>
          </cell>
          <cell r="DX1209">
            <v>40.92</v>
          </cell>
          <cell r="DY1209" t="str">
            <v/>
          </cell>
          <cell r="DZ1209">
            <v>0</v>
          </cell>
          <cell r="EA1209">
            <v>15500</v>
          </cell>
        </row>
        <row r="1210">
          <cell r="B1210">
            <v>384651</v>
          </cell>
          <cell r="C1210" t="str">
            <v>ულქერი_KANKY_26.5გ*24_კორნეტოს ფორმის_22ც+2ც</v>
          </cell>
          <cell r="D1210" t="str">
            <v>TON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6.3599999999999996E-4</v>
          </cell>
          <cell r="T1210">
            <v>26.4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6.3599999999999996E-4</v>
          </cell>
          <cell r="Z1210">
            <v>26.4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6.3599999999999996E-4</v>
          </cell>
          <cell r="AL1210">
            <v>26.68</v>
          </cell>
          <cell r="AO1210">
            <v>6.3599999999999996E-4</v>
          </cell>
          <cell r="AP1210">
            <v>26.68</v>
          </cell>
          <cell r="AS1210">
            <v>0</v>
          </cell>
          <cell r="AT1210">
            <v>0</v>
          </cell>
          <cell r="AU1210">
            <v>1.908E-3</v>
          </cell>
          <cell r="AV1210">
            <v>80.58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  <cell r="CL1210">
            <v>0</v>
          </cell>
          <cell r="CO1210">
            <v>0</v>
          </cell>
          <cell r="CP1210">
            <v>0</v>
          </cell>
          <cell r="CQ1210">
            <v>0</v>
          </cell>
          <cell r="CR1210">
            <v>0</v>
          </cell>
          <cell r="CS1210">
            <v>0</v>
          </cell>
          <cell r="CT1210">
            <v>0</v>
          </cell>
          <cell r="CU1210">
            <v>6.3599999999999996E-4</v>
          </cell>
          <cell r="CV1210">
            <v>27.5</v>
          </cell>
          <cell r="CW1210">
            <v>0</v>
          </cell>
          <cell r="CX1210">
            <v>0</v>
          </cell>
          <cell r="CY1210">
            <v>0</v>
          </cell>
          <cell r="CZ1210">
            <v>0</v>
          </cell>
          <cell r="DA1210">
            <v>0</v>
          </cell>
          <cell r="DB1210">
            <v>0</v>
          </cell>
          <cell r="DC1210">
            <v>0</v>
          </cell>
          <cell r="DD1210">
            <v>0</v>
          </cell>
          <cell r="DE1210">
            <v>0</v>
          </cell>
          <cell r="DF1210">
            <v>0</v>
          </cell>
          <cell r="DG1210">
            <v>0</v>
          </cell>
          <cell r="DH1210">
            <v>0</v>
          </cell>
          <cell r="DI1210">
            <v>0</v>
          </cell>
          <cell r="DJ1210">
            <v>0</v>
          </cell>
          <cell r="DK1210">
            <v>0</v>
          </cell>
          <cell r="DL1210">
            <v>0</v>
          </cell>
          <cell r="DM1210">
            <v>0</v>
          </cell>
          <cell r="DN1210">
            <v>0</v>
          </cell>
          <cell r="DO1210">
            <v>0</v>
          </cell>
          <cell r="DP1210">
            <v>0</v>
          </cell>
          <cell r="DQ1210">
            <v>0</v>
          </cell>
          <cell r="DR1210">
            <v>0</v>
          </cell>
          <cell r="DS1210">
            <v>6.3599999999999996E-4</v>
          </cell>
          <cell r="DT1210">
            <v>27.5</v>
          </cell>
          <cell r="DU1210">
            <v>6.3599999999999996E-4</v>
          </cell>
          <cell r="DV1210">
            <v>27.5</v>
          </cell>
          <cell r="DW1210">
            <v>1.908E-3</v>
          </cell>
          <cell r="DX1210">
            <v>80.58</v>
          </cell>
          <cell r="DY1210" t="str">
            <v/>
          </cell>
          <cell r="DZ1210">
            <v>0</v>
          </cell>
          <cell r="EA1210">
            <v>42232.704402515723</v>
          </cell>
        </row>
        <row r="1211">
          <cell r="B1211">
            <v>384652</v>
          </cell>
          <cell r="C1211" t="str">
            <v>ულქერი_TOFFE_კანფეტი ხილის_1კგ_7ც+1ც</v>
          </cell>
          <cell r="D1211" t="str">
            <v>TON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O1211">
            <v>0</v>
          </cell>
          <cell r="AP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  <cell r="BO1211">
            <v>0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O1211">
            <v>0</v>
          </cell>
          <cell r="CP1211">
            <v>0</v>
          </cell>
          <cell r="CQ1211">
            <v>0</v>
          </cell>
          <cell r="CR1211">
            <v>0</v>
          </cell>
          <cell r="CS1211">
            <v>0</v>
          </cell>
          <cell r="CT1211">
            <v>0</v>
          </cell>
          <cell r="CU1211">
            <v>0</v>
          </cell>
          <cell r="CV1211">
            <v>0</v>
          </cell>
          <cell r="CW1211">
            <v>0</v>
          </cell>
          <cell r="CX1211">
            <v>0</v>
          </cell>
          <cell r="CY1211">
            <v>0</v>
          </cell>
          <cell r="CZ1211">
            <v>0</v>
          </cell>
          <cell r="DA1211">
            <v>0</v>
          </cell>
          <cell r="DB1211">
            <v>0</v>
          </cell>
          <cell r="DC1211">
            <v>0</v>
          </cell>
          <cell r="DD1211">
            <v>0</v>
          </cell>
          <cell r="DE1211">
            <v>0</v>
          </cell>
          <cell r="DF1211">
            <v>0</v>
          </cell>
          <cell r="DG1211">
            <v>0</v>
          </cell>
          <cell r="DH1211">
            <v>0</v>
          </cell>
          <cell r="DI1211">
            <v>0</v>
          </cell>
          <cell r="DJ1211">
            <v>0</v>
          </cell>
          <cell r="DK1211">
            <v>0</v>
          </cell>
          <cell r="DL1211">
            <v>0</v>
          </cell>
          <cell r="DM1211">
            <v>0</v>
          </cell>
          <cell r="DN1211">
            <v>0</v>
          </cell>
          <cell r="DO1211">
            <v>0</v>
          </cell>
          <cell r="DP1211">
            <v>0</v>
          </cell>
          <cell r="DQ1211">
            <v>0</v>
          </cell>
          <cell r="DR1211">
            <v>0</v>
          </cell>
          <cell r="DS1211">
            <v>0</v>
          </cell>
          <cell r="DT1211">
            <v>0</v>
          </cell>
          <cell r="DU1211">
            <v>0</v>
          </cell>
          <cell r="DV1211">
            <v>0</v>
          </cell>
          <cell r="DW1211">
            <v>0</v>
          </cell>
          <cell r="DX1211">
            <v>0</v>
          </cell>
          <cell r="DY1211" t="str">
            <v/>
          </cell>
          <cell r="DZ1211" t="str">
            <v>pasiv</v>
          </cell>
          <cell r="EA1211" t="e">
            <v>#DIV/0!</v>
          </cell>
        </row>
        <row r="1212">
          <cell r="B1212">
            <v>304905</v>
          </cell>
          <cell r="C1212" t="str">
            <v>ულქერი_დანქექ_ნამცხვ.მაფინ.კაკაოს_35გ*24</v>
          </cell>
          <cell r="D1212" t="str">
            <v>TON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1.6800000000000001E-3</v>
          </cell>
          <cell r="AL1212">
            <v>36</v>
          </cell>
          <cell r="AO1212">
            <v>1.6800000000000001E-3</v>
          </cell>
          <cell r="AP1212">
            <v>36</v>
          </cell>
          <cell r="AS1212">
            <v>0</v>
          </cell>
          <cell r="AT1212">
            <v>0</v>
          </cell>
          <cell r="AU1212">
            <v>1.7395000000000001E-2</v>
          </cell>
          <cell r="AV1212">
            <v>361.18</v>
          </cell>
          <cell r="AW1212">
            <v>0</v>
          </cell>
          <cell r="AX1212">
            <v>0</v>
          </cell>
          <cell r="AY1212">
            <v>8.4000000000000003E-4</v>
          </cell>
          <cell r="AZ1212">
            <v>18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8.4000000000000003E-4</v>
          </cell>
          <cell r="BF1212">
            <v>18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0</v>
          </cell>
          <cell r="CB1212">
            <v>0</v>
          </cell>
          <cell r="CC1212">
            <v>-1.75E-4</v>
          </cell>
          <cell r="CD1212">
            <v>-3.65</v>
          </cell>
          <cell r="CE1212">
            <v>0</v>
          </cell>
          <cell r="CF1212">
            <v>0</v>
          </cell>
          <cell r="CG1212">
            <v>0</v>
          </cell>
          <cell r="CH1212">
            <v>0</v>
          </cell>
          <cell r="CI1212">
            <v>-1.75E-4</v>
          </cell>
          <cell r="CJ1212">
            <v>-3.65</v>
          </cell>
          <cell r="CK1212">
            <v>-1.75E-4</v>
          </cell>
          <cell r="CL1212">
            <v>-3.65</v>
          </cell>
          <cell r="CO1212">
            <v>0</v>
          </cell>
          <cell r="CP1212">
            <v>0</v>
          </cell>
          <cell r="CQ1212">
            <v>0</v>
          </cell>
          <cell r="CR1212">
            <v>0</v>
          </cell>
          <cell r="CS1212">
            <v>0</v>
          </cell>
          <cell r="CT1212">
            <v>0</v>
          </cell>
          <cell r="CU1212">
            <v>3.3600000000000001E-3</v>
          </cell>
          <cell r="CV1212">
            <v>71.52</v>
          </cell>
          <cell r="CW1212">
            <v>0</v>
          </cell>
          <cell r="CX1212">
            <v>0</v>
          </cell>
          <cell r="CY1212">
            <v>8.4000000000000003E-4</v>
          </cell>
          <cell r="CZ1212">
            <v>18</v>
          </cell>
          <cell r="DA1212">
            <v>2.5200000000000001E-3</v>
          </cell>
          <cell r="DB1212">
            <v>54</v>
          </cell>
          <cell r="DC1212">
            <v>5.8799999999999998E-3</v>
          </cell>
          <cell r="DD1212">
            <v>115.29</v>
          </cell>
          <cell r="DE1212">
            <v>9.2399999999999999E-3</v>
          </cell>
          <cell r="DF1212">
            <v>187.29000000000002</v>
          </cell>
          <cell r="DG1212">
            <v>4.2000000000000002E-4</v>
          </cell>
          <cell r="DH1212">
            <v>9</v>
          </cell>
          <cell r="DI1212">
            <v>1.1900000000000001E-3</v>
          </cell>
          <cell r="DJ1212">
            <v>25.5</v>
          </cell>
          <cell r="DK1212">
            <v>8.4000000000000003E-4</v>
          </cell>
          <cell r="DL1212">
            <v>17.52</v>
          </cell>
          <cell r="DM1212">
            <v>2.4499999999999999E-3</v>
          </cell>
          <cell r="DN1212">
            <v>52.02</v>
          </cell>
          <cell r="DO1212">
            <v>0</v>
          </cell>
          <cell r="DP1212">
            <v>0</v>
          </cell>
          <cell r="DQ1212">
            <v>0</v>
          </cell>
          <cell r="DR1212">
            <v>0</v>
          </cell>
          <cell r="DS1212">
            <v>3.3600000000000001E-3</v>
          </cell>
          <cell r="DT1212">
            <v>71.52</v>
          </cell>
          <cell r="DU1212">
            <v>3.3600000000000001E-3</v>
          </cell>
          <cell r="DV1212">
            <v>71.52</v>
          </cell>
          <cell r="DW1212">
            <v>1.7395000000000001E-2</v>
          </cell>
          <cell r="DX1212">
            <v>361.18000000000006</v>
          </cell>
          <cell r="DY1212" t="str">
            <v/>
          </cell>
          <cell r="DZ1212">
            <v>0</v>
          </cell>
          <cell r="EA1212">
            <v>20763.437769473989</v>
          </cell>
        </row>
        <row r="1213">
          <cell r="B1213">
            <v>304902</v>
          </cell>
          <cell r="C1213" t="str">
            <v>ულქერი_დანქექ_ნამცხვ.მაფინ.ხილის_35გ*24</v>
          </cell>
          <cell r="D1213" t="str">
            <v>TON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O1213">
            <v>0</v>
          </cell>
          <cell r="AP1213">
            <v>0</v>
          </cell>
          <cell r="AS1213">
            <v>0</v>
          </cell>
          <cell r="AT1213">
            <v>0</v>
          </cell>
          <cell r="AU1213">
            <v>3.8500000000000001E-3</v>
          </cell>
          <cell r="AV1213">
            <v>79.56</v>
          </cell>
          <cell r="AW1213">
            <v>0</v>
          </cell>
          <cell r="AX1213">
            <v>0</v>
          </cell>
          <cell r="AY1213">
            <v>8.4000000000000003E-4</v>
          </cell>
          <cell r="AZ1213">
            <v>18.239999999999998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8.4000000000000003E-4</v>
          </cell>
          <cell r="BF1213">
            <v>18.239999999999998</v>
          </cell>
          <cell r="BG1213">
            <v>0</v>
          </cell>
          <cell r="BH1213">
            <v>0</v>
          </cell>
          <cell r="BI1213">
            <v>-8.7500000000000002E-4</v>
          </cell>
          <cell r="BJ1213">
            <v>-16.850000000000001</v>
          </cell>
          <cell r="BK1213">
            <v>0</v>
          </cell>
          <cell r="BL1213">
            <v>0</v>
          </cell>
          <cell r="BM1213">
            <v>4.2000000000000002E-4</v>
          </cell>
          <cell r="BN1213">
            <v>9.1199999999999992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-4.55E-4</v>
          </cell>
          <cell r="BT1213">
            <v>-7.73</v>
          </cell>
          <cell r="BU1213">
            <v>0</v>
          </cell>
          <cell r="BV1213">
            <v>0</v>
          </cell>
          <cell r="BW1213">
            <v>1.05E-4</v>
          </cell>
          <cell r="BX1213">
            <v>2.12</v>
          </cell>
          <cell r="BY1213">
            <v>0</v>
          </cell>
          <cell r="BZ1213">
            <v>0</v>
          </cell>
          <cell r="CA1213">
            <v>0</v>
          </cell>
          <cell r="CB1213">
            <v>0</v>
          </cell>
          <cell r="CC1213">
            <v>0</v>
          </cell>
          <cell r="CD1213">
            <v>0</v>
          </cell>
          <cell r="CE1213">
            <v>0</v>
          </cell>
          <cell r="CF1213">
            <v>0</v>
          </cell>
          <cell r="CG1213">
            <v>0</v>
          </cell>
          <cell r="CH1213">
            <v>0</v>
          </cell>
          <cell r="CI1213">
            <v>1.05E-4</v>
          </cell>
          <cell r="CJ1213">
            <v>2.12</v>
          </cell>
          <cell r="CK1213">
            <v>-3.5E-4</v>
          </cell>
          <cell r="CL1213">
            <v>-5.61</v>
          </cell>
          <cell r="CO1213">
            <v>0</v>
          </cell>
          <cell r="CP1213">
            <v>0</v>
          </cell>
          <cell r="CQ1213">
            <v>0</v>
          </cell>
          <cell r="CR1213">
            <v>0</v>
          </cell>
          <cell r="CS1213">
            <v>0</v>
          </cell>
          <cell r="CT1213">
            <v>0</v>
          </cell>
          <cell r="CU1213">
            <v>0</v>
          </cell>
          <cell r="CV1213">
            <v>0</v>
          </cell>
          <cell r="CW1213">
            <v>0</v>
          </cell>
          <cell r="CX1213">
            <v>0</v>
          </cell>
          <cell r="CY1213">
            <v>0</v>
          </cell>
          <cell r="CZ1213">
            <v>0</v>
          </cell>
          <cell r="DA1213">
            <v>0</v>
          </cell>
          <cell r="DB1213">
            <v>0</v>
          </cell>
          <cell r="DC1213">
            <v>2.5200000000000001E-3</v>
          </cell>
          <cell r="DD1213">
            <v>49.41</v>
          </cell>
          <cell r="DE1213">
            <v>2.5200000000000001E-3</v>
          </cell>
          <cell r="DF1213">
            <v>49.41</v>
          </cell>
          <cell r="DG1213">
            <v>0</v>
          </cell>
          <cell r="DH1213">
            <v>0</v>
          </cell>
          <cell r="DI1213">
            <v>0</v>
          </cell>
          <cell r="DJ1213">
            <v>0</v>
          </cell>
          <cell r="DK1213">
            <v>8.4000000000000003E-4</v>
          </cell>
          <cell r="DL1213">
            <v>17.52</v>
          </cell>
          <cell r="DM1213">
            <v>8.4000000000000003E-4</v>
          </cell>
          <cell r="DN1213">
            <v>17.52</v>
          </cell>
          <cell r="DO1213">
            <v>0</v>
          </cell>
          <cell r="DP1213">
            <v>0</v>
          </cell>
          <cell r="DQ1213">
            <v>0</v>
          </cell>
          <cell r="DR1213">
            <v>0</v>
          </cell>
          <cell r="DS1213">
            <v>0</v>
          </cell>
          <cell r="DT1213">
            <v>0</v>
          </cell>
          <cell r="DU1213">
            <v>0</v>
          </cell>
          <cell r="DV1213">
            <v>0</v>
          </cell>
          <cell r="DW1213">
            <v>3.8500000000000001E-3</v>
          </cell>
          <cell r="DX1213">
            <v>79.559999999999988</v>
          </cell>
          <cell r="DY1213" t="str">
            <v/>
          </cell>
          <cell r="DZ1213">
            <v>0</v>
          </cell>
          <cell r="EA1213">
            <v>20664.93506493506</v>
          </cell>
        </row>
        <row r="1214">
          <cell r="B1214">
            <v>308191</v>
          </cell>
          <cell r="C1214" t="str">
            <v>ულქერი_კატ კატ_ფენ.ნამცხ.მარწყვის კრემ_28გ*24</v>
          </cell>
          <cell r="D1214" t="str">
            <v>TON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O1214">
            <v>0</v>
          </cell>
          <cell r="AP1214">
            <v>0</v>
          </cell>
          <cell r="AS1214">
            <v>0</v>
          </cell>
          <cell r="AT1214">
            <v>0</v>
          </cell>
          <cell r="AU1214">
            <v>4.032E-3</v>
          </cell>
          <cell r="AV1214">
            <v>105.55</v>
          </cell>
          <cell r="AW1214">
            <v>0</v>
          </cell>
          <cell r="AX1214">
            <v>0</v>
          </cell>
          <cell r="AY1214">
            <v>6.7199999999999996E-4</v>
          </cell>
          <cell r="AZ1214">
            <v>17.52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6.7199999999999996E-4</v>
          </cell>
          <cell r="BF1214">
            <v>17.52</v>
          </cell>
          <cell r="BG1214">
            <v>1.3439999999999999E-3</v>
          </cell>
          <cell r="BH1214">
            <v>35.520000000000003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1.3439999999999999E-3</v>
          </cell>
          <cell r="BT1214">
            <v>35.520000000000003</v>
          </cell>
          <cell r="BU1214">
            <v>0</v>
          </cell>
          <cell r="BV1214">
            <v>0</v>
          </cell>
          <cell r="BW1214">
            <v>6.7199999999999996E-4</v>
          </cell>
          <cell r="BX1214">
            <v>16.989999999999998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6.7199999999999996E-4</v>
          </cell>
          <cell r="CJ1214">
            <v>16.989999999999998</v>
          </cell>
          <cell r="CK1214">
            <v>2.016E-3</v>
          </cell>
          <cell r="CL1214">
            <v>52.510000000000005</v>
          </cell>
          <cell r="CO1214">
            <v>0</v>
          </cell>
          <cell r="CP1214">
            <v>0</v>
          </cell>
          <cell r="CQ1214">
            <v>0</v>
          </cell>
          <cell r="CR1214">
            <v>0</v>
          </cell>
          <cell r="CS1214">
            <v>0</v>
          </cell>
          <cell r="CT1214">
            <v>0</v>
          </cell>
          <cell r="CU1214">
            <v>0</v>
          </cell>
          <cell r="CV1214">
            <v>0</v>
          </cell>
          <cell r="CW1214">
            <v>0</v>
          </cell>
          <cell r="CX1214">
            <v>0</v>
          </cell>
          <cell r="CY1214">
            <v>0</v>
          </cell>
          <cell r="CZ1214">
            <v>0</v>
          </cell>
          <cell r="DA1214">
            <v>1.3439999999999999E-3</v>
          </cell>
          <cell r="DB1214">
            <v>35.520000000000003</v>
          </cell>
          <cell r="DC1214">
            <v>0</v>
          </cell>
          <cell r="DD1214">
            <v>0</v>
          </cell>
          <cell r="DE1214">
            <v>1.3439999999999999E-3</v>
          </cell>
          <cell r="DF1214">
            <v>35.520000000000003</v>
          </cell>
          <cell r="DG1214">
            <v>0</v>
          </cell>
          <cell r="DH1214">
            <v>0</v>
          </cell>
          <cell r="DI1214">
            <v>0</v>
          </cell>
          <cell r="DJ1214">
            <v>0</v>
          </cell>
          <cell r="DK1214">
            <v>0</v>
          </cell>
          <cell r="DL1214">
            <v>0</v>
          </cell>
          <cell r="DM1214">
            <v>0</v>
          </cell>
          <cell r="DN1214">
            <v>0</v>
          </cell>
          <cell r="DO1214">
            <v>0</v>
          </cell>
          <cell r="DP1214">
            <v>0</v>
          </cell>
          <cell r="DQ1214">
            <v>0</v>
          </cell>
          <cell r="DR1214">
            <v>0</v>
          </cell>
          <cell r="DS1214">
            <v>0</v>
          </cell>
          <cell r="DT1214">
            <v>0</v>
          </cell>
          <cell r="DU1214">
            <v>0</v>
          </cell>
          <cell r="DV1214">
            <v>0</v>
          </cell>
          <cell r="DW1214">
            <v>4.032E-3</v>
          </cell>
          <cell r="DX1214">
            <v>105.55</v>
          </cell>
          <cell r="DY1214" t="str">
            <v/>
          </cell>
          <cell r="DZ1214">
            <v>0</v>
          </cell>
          <cell r="EA1214">
            <v>26178.075396825396</v>
          </cell>
        </row>
        <row r="1215">
          <cell r="B1215">
            <v>354412</v>
          </cell>
          <cell r="C1215" t="str">
            <v>ულქერი_ალბენი_ჩხირი_47გ*24*6</v>
          </cell>
          <cell r="D1215" t="str">
            <v>TON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1.1280000000000001E-3</v>
          </cell>
          <cell r="AD1215">
            <v>26.16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1.1280000000000001E-3</v>
          </cell>
          <cell r="AJ1215">
            <v>26.16</v>
          </cell>
          <cell r="AK1215">
            <v>3.3839999999999999E-3</v>
          </cell>
          <cell r="AL1215">
            <v>78.48</v>
          </cell>
          <cell r="AO1215">
            <v>5.64E-3</v>
          </cell>
          <cell r="AP1215">
            <v>130.80000000000001</v>
          </cell>
          <cell r="AS1215">
            <v>0</v>
          </cell>
          <cell r="AT1215">
            <v>0</v>
          </cell>
          <cell r="AU1215">
            <v>5.7528000000000003E-2</v>
          </cell>
          <cell r="AV1215">
            <v>1321.86</v>
          </cell>
          <cell r="AW1215">
            <v>0</v>
          </cell>
          <cell r="AX1215">
            <v>0</v>
          </cell>
          <cell r="AY1215">
            <v>3.3839999999999999E-3</v>
          </cell>
          <cell r="AZ1215">
            <v>79.11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3.3839999999999999E-3</v>
          </cell>
          <cell r="BF1215">
            <v>79.11</v>
          </cell>
          <cell r="BG1215">
            <v>4.5120000000000004E-3</v>
          </cell>
          <cell r="BH1215">
            <v>104.64</v>
          </cell>
          <cell r="BI1215">
            <v>0</v>
          </cell>
          <cell r="BJ1215">
            <v>0</v>
          </cell>
          <cell r="BK1215">
            <v>1.1280000000000001E-3</v>
          </cell>
          <cell r="BL1215">
            <v>26.16</v>
          </cell>
          <cell r="BM1215">
            <v>0</v>
          </cell>
          <cell r="BN1215">
            <v>0</v>
          </cell>
          <cell r="BO1215">
            <v>2.2560000000000002E-3</v>
          </cell>
          <cell r="BP1215">
            <v>52.32</v>
          </cell>
          <cell r="BQ1215">
            <v>0</v>
          </cell>
          <cell r="BR1215">
            <v>0</v>
          </cell>
          <cell r="BS1215">
            <v>7.8960000000000002E-3</v>
          </cell>
          <cell r="BT1215">
            <v>183.12</v>
          </cell>
          <cell r="BU1215">
            <v>1.0152E-2</v>
          </cell>
          <cell r="BV1215">
            <v>238.14</v>
          </cell>
          <cell r="BW1215">
            <v>3.3839999999999999E-3</v>
          </cell>
          <cell r="BX1215">
            <v>79.38</v>
          </cell>
          <cell r="BY1215">
            <v>2.2560000000000002E-3</v>
          </cell>
          <cell r="BZ1215">
            <v>52.38</v>
          </cell>
          <cell r="CA1215">
            <v>2.2560000000000002E-3</v>
          </cell>
          <cell r="CB1215">
            <v>52.32</v>
          </cell>
          <cell r="CC1215">
            <v>0</v>
          </cell>
          <cell r="CD1215">
            <v>0</v>
          </cell>
          <cell r="CE1215">
            <v>1.0152E-2</v>
          </cell>
          <cell r="CF1215">
            <v>216.24</v>
          </cell>
          <cell r="CG1215">
            <v>0</v>
          </cell>
          <cell r="CH1215">
            <v>0</v>
          </cell>
          <cell r="CI1215">
            <v>2.8199999999999999E-2</v>
          </cell>
          <cell r="CJ1215">
            <v>638.46</v>
          </cell>
          <cell r="CK1215">
            <v>3.6096000000000003E-2</v>
          </cell>
          <cell r="CL1215">
            <v>821.58</v>
          </cell>
          <cell r="CO1215">
            <v>0</v>
          </cell>
          <cell r="CP1215">
            <v>0</v>
          </cell>
          <cell r="CQ1215">
            <v>0</v>
          </cell>
          <cell r="CR1215">
            <v>0</v>
          </cell>
          <cell r="CS1215">
            <v>0</v>
          </cell>
          <cell r="CT1215">
            <v>0</v>
          </cell>
          <cell r="CU1215">
            <v>3.3839999999999999E-3</v>
          </cell>
          <cell r="CV1215">
            <v>78.48</v>
          </cell>
          <cell r="CW1215">
            <v>0</v>
          </cell>
          <cell r="CX1215">
            <v>0</v>
          </cell>
          <cell r="CY1215">
            <v>2.9610000000000001E-3</v>
          </cell>
          <cell r="CZ1215">
            <v>70.86</v>
          </cell>
          <cell r="DA1215">
            <v>5.0759999999999998E-3</v>
          </cell>
          <cell r="DB1215">
            <v>117.72</v>
          </cell>
          <cell r="DC1215">
            <v>1.1280000000000001E-3</v>
          </cell>
          <cell r="DD1215">
            <v>26.16</v>
          </cell>
          <cell r="DE1215">
            <v>9.1649999999999995E-3</v>
          </cell>
          <cell r="DF1215">
            <v>214.73999999999998</v>
          </cell>
          <cell r="DG1215">
            <v>0</v>
          </cell>
          <cell r="DH1215">
            <v>0</v>
          </cell>
          <cell r="DI1215">
            <v>-1.4100000000000001E-4</v>
          </cell>
          <cell r="DJ1215">
            <v>-2.85</v>
          </cell>
          <cell r="DK1215">
            <v>0</v>
          </cell>
          <cell r="DL1215">
            <v>0</v>
          </cell>
          <cell r="DM1215">
            <v>-1.4100000000000001E-4</v>
          </cell>
          <cell r="DN1215">
            <v>-2.85</v>
          </cell>
          <cell r="DO1215">
            <v>0</v>
          </cell>
          <cell r="DP1215">
            <v>0</v>
          </cell>
          <cell r="DQ1215">
            <v>0</v>
          </cell>
          <cell r="DR1215">
            <v>0</v>
          </cell>
          <cell r="DS1215">
            <v>3.3839999999999999E-3</v>
          </cell>
          <cell r="DT1215">
            <v>78.48</v>
          </cell>
          <cell r="DU1215">
            <v>3.3839999999999999E-3</v>
          </cell>
          <cell r="DV1215">
            <v>78.48</v>
          </cell>
          <cell r="DW1215">
            <v>5.7528000000000003E-2</v>
          </cell>
          <cell r="DX1215">
            <v>1321.86</v>
          </cell>
          <cell r="DY1215" t="str">
            <v/>
          </cell>
          <cell r="DZ1215">
            <v>0</v>
          </cell>
          <cell r="EA1215">
            <v>22977.680433875674</v>
          </cell>
        </row>
        <row r="1216">
          <cell r="B1216">
            <v>348798</v>
          </cell>
          <cell r="C1216" t="str">
            <v>ულქერი_ბისკრემ_ექსტრა_ბისკვ.კაკაოს კრემ_184გ*12</v>
          </cell>
          <cell r="D1216" t="str">
            <v>TON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O1216">
            <v>0</v>
          </cell>
          <cell r="AP1216">
            <v>0</v>
          </cell>
          <cell r="AS1216">
            <v>0</v>
          </cell>
          <cell r="AT1216">
            <v>0</v>
          </cell>
          <cell r="AU1216">
            <v>4.2319999999999997E-3</v>
          </cell>
          <cell r="AV1216">
            <v>71.12</v>
          </cell>
          <cell r="AW1216">
            <v>0</v>
          </cell>
          <cell r="AX1216">
            <v>0</v>
          </cell>
          <cell r="AY1216">
            <v>2.2079999999999999E-3</v>
          </cell>
          <cell r="AZ1216">
            <v>37.200000000000003</v>
          </cell>
          <cell r="BA1216">
            <v>0</v>
          </cell>
          <cell r="BB1216">
            <v>0</v>
          </cell>
          <cell r="BC1216">
            <v>-3.68E-4</v>
          </cell>
          <cell r="BD1216">
            <v>-5.14</v>
          </cell>
          <cell r="BE1216">
            <v>1.8399999999999998E-3</v>
          </cell>
          <cell r="BF1216">
            <v>32.06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2.2079999999999999E-3</v>
          </cell>
          <cell r="BX1216">
            <v>36.08</v>
          </cell>
          <cell r="BY1216">
            <v>1.84E-4</v>
          </cell>
          <cell r="BZ1216">
            <v>2.98</v>
          </cell>
          <cell r="CA1216">
            <v>0</v>
          </cell>
          <cell r="CB1216">
            <v>0</v>
          </cell>
          <cell r="CC1216">
            <v>0</v>
          </cell>
          <cell r="CD1216">
            <v>0</v>
          </cell>
          <cell r="CE1216">
            <v>0</v>
          </cell>
          <cell r="CF1216">
            <v>0</v>
          </cell>
          <cell r="CG1216">
            <v>0</v>
          </cell>
          <cell r="CH1216">
            <v>0</v>
          </cell>
          <cell r="CI1216">
            <v>2.392E-3</v>
          </cell>
          <cell r="CJ1216">
            <v>39.06</v>
          </cell>
          <cell r="CK1216">
            <v>2.392E-3</v>
          </cell>
          <cell r="CL1216">
            <v>39.06</v>
          </cell>
          <cell r="CO1216">
            <v>0</v>
          </cell>
          <cell r="CP1216">
            <v>0</v>
          </cell>
          <cell r="CQ1216">
            <v>0</v>
          </cell>
          <cell r="CR1216">
            <v>0</v>
          </cell>
          <cell r="CS1216">
            <v>0</v>
          </cell>
          <cell r="CT1216">
            <v>0</v>
          </cell>
          <cell r="CU1216">
            <v>0</v>
          </cell>
          <cell r="CV1216">
            <v>0</v>
          </cell>
          <cell r="CW1216">
            <v>0</v>
          </cell>
          <cell r="CX1216">
            <v>0</v>
          </cell>
          <cell r="CY1216">
            <v>0</v>
          </cell>
          <cell r="CZ1216">
            <v>0</v>
          </cell>
          <cell r="DA1216">
            <v>0</v>
          </cell>
          <cell r="DB1216">
            <v>0</v>
          </cell>
          <cell r="DC1216">
            <v>0</v>
          </cell>
          <cell r="DD1216">
            <v>0</v>
          </cell>
          <cell r="DE1216">
            <v>0</v>
          </cell>
          <cell r="DF1216">
            <v>0</v>
          </cell>
          <cell r="DG1216">
            <v>0</v>
          </cell>
          <cell r="DH1216">
            <v>0</v>
          </cell>
          <cell r="DI1216">
            <v>0</v>
          </cell>
          <cell r="DJ1216">
            <v>0</v>
          </cell>
          <cell r="DK1216">
            <v>0</v>
          </cell>
          <cell r="DL1216">
            <v>0</v>
          </cell>
          <cell r="DM1216">
            <v>0</v>
          </cell>
          <cell r="DN1216">
            <v>0</v>
          </cell>
          <cell r="DO1216">
            <v>0</v>
          </cell>
          <cell r="DP1216">
            <v>0</v>
          </cell>
          <cell r="DQ1216">
            <v>0</v>
          </cell>
          <cell r="DR1216">
            <v>0</v>
          </cell>
          <cell r="DS1216">
            <v>0</v>
          </cell>
          <cell r="DT1216">
            <v>0</v>
          </cell>
          <cell r="DU1216">
            <v>0</v>
          </cell>
          <cell r="DV1216">
            <v>0</v>
          </cell>
          <cell r="DW1216">
            <v>4.2319999999999997E-3</v>
          </cell>
          <cell r="DX1216">
            <v>71.12</v>
          </cell>
          <cell r="DY1216" t="str">
            <v/>
          </cell>
          <cell r="DZ1216">
            <v>0</v>
          </cell>
          <cell r="EA1216">
            <v>16805.293005671079</v>
          </cell>
        </row>
        <row r="1217">
          <cell r="B1217">
            <v>351019</v>
          </cell>
          <cell r="C1217" t="str">
            <v>ულქერი_დანქექ_ტარტი მარწყვით_180გ*12</v>
          </cell>
          <cell r="D1217" t="str">
            <v>TON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O1217">
            <v>0</v>
          </cell>
          <cell r="AP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O1217">
            <v>0</v>
          </cell>
          <cell r="CP1217">
            <v>0</v>
          </cell>
          <cell r="CQ1217">
            <v>0</v>
          </cell>
          <cell r="CR1217">
            <v>0</v>
          </cell>
          <cell r="CS1217">
            <v>0</v>
          </cell>
          <cell r="CT1217">
            <v>0</v>
          </cell>
          <cell r="CU1217">
            <v>0</v>
          </cell>
          <cell r="CV1217">
            <v>0</v>
          </cell>
          <cell r="CW1217">
            <v>0</v>
          </cell>
          <cell r="CX1217">
            <v>0</v>
          </cell>
          <cell r="CY1217">
            <v>0</v>
          </cell>
          <cell r="CZ1217">
            <v>0</v>
          </cell>
          <cell r="DA1217">
            <v>0</v>
          </cell>
          <cell r="DB1217">
            <v>0</v>
          </cell>
          <cell r="DC1217">
            <v>0</v>
          </cell>
          <cell r="DD1217">
            <v>0</v>
          </cell>
          <cell r="DE1217">
            <v>0</v>
          </cell>
          <cell r="DF1217">
            <v>0</v>
          </cell>
          <cell r="DG1217">
            <v>0</v>
          </cell>
          <cell r="DH1217">
            <v>0</v>
          </cell>
          <cell r="DI1217">
            <v>0</v>
          </cell>
          <cell r="DJ1217">
            <v>0</v>
          </cell>
          <cell r="DK1217">
            <v>0</v>
          </cell>
          <cell r="DL1217">
            <v>0</v>
          </cell>
          <cell r="DM1217">
            <v>0</v>
          </cell>
          <cell r="DN1217">
            <v>0</v>
          </cell>
          <cell r="DO1217">
            <v>0</v>
          </cell>
          <cell r="DP1217">
            <v>0</v>
          </cell>
          <cell r="DQ1217">
            <v>0</v>
          </cell>
          <cell r="DR1217">
            <v>0</v>
          </cell>
          <cell r="DS1217">
            <v>0</v>
          </cell>
          <cell r="DT1217">
            <v>0</v>
          </cell>
          <cell r="DU1217">
            <v>0</v>
          </cell>
          <cell r="DV1217">
            <v>0</v>
          </cell>
          <cell r="DW1217">
            <v>0</v>
          </cell>
          <cell r="DX1217">
            <v>0</v>
          </cell>
          <cell r="DY1217" t="str">
            <v/>
          </cell>
          <cell r="DZ1217" t="str">
            <v>pasiv</v>
          </cell>
          <cell r="EA1217" t="e">
            <v>#DIV/0!</v>
          </cell>
        </row>
        <row r="1218">
          <cell r="B1218">
            <v>352000</v>
          </cell>
          <cell r="C1218" t="str">
            <v>ულქერი_კრეკერი ბაგელი სეზამით_41გ*12</v>
          </cell>
          <cell r="D1218" t="str">
            <v>TON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O1218">
            <v>0</v>
          </cell>
          <cell r="AP1218">
            <v>0</v>
          </cell>
          <cell r="AS1218">
            <v>0</v>
          </cell>
          <cell r="AT1218">
            <v>0</v>
          </cell>
          <cell r="AU1218">
            <v>4.9199999999999999E-3</v>
          </cell>
          <cell r="AV1218">
            <v>116.05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4.9200000000000003E-4</v>
          </cell>
          <cell r="BX1218">
            <v>11.29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1.4760000000000001E-3</v>
          </cell>
          <cell r="CF1218">
            <v>34.92</v>
          </cell>
          <cell r="CG1218">
            <v>0</v>
          </cell>
          <cell r="CH1218">
            <v>0</v>
          </cell>
          <cell r="CI1218">
            <v>1.9680000000000001E-3</v>
          </cell>
          <cell r="CJ1218">
            <v>46.21</v>
          </cell>
          <cell r="CK1218">
            <v>1.9680000000000001E-3</v>
          </cell>
          <cell r="CL1218">
            <v>46.21</v>
          </cell>
          <cell r="CO1218">
            <v>0</v>
          </cell>
          <cell r="CP1218">
            <v>0</v>
          </cell>
          <cell r="CQ1218">
            <v>0</v>
          </cell>
          <cell r="CR1218">
            <v>0</v>
          </cell>
          <cell r="CS1218">
            <v>0</v>
          </cell>
          <cell r="CT1218">
            <v>0</v>
          </cell>
          <cell r="CU1218">
            <v>0</v>
          </cell>
          <cell r="CV1218">
            <v>0</v>
          </cell>
          <cell r="CW1218">
            <v>0</v>
          </cell>
          <cell r="CX1218">
            <v>0</v>
          </cell>
          <cell r="CY1218">
            <v>2.9520000000000002E-3</v>
          </cell>
          <cell r="CZ1218">
            <v>69.84</v>
          </cell>
          <cell r="DA1218">
            <v>0</v>
          </cell>
          <cell r="DB1218">
            <v>0</v>
          </cell>
          <cell r="DC1218">
            <v>0</v>
          </cell>
          <cell r="DD1218">
            <v>0</v>
          </cell>
          <cell r="DE1218">
            <v>2.9520000000000002E-3</v>
          </cell>
          <cell r="DF1218">
            <v>69.84</v>
          </cell>
          <cell r="DG1218">
            <v>0</v>
          </cell>
          <cell r="DH1218">
            <v>0</v>
          </cell>
          <cell r="DI1218">
            <v>0</v>
          </cell>
          <cell r="DJ1218">
            <v>0</v>
          </cell>
          <cell r="DK1218">
            <v>0</v>
          </cell>
          <cell r="DL1218">
            <v>0</v>
          </cell>
          <cell r="DM1218">
            <v>0</v>
          </cell>
          <cell r="DN1218">
            <v>0</v>
          </cell>
          <cell r="DO1218">
            <v>0</v>
          </cell>
          <cell r="DP1218">
            <v>0</v>
          </cell>
          <cell r="DQ1218">
            <v>0</v>
          </cell>
          <cell r="DR1218">
            <v>0</v>
          </cell>
          <cell r="DS1218">
            <v>0</v>
          </cell>
          <cell r="DT1218">
            <v>0</v>
          </cell>
          <cell r="DU1218">
            <v>0</v>
          </cell>
          <cell r="DV1218">
            <v>0</v>
          </cell>
          <cell r="DW1218">
            <v>4.9200000000000008E-3</v>
          </cell>
          <cell r="DX1218">
            <v>116.05000000000001</v>
          </cell>
          <cell r="DY1218" t="str">
            <v/>
          </cell>
          <cell r="DZ1218">
            <v>0</v>
          </cell>
          <cell r="EA1218">
            <v>23587.398373983739</v>
          </cell>
        </row>
        <row r="1219">
          <cell r="B1219">
            <v>354370</v>
          </cell>
          <cell r="C1219" t="str">
            <v>ულქერი_ალბენი-შოკ.ბისკვ_72გ*24</v>
          </cell>
          <cell r="D1219" t="str">
            <v>TON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1.7279999999999999E-3</v>
          </cell>
          <cell r="AD1219">
            <v>44.16</v>
          </cell>
          <cell r="AE1219">
            <v>0</v>
          </cell>
          <cell r="AF1219">
            <v>0</v>
          </cell>
          <cell r="AG1219">
            <v>1.7279999999999999E-3</v>
          </cell>
          <cell r="AH1219">
            <v>44.16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O1219">
            <v>3.4559999999999999E-3</v>
          </cell>
          <cell r="AP1219">
            <v>88.32</v>
          </cell>
          <cell r="AS1219">
            <v>0</v>
          </cell>
          <cell r="AT1219">
            <v>0</v>
          </cell>
          <cell r="AU1219">
            <v>4.3776000000000002E-2</v>
          </cell>
          <cell r="AV1219">
            <v>1023.29</v>
          </cell>
          <cell r="AW1219">
            <v>0</v>
          </cell>
          <cell r="AX1219">
            <v>0</v>
          </cell>
          <cell r="AY1219">
            <v>1.7279999999999999E-3</v>
          </cell>
          <cell r="AZ1219">
            <v>43.2</v>
          </cell>
          <cell r="BA1219">
            <v>0</v>
          </cell>
          <cell r="BB1219">
            <v>0</v>
          </cell>
          <cell r="BC1219">
            <v>1.7279999999999999E-3</v>
          </cell>
          <cell r="BD1219">
            <v>41.9</v>
          </cell>
          <cell r="BE1219">
            <v>3.4559999999999999E-3</v>
          </cell>
          <cell r="BF1219">
            <v>85.1</v>
          </cell>
          <cell r="BG1219">
            <v>0</v>
          </cell>
          <cell r="BH1219">
            <v>0</v>
          </cell>
          <cell r="BI1219">
            <v>1.7279999999999999E-3</v>
          </cell>
          <cell r="BJ1219">
            <v>44.16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  <cell r="BO1219">
            <v>2.5200000000000001E-3</v>
          </cell>
          <cell r="BP1219">
            <v>64.400000000000006</v>
          </cell>
          <cell r="BQ1219">
            <v>0</v>
          </cell>
          <cell r="BR1219">
            <v>0</v>
          </cell>
          <cell r="BS1219">
            <v>4.248E-3</v>
          </cell>
          <cell r="BT1219">
            <v>108.56</v>
          </cell>
          <cell r="BU1219">
            <v>0</v>
          </cell>
          <cell r="BV1219">
            <v>0</v>
          </cell>
          <cell r="BW1219">
            <v>1.7279999999999999E-3</v>
          </cell>
          <cell r="BX1219">
            <v>41.9</v>
          </cell>
          <cell r="BY1219">
            <v>9.3599999999999998E-4</v>
          </cell>
          <cell r="BZ1219">
            <v>23.81</v>
          </cell>
          <cell r="CA1219">
            <v>2.5200000000000001E-3</v>
          </cell>
          <cell r="CB1219">
            <v>64.400000000000006</v>
          </cell>
          <cell r="CC1219">
            <v>0</v>
          </cell>
          <cell r="CD1219">
            <v>0</v>
          </cell>
          <cell r="CE1219">
            <v>1.7496000000000001E-2</v>
          </cell>
          <cell r="CF1219">
            <v>367.95</v>
          </cell>
          <cell r="CG1219">
            <v>0</v>
          </cell>
          <cell r="CH1219">
            <v>0</v>
          </cell>
          <cell r="CI1219">
            <v>2.2679999999999999E-2</v>
          </cell>
          <cell r="CJ1219">
            <v>498.06</v>
          </cell>
          <cell r="CK1219">
            <v>2.6928000000000001E-2</v>
          </cell>
          <cell r="CL1219">
            <v>606.62</v>
          </cell>
          <cell r="CO1219">
            <v>0</v>
          </cell>
          <cell r="CP1219">
            <v>0</v>
          </cell>
          <cell r="CQ1219">
            <v>0</v>
          </cell>
          <cell r="CR1219">
            <v>0</v>
          </cell>
          <cell r="CS1219">
            <v>0</v>
          </cell>
          <cell r="CT1219">
            <v>0</v>
          </cell>
          <cell r="CU1219">
            <v>4.3200000000000001E-3</v>
          </cell>
          <cell r="CV1219">
            <v>110.4</v>
          </cell>
          <cell r="CW1219">
            <v>0</v>
          </cell>
          <cell r="CX1219">
            <v>0</v>
          </cell>
          <cell r="CY1219">
            <v>0</v>
          </cell>
          <cell r="CZ1219">
            <v>0</v>
          </cell>
          <cell r="DA1219">
            <v>0</v>
          </cell>
          <cell r="DB1219">
            <v>0</v>
          </cell>
          <cell r="DC1219">
            <v>5.1840000000000002E-3</v>
          </cell>
          <cell r="DD1219">
            <v>121.81</v>
          </cell>
          <cell r="DE1219">
            <v>5.1840000000000002E-3</v>
          </cell>
          <cell r="DF1219">
            <v>121.81</v>
          </cell>
          <cell r="DG1219">
            <v>4.3199999999999998E-4</v>
          </cell>
          <cell r="DH1219">
            <v>11.04</v>
          </cell>
          <cell r="DI1219">
            <v>0</v>
          </cell>
          <cell r="DJ1219">
            <v>0</v>
          </cell>
          <cell r="DK1219">
            <v>0</v>
          </cell>
          <cell r="DL1219">
            <v>0</v>
          </cell>
          <cell r="DM1219">
            <v>4.3199999999999998E-4</v>
          </cell>
          <cell r="DN1219">
            <v>11.04</v>
          </cell>
          <cell r="DO1219">
            <v>8.6399999999999997E-4</v>
          </cell>
          <cell r="DP1219">
            <v>22.08</v>
          </cell>
          <cell r="DQ1219">
            <v>1.7279999999999999E-3</v>
          </cell>
          <cell r="DR1219">
            <v>44.16</v>
          </cell>
          <cell r="DS1219">
            <v>1.7279999999999999E-3</v>
          </cell>
          <cell r="DT1219">
            <v>44.16</v>
          </cell>
          <cell r="DU1219">
            <v>4.3200000000000001E-3</v>
          </cell>
          <cell r="DV1219">
            <v>110.4</v>
          </cell>
          <cell r="DW1219">
            <v>4.3776000000000002E-2</v>
          </cell>
          <cell r="DX1219">
            <v>1023.29</v>
          </cell>
          <cell r="DY1219" t="str">
            <v/>
          </cell>
          <cell r="DZ1219">
            <v>0</v>
          </cell>
          <cell r="EA1219">
            <v>23375.593932748536</v>
          </cell>
        </row>
        <row r="1220">
          <cell r="B1220">
            <v>354371</v>
          </cell>
          <cell r="C1220" t="str">
            <v>ულქერი_ქოქო სთარ_25გ*24*6</v>
          </cell>
          <cell r="D1220" t="str">
            <v>TON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O1220">
            <v>0</v>
          </cell>
          <cell r="AP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  <cell r="BO1220">
            <v>0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O1220">
            <v>0</v>
          </cell>
          <cell r="CP1220">
            <v>0</v>
          </cell>
          <cell r="CQ1220">
            <v>0</v>
          </cell>
          <cell r="CR1220">
            <v>0</v>
          </cell>
          <cell r="CS1220">
            <v>0</v>
          </cell>
          <cell r="CT1220">
            <v>0</v>
          </cell>
          <cell r="CU1220">
            <v>0</v>
          </cell>
          <cell r="CV1220">
            <v>0</v>
          </cell>
          <cell r="CW1220">
            <v>0</v>
          </cell>
          <cell r="CX1220">
            <v>0</v>
          </cell>
          <cell r="CY1220">
            <v>0</v>
          </cell>
          <cell r="CZ1220">
            <v>0</v>
          </cell>
          <cell r="DA1220">
            <v>0</v>
          </cell>
          <cell r="DB1220">
            <v>0</v>
          </cell>
          <cell r="DC1220">
            <v>0</v>
          </cell>
          <cell r="DD1220">
            <v>0</v>
          </cell>
          <cell r="DE1220">
            <v>0</v>
          </cell>
          <cell r="DF1220">
            <v>0</v>
          </cell>
          <cell r="DG1220">
            <v>0</v>
          </cell>
          <cell r="DH1220">
            <v>0</v>
          </cell>
          <cell r="DI1220">
            <v>0</v>
          </cell>
          <cell r="DJ1220">
            <v>0</v>
          </cell>
          <cell r="DK1220">
            <v>0</v>
          </cell>
          <cell r="DL1220">
            <v>0</v>
          </cell>
          <cell r="DM1220">
            <v>0</v>
          </cell>
          <cell r="DN1220">
            <v>0</v>
          </cell>
          <cell r="DO1220">
            <v>0</v>
          </cell>
          <cell r="DP1220">
            <v>0</v>
          </cell>
          <cell r="DQ1220">
            <v>0</v>
          </cell>
          <cell r="DR1220">
            <v>0</v>
          </cell>
          <cell r="DS1220">
            <v>0</v>
          </cell>
          <cell r="DT1220">
            <v>0</v>
          </cell>
          <cell r="DU1220">
            <v>0</v>
          </cell>
          <cell r="DV1220">
            <v>0</v>
          </cell>
          <cell r="DW1220">
            <v>0</v>
          </cell>
          <cell r="DX1220">
            <v>0</v>
          </cell>
          <cell r="DY1220" t="str">
            <v/>
          </cell>
          <cell r="DZ1220" t="str">
            <v>pasiv</v>
          </cell>
          <cell r="EA1220" t="e">
            <v>#DIV/0!</v>
          </cell>
        </row>
        <row r="1221">
          <cell r="B1221">
            <v>304539</v>
          </cell>
          <cell r="C1221" t="str">
            <v>ულქერი_დიდო_ვაფლი რძიანი შოკ_35გ*24*6</v>
          </cell>
          <cell r="D1221" t="str">
            <v>TON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8.4000000000000003E-4</v>
          </cell>
          <cell r="AL1221">
            <v>31.44</v>
          </cell>
          <cell r="AO1221">
            <v>8.4000000000000003E-4</v>
          </cell>
          <cell r="AP1221">
            <v>31.44</v>
          </cell>
          <cell r="AS1221">
            <v>0</v>
          </cell>
          <cell r="AT1221">
            <v>0</v>
          </cell>
          <cell r="AU1221">
            <v>1.5084999999999999E-2</v>
          </cell>
          <cell r="AV1221">
            <v>551.97</v>
          </cell>
          <cell r="AW1221">
            <v>0</v>
          </cell>
          <cell r="AX1221">
            <v>0</v>
          </cell>
          <cell r="AY1221">
            <v>8.4000000000000003E-4</v>
          </cell>
          <cell r="AZ1221">
            <v>30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8.4000000000000003E-4</v>
          </cell>
          <cell r="BF1221">
            <v>30</v>
          </cell>
          <cell r="BG1221">
            <v>8.4000000000000003E-4</v>
          </cell>
          <cell r="BH1221">
            <v>31.44</v>
          </cell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1.6800000000000001E-3</v>
          </cell>
          <cell r="BN1221">
            <v>62.88</v>
          </cell>
          <cell r="BO1221">
            <v>8.4000000000000003E-4</v>
          </cell>
          <cell r="BP1221">
            <v>31.44</v>
          </cell>
          <cell r="BQ1221">
            <v>0</v>
          </cell>
          <cell r="BR1221">
            <v>0</v>
          </cell>
          <cell r="BS1221">
            <v>3.3600000000000001E-3</v>
          </cell>
          <cell r="BT1221">
            <v>125.76</v>
          </cell>
          <cell r="BU1221">
            <v>0</v>
          </cell>
          <cell r="BV1221">
            <v>0</v>
          </cell>
          <cell r="BW1221">
            <v>2.5200000000000001E-3</v>
          </cell>
          <cell r="BX1221">
            <v>87.3</v>
          </cell>
          <cell r="BY1221">
            <v>0</v>
          </cell>
          <cell r="BZ1221">
            <v>0</v>
          </cell>
          <cell r="CA1221">
            <v>1.6800000000000001E-3</v>
          </cell>
          <cell r="CB1221">
            <v>62.88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4.1999999999999997E-3</v>
          </cell>
          <cell r="CJ1221">
            <v>150.18</v>
          </cell>
          <cell r="CK1221">
            <v>7.5599999999999999E-3</v>
          </cell>
          <cell r="CL1221">
            <v>275.94</v>
          </cell>
          <cell r="CO1221">
            <v>0</v>
          </cell>
          <cell r="CP1221">
            <v>0</v>
          </cell>
          <cell r="CQ1221">
            <v>0</v>
          </cell>
          <cell r="CR1221">
            <v>0</v>
          </cell>
          <cell r="CS1221">
            <v>0</v>
          </cell>
          <cell r="CT1221">
            <v>0</v>
          </cell>
          <cell r="CU1221">
            <v>3.3600000000000001E-3</v>
          </cell>
          <cell r="CV1221">
            <v>121.44</v>
          </cell>
          <cell r="CW1221">
            <v>0</v>
          </cell>
          <cell r="CX1221">
            <v>0</v>
          </cell>
          <cell r="CY1221">
            <v>8.4000000000000003E-4</v>
          </cell>
          <cell r="CZ1221">
            <v>31.44</v>
          </cell>
          <cell r="DA1221">
            <v>8.4000000000000003E-4</v>
          </cell>
          <cell r="DB1221">
            <v>31.44</v>
          </cell>
          <cell r="DC1221">
            <v>0</v>
          </cell>
          <cell r="DD1221">
            <v>0</v>
          </cell>
          <cell r="DE1221">
            <v>1.6800000000000001E-3</v>
          </cell>
          <cell r="DF1221">
            <v>62.88</v>
          </cell>
          <cell r="DG1221">
            <v>0</v>
          </cell>
          <cell r="DH1221">
            <v>0</v>
          </cell>
          <cell r="DI1221">
            <v>8.0500000000000005E-4</v>
          </cell>
          <cell r="DJ1221">
            <v>30.27</v>
          </cell>
          <cell r="DK1221">
            <v>0</v>
          </cell>
          <cell r="DL1221">
            <v>0</v>
          </cell>
          <cell r="DM1221">
            <v>8.0500000000000005E-4</v>
          </cell>
          <cell r="DN1221">
            <v>30.27</v>
          </cell>
          <cell r="DO1221">
            <v>0</v>
          </cell>
          <cell r="DP1221">
            <v>0</v>
          </cell>
          <cell r="DQ1221">
            <v>1.6800000000000001E-3</v>
          </cell>
          <cell r="DR1221">
            <v>61.44</v>
          </cell>
          <cell r="DS1221">
            <v>1.6800000000000001E-3</v>
          </cell>
          <cell r="DT1221">
            <v>60</v>
          </cell>
          <cell r="DU1221">
            <v>3.3600000000000001E-3</v>
          </cell>
          <cell r="DV1221">
            <v>121.44</v>
          </cell>
          <cell r="DW1221">
            <v>1.5085000000000001E-2</v>
          </cell>
          <cell r="DX1221">
            <v>551.97</v>
          </cell>
          <cell r="DY1221" t="str">
            <v/>
          </cell>
          <cell r="DZ1221">
            <v>0</v>
          </cell>
          <cell r="EA1221">
            <v>36590.652966523034</v>
          </cell>
        </row>
        <row r="1222">
          <cell r="B1222">
            <v>303713</v>
          </cell>
          <cell r="C1222" t="str">
            <v>ულქერი_ბისკრემი_ბისკვიტი კაკაოს კრემით_180გ*12_KZ</v>
          </cell>
          <cell r="D1222" t="str">
            <v>TON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1.08E-3</v>
          </cell>
          <cell r="AD1222">
            <v>13.8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O1222">
            <v>1.08E-3</v>
          </cell>
          <cell r="AP1222">
            <v>13.8</v>
          </cell>
          <cell r="AS1222">
            <v>0</v>
          </cell>
          <cell r="AT1222">
            <v>0</v>
          </cell>
          <cell r="AU1222">
            <v>1.728E-2</v>
          </cell>
          <cell r="AV1222">
            <v>216.8</v>
          </cell>
          <cell r="AW1222">
            <v>0</v>
          </cell>
          <cell r="AX1222">
            <v>0</v>
          </cell>
          <cell r="AY1222">
            <v>2.16E-3</v>
          </cell>
          <cell r="AZ1222">
            <v>27.6</v>
          </cell>
          <cell r="BA1222">
            <v>0</v>
          </cell>
          <cell r="BB1222">
            <v>0</v>
          </cell>
          <cell r="BC1222">
            <v>2.16E-3</v>
          </cell>
          <cell r="BD1222">
            <v>26.77</v>
          </cell>
          <cell r="BE1222">
            <v>4.3200000000000001E-3</v>
          </cell>
          <cell r="BF1222">
            <v>54.370000000000005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4.3200000000000001E-3</v>
          </cell>
          <cell r="BV1222">
            <v>54.37</v>
          </cell>
          <cell r="BW1222">
            <v>1.08E-3</v>
          </cell>
          <cell r="BX1222">
            <v>13.39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5.4000000000000003E-3</v>
          </cell>
          <cell r="CJ1222">
            <v>67.760000000000005</v>
          </cell>
          <cell r="CK1222">
            <v>5.4000000000000003E-3</v>
          </cell>
          <cell r="CL1222">
            <v>67.760000000000005</v>
          </cell>
          <cell r="CO1222">
            <v>0</v>
          </cell>
          <cell r="CP1222">
            <v>0</v>
          </cell>
          <cell r="CQ1222">
            <v>0</v>
          </cell>
          <cell r="CR1222">
            <v>0</v>
          </cell>
          <cell r="CS1222">
            <v>0</v>
          </cell>
          <cell r="CT1222">
            <v>0</v>
          </cell>
          <cell r="CU1222">
            <v>6.4799999999999996E-3</v>
          </cell>
          <cell r="CV1222">
            <v>80.87</v>
          </cell>
          <cell r="CW1222">
            <v>0</v>
          </cell>
          <cell r="CX1222">
            <v>0</v>
          </cell>
          <cell r="CY1222">
            <v>0</v>
          </cell>
          <cell r="CZ1222">
            <v>0</v>
          </cell>
          <cell r="DA1222">
            <v>0</v>
          </cell>
          <cell r="DB1222">
            <v>0</v>
          </cell>
          <cell r="DC1222">
            <v>0</v>
          </cell>
          <cell r="DD1222">
            <v>0</v>
          </cell>
          <cell r="DE1222">
            <v>0</v>
          </cell>
          <cell r="DF1222">
            <v>0</v>
          </cell>
          <cell r="DG1222">
            <v>0</v>
          </cell>
          <cell r="DH1222">
            <v>0</v>
          </cell>
          <cell r="DI1222">
            <v>0</v>
          </cell>
          <cell r="DJ1222">
            <v>0</v>
          </cell>
          <cell r="DK1222">
            <v>0</v>
          </cell>
          <cell r="DL1222">
            <v>0</v>
          </cell>
          <cell r="DM1222">
            <v>0</v>
          </cell>
          <cell r="DN1222">
            <v>0</v>
          </cell>
          <cell r="DO1222">
            <v>4.3200000000000001E-3</v>
          </cell>
          <cell r="DP1222">
            <v>53.27</v>
          </cell>
          <cell r="DQ1222">
            <v>0</v>
          </cell>
          <cell r="DR1222">
            <v>0</v>
          </cell>
          <cell r="DS1222">
            <v>2.16E-3</v>
          </cell>
          <cell r="DT1222">
            <v>27.6</v>
          </cell>
          <cell r="DU1222">
            <v>6.4799999999999996E-3</v>
          </cell>
          <cell r="DV1222">
            <v>80.87</v>
          </cell>
          <cell r="DW1222">
            <v>1.728E-2</v>
          </cell>
          <cell r="DX1222">
            <v>216.8</v>
          </cell>
          <cell r="DY1222" t="str">
            <v/>
          </cell>
          <cell r="DZ1222">
            <v>0</v>
          </cell>
          <cell r="EA1222">
            <v>12546.296296296297</v>
          </cell>
        </row>
        <row r="1223">
          <cell r="B1223">
            <v>377002</v>
          </cell>
          <cell r="C1223" t="str">
            <v>ულქერი_კრისპი_ჩხირები_კეტჩ.მაიონ_40გ_13ც+2ც</v>
          </cell>
          <cell r="D1223" t="str">
            <v>TON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O1223">
            <v>0</v>
          </cell>
          <cell r="AP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O1223">
            <v>0</v>
          </cell>
          <cell r="CP1223">
            <v>0</v>
          </cell>
          <cell r="CQ1223">
            <v>0</v>
          </cell>
          <cell r="CR1223">
            <v>0</v>
          </cell>
          <cell r="CS1223">
            <v>0</v>
          </cell>
          <cell r="CT1223">
            <v>0</v>
          </cell>
          <cell r="CU1223">
            <v>0</v>
          </cell>
          <cell r="CV1223">
            <v>0</v>
          </cell>
          <cell r="CW1223">
            <v>0</v>
          </cell>
          <cell r="CX1223">
            <v>0</v>
          </cell>
          <cell r="CY1223">
            <v>0</v>
          </cell>
          <cell r="CZ1223">
            <v>0</v>
          </cell>
          <cell r="DA1223">
            <v>0</v>
          </cell>
          <cell r="DB1223">
            <v>0</v>
          </cell>
          <cell r="DC1223">
            <v>0</v>
          </cell>
          <cell r="DD1223">
            <v>0</v>
          </cell>
          <cell r="DE1223">
            <v>0</v>
          </cell>
          <cell r="DF1223">
            <v>0</v>
          </cell>
          <cell r="DG1223">
            <v>0</v>
          </cell>
          <cell r="DH1223">
            <v>0</v>
          </cell>
          <cell r="DI1223">
            <v>0</v>
          </cell>
          <cell r="DJ1223">
            <v>0</v>
          </cell>
          <cell r="DK1223">
            <v>0</v>
          </cell>
          <cell r="DL1223">
            <v>0</v>
          </cell>
          <cell r="DM1223">
            <v>0</v>
          </cell>
          <cell r="DN1223">
            <v>0</v>
          </cell>
          <cell r="DO1223">
            <v>0</v>
          </cell>
          <cell r="DP1223">
            <v>0</v>
          </cell>
          <cell r="DQ1223">
            <v>0</v>
          </cell>
          <cell r="DR1223">
            <v>0</v>
          </cell>
          <cell r="DS1223">
            <v>0</v>
          </cell>
          <cell r="DT1223">
            <v>0</v>
          </cell>
          <cell r="DU1223">
            <v>0</v>
          </cell>
          <cell r="DV1223">
            <v>0</v>
          </cell>
          <cell r="DW1223">
            <v>0</v>
          </cell>
          <cell r="DX1223">
            <v>0</v>
          </cell>
          <cell r="DY1223" t="str">
            <v/>
          </cell>
          <cell r="DZ1223" t="str">
            <v>pasiv</v>
          </cell>
          <cell r="EA1223" t="e">
            <v>#DIV/0!</v>
          </cell>
        </row>
        <row r="1224">
          <cell r="B1224">
            <v>377837</v>
          </cell>
          <cell r="C1224" t="str">
            <v>ულქერი_ჰელი_სენდვიჩი ზეფირი_336გ*10_KZ</v>
          </cell>
          <cell r="D1224" t="str">
            <v>TON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O1224">
            <v>0</v>
          </cell>
          <cell r="AP1224">
            <v>0</v>
          </cell>
          <cell r="AS1224">
            <v>0</v>
          </cell>
          <cell r="AT1224">
            <v>0</v>
          </cell>
          <cell r="AU1224">
            <v>2.2176000000000001E-2</v>
          </cell>
          <cell r="AV1224">
            <v>437.85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1.0751999999999999E-2</v>
          </cell>
          <cell r="CF1224">
            <v>207.6</v>
          </cell>
          <cell r="CG1224">
            <v>0</v>
          </cell>
          <cell r="CH1224">
            <v>0</v>
          </cell>
          <cell r="CI1224">
            <v>1.0751999999999999E-2</v>
          </cell>
          <cell r="CJ1224">
            <v>207.6</v>
          </cell>
          <cell r="CK1224">
            <v>1.0751999999999999E-2</v>
          </cell>
          <cell r="CL1224">
            <v>207.6</v>
          </cell>
          <cell r="CO1224">
            <v>0</v>
          </cell>
          <cell r="CP1224">
            <v>0</v>
          </cell>
          <cell r="CQ1224">
            <v>0</v>
          </cell>
          <cell r="CR1224">
            <v>0</v>
          </cell>
          <cell r="CS1224">
            <v>0</v>
          </cell>
          <cell r="CT1224">
            <v>0</v>
          </cell>
          <cell r="CU1224">
            <v>0</v>
          </cell>
          <cell r="CV1224">
            <v>0</v>
          </cell>
          <cell r="CW1224">
            <v>0</v>
          </cell>
          <cell r="CX1224">
            <v>0</v>
          </cell>
          <cell r="CY1224">
            <v>8.064E-3</v>
          </cell>
          <cell r="CZ1224">
            <v>166.8</v>
          </cell>
          <cell r="DA1224">
            <v>0</v>
          </cell>
          <cell r="DB1224">
            <v>0</v>
          </cell>
          <cell r="DC1224">
            <v>3.3600000000000001E-3</v>
          </cell>
          <cell r="DD1224">
            <v>63.45</v>
          </cell>
          <cell r="DE1224">
            <v>1.1424E-2</v>
          </cell>
          <cell r="DF1224">
            <v>230.25</v>
          </cell>
          <cell r="DG1224">
            <v>0</v>
          </cell>
          <cell r="DH1224">
            <v>0</v>
          </cell>
          <cell r="DI1224">
            <v>0</v>
          </cell>
          <cell r="DJ1224">
            <v>0</v>
          </cell>
          <cell r="DK1224">
            <v>0</v>
          </cell>
          <cell r="DL1224">
            <v>0</v>
          </cell>
          <cell r="DM1224">
            <v>0</v>
          </cell>
          <cell r="DN1224">
            <v>0</v>
          </cell>
          <cell r="DO1224">
            <v>0</v>
          </cell>
          <cell r="DP1224">
            <v>0</v>
          </cell>
          <cell r="DQ1224">
            <v>0</v>
          </cell>
          <cell r="DR1224">
            <v>0</v>
          </cell>
          <cell r="DS1224">
            <v>0</v>
          </cell>
          <cell r="DT1224">
            <v>0</v>
          </cell>
          <cell r="DU1224">
            <v>0</v>
          </cell>
          <cell r="DV1224">
            <v>0</v>
          </cell>
          <cell r="DW1224">
            <v>2.2176000000000001E-2</v>
          </cell>
          <cell r="DX1224">
            <v>437.85</v>
          </cell>
          <cell r="DY1224" t="str">
            <v/>
          </cell>
          <cell r="DZ1224">
            <v>0</v>
          </cell>
          <cell r="EA1224">
            <v>19744.31818181818</v>
          </cell>
        </row>
        <row r="1225">
          <cell r="B1225">
            <v>304883</v>
          </cell>
          <cell r="C1225" t="str">
            <v>ულქერი_კრემინი ტოფი.მარწყვის არომ_44გ*20*12</v>
          </cell>
          <cell r="D1225" t="str">
            <v>TON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0</v>
          </cell>
          <cell r="AK1225">
            <v>0</v>
          </cell>
          <cell r="AL1225">
            <v>0</v>
          </cell>
          <cell r="AO1225">
            <v>0</v>
          </cell>
          <cell r="AP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O1225">
            <v>0</v>
          </cell>
          <cell r="CP1225">
            <v>0</v>
          </cell>
          <cell r="CQ1225">
            <v>0</v>
          </cell>
          <cell r="CR1225">
            <v>0</v>
          </cell>
          <cell r="CS1225">
            <v>0</v>
          </cell>
          <cell r="CT1225">
            <v>0</v>
          </cell>
          <cell r="CU1225">
            <v>0</v>
          </cell>
          <cell r="CV1225">
            <v>0</v>
          </cell>
          <cell r="CW1225">
            <v>0</v>
          </cell>
          <cell r="CX1225">
            <v>0</v>
          </cell>
          <cell r="CY1225">
            <v>0</v>
          </cell>
          <cell r="CZ1225">
            <v>0</v>
          </cell>
          <cell r="DA1225">
            <v>0</v>
          </cell>
          <cell r="DB1225">
            <v>0</v>
          </cell>
          <cell r="DC1225">
            <v>0</v>
          </cell>
          <cell r="DD1225">
            <v>0</v>
          </cell>
          <cell r="DE1225">
            <v>0</v>
          </cell>
          <cell r="DF1225">
            <v>0</v>
          </cell>
          <cell r="DG1225">
            <v>0</v>
          </cell>
          <cell r="DH1225">
            <v>0</v>
          </cell>
          <cell r="DI1225">
            <v>0</v>
          </cell>
          <cell r="DJ1225">
            <v>0</v>
          </cell>
          <cell r="DK1225">
            <v>0</v>
          </cell>
          <cell r="DL1225">
            <v>0</v>
          </cell>
          <cell r="DM1225">
            <v>0</v>
          </cell>
          <cell r="DN1225">
            <v>0</v>
          </cell>
          <cell r="DO1225">
            <v>0</v>
          </cell>
          <cell r="DP1225">
            <v>0</v>
          </cell>
          <cell r="DQ1225">
            <v>0</v>
          </cell>
          <cell r="DR1225">
            <v>0</v>
          </cell>
          <cell r="DS1225">
            <v>0</v>
          </cell>
          <cell r="DT1225">
            <v>0</v>
          </cell>
          <cell r="DU1225">
            <v>0</v>
          </cell>
          <cell r="DV1225">
            <v>0</v>
          </cell>
          <cell r="DW1225">
            <v>0</v>
          </cell>
          <cell r="DX1225">
            <v>0</v>
          </cell>
          <cell r="DY1225" t="str">
            <v/>
          </cell>
          <cell r="DZ1225" t="str">
            <v>pasiv</v>
          </cell>
          <cell r="EA1225" t="e">
            <v>#DIV/0!</v>
          </cell>
        </row>
        <row r="1226">
          <cell r="B1226">
            <v>304498</v>
          </cell>
          <cell r="C1226" t="str">
            <v>ულქერი_ბისკრემ_ბისკვ დუო_150გ*18</v>
          </cell>
          <cell r="D1226" t="str">
            <v>TON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2.7000000000000001E-3</v>
          </cell>
          <cell r="AL1226">
            <v>54.9</v>
          </cell>
          <cell r="AO1226">
            <v>2.7000000000000001E-3</v>
          </cell>
          <cell r="AP1226">
            <v>54.9</v>
          </cell>
          <cell r="AS1226">
            <v>0</v>
          </cell>
          <cell r="AT1226">
            <v>0</v>
          </cell>
          <cell r="AU1226">
            <v>5.9400000000000001E-2</v>
          </cell>
          <cell r="AV1226">
            <v>1105.4100000000001</v>
          </cell>
          <cell r="AW1226">
            <v>0</v>
          </cell>
          <cell r="AX1226">
            <v>0</v>
          </cell>
          <cell r="AY1226">
            <v>2.7000000000000001E-3</v>
          </cell>
          <cell r="AZ1226">
            <v>55.8</v>
          </cell>
          <cell r="BA1226">
            <v>0</v>
          </cell>
          <cell r="BB1226">
            <v>0</v>
          </cell>
          <cell r="BC1226">
            <v>-1.4999999999999999E-4</v>
          </cell>
          <cell r="BD1226">
            <v>-2.81</v>
          </cell>
          <cell r="BE1226">
            <v>2.5500000000000002E-3</v>
          </cell>
          <cell r="BF1226">
            <v>52.989999999999995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5.9999999999999602E-2</v>
          </cell>
          <cell r="BM1226">
            <v>0</v>
          </cell>
          <cell r="BN1226">
            <v>0</v>
          </cell>
          <cell r="BO1226">
            <v>7.5000000000000002E-4</v>
          </cell>
          <cell r="BP1226">
            <v>15.25</v>
          </cell>
          <cell r="BQ1226">
            <v>0</v>
          </cell>
          <cell r="BR1226">
            <v>0</v>
          </cell>
          <cell r="BS1226">
            <v>7.5000000000000002E-4</v>
          </cell>
          <cell r="BT1226">
            <v>15.31</v>
          </cell>
          <cell r="BU1226">
            <v>0</v>
          </cell>
          <cell r="BV1226">
            <v>0</v>
          </cell>
          <cell r="BW1226">
            <v>3.5999999999999999E-3</v>
          </cell>
          <cell r="BX1226">
            <v>72.17</v>
          </cell>
          <cell r="BY1226">
            <v>1.0499999999999999E-3</v>
          </cell>
          <cell r="BZ1226">
            <v>21.35</v>
          </cell>
          <cell r="CA1226">
            <v>1.1999999999999999E-3</v>
          </cell>
          <cell r="CB1226">
            <v>24.4</v>
          </cell>
          <cell r="CC1226">
            <v>0</v>
          </cell>
          <cell r="CD1226">
            <v>0</v>
          </cell>
          <cell r="CE1226">
            <v>3.5099999999999999E-2</v>
          </cell>
          <cell r="CF1226">
            <v>609.34</v>
          </cell>
          <cell r="CG1226">
            <v>0</v>
          </cell>
          <cell r="CH1226">
            <v>0</v>
          </cell>
          <cell r="CI1226">
            <v>4.095E-2</v>
          </cell>
          <cell r="CJ1226">
            <v>727.26</v>
          </cell>
          <cell r="CK1226">
            <v>4.1700000000000001E-2</v>
          </cell>
          <cell r="CL1226">
            <v>742.56999999999994</v>
          </cell>
          <cell r="CO1226">
            <v>0</v>
          </cell>
          <cell r="CP1226">
            <v>0</v>
          </cell>
          <cell r="CQ1226">
            <v>0</v>
          </cell>
          <cell r="CR1226">
            <v>0</v>
          </cell>
          <cell r="CS1226">
            <v>0</v>
          </cell>
          <cell r="CT1226">
            <v>0</v>
          </cell>
          <cell r="CU1226">
            <v>4.3499999999999997E-3</v>
          </cell>
          <cell r="CV1226">
            <v>88.45</v>
          </cell>
          <cell r="CW1226">
            <v>0</v>
          </cell>
          <cell r="CX1226">
            <v>0</v>
          </cell>
          <cell r="CY1226">
            <v>5.4000000000000003E-3</v>
          </cell>
          <cell r="CZ1226">
            <v>111.6</v>
          </cell>
          <cell r="DA1226">
            <v>2.7000000000000001E-3</v>
          </cell>
          <cell r="DB1226">
            <v>54.9</v>
          </cell>
          <cell r="DC1226">
            <v>0</v>
          </cell>
          <cell r="DD1226">
            <v>0</v>
          </cell>
          <cell r="DE1226">
            <v>8.0999999999999996E-3</v>
          </cell>
          <cell r="DF1226">
            <v>166.5</v>
          </cell>
          <cell r="DG1226">
            <v>0</v>
          </cell>
          <cell r="DH1226">
            <v>0</v>
          </cell>
          <cell r="DI1226">
            <v>0</v>
          </cell>
          <cell r="DJ1226">
            <v>0</v>
          </cell>
          <cell r="DK1226">
            <v>0</v>
          </cell>
          <cell r="DL1226">
            <v>0</v>
          </cell>
          <cell r="DM1226">
            <v>0</v>
          </cell>
          <cell r="DN1226">
            <v>0</v>
          </cell>
          <cell r="DO1226">
            <v>5.9999999999999995E-4</v>
          </cell>
          <cell r="DP1226">
            <v>12.2</v>
          </cell>
          <cell r="DQ1226">
            <v>1.5E-3</v>
          </cell>
          <cell r="DR1226">
            <v>30.5</v>
          </cell>
          <cell r="DS1226">
            <v>2.2499999999999998E-3</v>
          </cell>
          <cell r="DT1226">
            <v>45.75</v>
          </cell>
          <cell r="DU1226">
            <v>4.3499999999999997E-3</v>
          </cell>
          <cell r="DV1226">
            <v>88.45</v>
          </cell>
          <cell r="DW1226">
            <v>5.9400000000000001E-2</v>
          </cell>
          <cell r="DX1226">
            <v>1105.4100000000001</v>
          </cell>
          <cell r="DY1226" t="str">
            <v/>
          </cell>
          <cell r="DZ1226">
            <v>0</v>
          </cell>
          <cell r="EA1226">
            <v>18609.595959595961</v>
          </cell>
        </row>
        <row r="1227">
          <cell r="B1227">
            <v>304901</v>
          </cell>
          <cell r="C1227" t="str">
            <v>ულქერი_კრემინი ტოფი.საზამთროს არომ_44გ*20*12</v>
          </cell>
          <cell r="D1227" t="str">
            <v>TON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O1227">
            <v>0</v>
          </cell>
          <cell r="AP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0</v>
          </cell>
          <cell r="BM1227">
            <v>0</v>
          </cell>
          <cell r="BN1227">
            <v>0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O1227">
            <v>0</v>
          </cell>
          <cell r="CP1227">
            <v>0</v>
          </cell>
          <cell r="CQ1227">
            <v>0</v>
          </cell>
          <cell r="CR1227">
            <v>0</v>
          </cell>
          <cell r="CS1227">
            <v>0</v>
          </cell>
          <cell r="CT1227">
            <v>0</v>
          </cell>
          <cell r="CU1227">
            <v>0</v>
          </cell>
          <cell r="CV1227">
            <v>0</v>
          </cell>
          <cell r="CW1227">
            <v>0</v>
          </cell>
          <cell r="CX1227">
            <v>0</v>
          </cell>
          <cell r="CY1227">
            <v>0</v>
          </cell>
          <cell r="CZ1227">
            <v>0</v>
          </cell>
          <cell r="DA1227">
            <v>0</v>
          </cell>
          <cell r="DB1227">
            <v>0</v>
          </cell>
          <cell r="DC1227">
            <v>0</v>
          </cell>
          <cell r="DD1227">
            <v>0</v>
          </cell>
          <cell r="DE1227">
            <v>0</v>
          </cell>
          <cell r="DF1227">
            <v>0</v>
          </cell>
          <cell r="DG1227">
            <v>0</v>
          </cell>
          <cell r="DH1227">
            <v>0</v>
          </cell>
          <cell r="DI1227">
            <v>0</v>
          </cell>
          <cell r="DJ1227">
            <v>0</v>
          </cell>
          <cell r="DK1227">
            <v>0</v>
          </cell>
          <cell r="DL1227">
            <v>0</v>
          </cell>
          <cell r="DM1227">
            <v>0</v>
          </cell>
          <cell r="DN1227">
            <v>0</v>
          </cell>
          <cell r="DO1227">
            <v>0</v>
          </cell>
          <cell r="DP1227">
            <v>0</v>
          </cell>
          <cell r="DQ1227">
            <v>0</v>
          </cell>
          <cell r="DR1227">
            <v>0</v>
          </cell>
          <cell r="DS1227">
            <v>0</v>
          </cell>
          <cell r="DT1227">
            <v>0</v>
          </cell>
          <cell r="DU1227">
            <v>0</v>
          </cell>
          <cell r="DV1227">
            <v>0</v>
          </cell>
          <cell r="DW1227">
            <v>0</v>
          </cell>
          <cell r="DX1227">
            <v>0</v>
          </cell>
          <cell r="DY1227" t="str">
            <v/>
          </cell>
          <cell r="DZ1227" t="str">
            <v>pasiv</v>
          </cell>
          <cell r="EA1227" t="e">
            <v>#DIV/0!</v>
          </cell>
        </row>
        <row r="1228">
          <cell r="B1228">
            <v>303568</v>
          </cell>
          <cell r="C1228" t="str">
            <v>ულქერი_დანქექ_8ქექ_შოკ.მარწყვ_55გ*24</v>
          </cell>
          <cell r="D1228" t="str">
            <v>TON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1.65E-4</v>
          </cell>
          <cell r="AF1228">
            <v>2.62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O1228">
            <v>1.65E-4</v>
          </cell>
          <cell r="AP1228">
            <v>2.62</v>
          </cell>
          <cell r="AS1228">
            <v>0</v>
          </cell>
          <cell r="AT1228">
            <v>0</v>
          </cell>
          <cell r="AU1228">
            <v>1.485E-3</v>
          </cell>
          <cell r="AV1228">
            <v>23.6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1.32E-3</v>
          </cell>
          <cell r="CF1228">
            <v>20.98</v>
          </cell>
          <cell r="CG1228">
            <v>0</v>
          </cell>
          <cell r="CH1228">
            <v>0</v>
          </cell>
          <cell r="CI1228">
            <v>1.32E-3</v>
          </cell>
          <cell r="CJ1228">
            <v>20.98</v>
          </cell>
          <cell r="CK1228">
            <v>1.32E-3</v>
          </cell>
          <cell r="CL1228">
            <v>20.98</v>
          </cell>
          <cell r="CO1228">
            <v>0</v>
          </cell>
          <cell r="CP1228">
            <v>0</v>
          </cell>
          <cell r="CQ1228">
            <v>0</v>
          </cell>
          <cell r="CR1228">
            <v>0</v>
          </cell>
          <cell r="CS1228">
            <v>0</v>
          </cell>
          <cell r="CT1228">
            <v>0</v>
          </cell>
          <cell r="CU1228">
            <v>0</v>
          </cell>
          <cell r="CV1228">
            <v>0</v>
          </cell>
          <cell r="CW1228">
            <v>0</v>
          </cell>
          <cell r="CX1228">
            <v>0</v>
          </cell>
          <cell r="CY1228">
            <v>0</v>
          </cell>
          <cell r="CZ1228">
            <v>0</v>
          </cell>
          <cell r="DA1228">
            <v>0</v>
          </cell>
          <cell r="DB1228">
            <v>0</v>
          </cell>
          <cell r="DC1228">
            <v>0</v>
          </cell>
          <cell r="DD1228">
            <v>0</v>
          </cell>
          <cell r="DE1228">
            <v>0</v>
          </cell>
          <cell r="DF1228">
            <v>0</v>
          </cell>
          <cell r="DG1228">
            <v>0</v>
          </cell>
          <cell r="DH1228">
            <v>0</v>
          </cell>
          <cell r="DI1228">
            <v>0</v>
          </cell>
          <cell r="DJ1228">
            <v>0</v>
          </cell>
          <cell r="DK1228">
            <v>0</v>
          </cell>
          <cell r="DL1228">
            <v>0</v>
          </cell>
          <cell r="DM1228">
            <v>0</v>
          </cell>
          <cell r="DN1228">
            <v>0</v>
          </cell>
          <cell r="DO1228">
            <v>0</v>
          </cell>
          <cell r="DP1228">
            <v>0</v>
          </cell>
          <cell r="DQ1228">
            <v>0</v>
          </cell>
          <cell r="DR1228">
            <v>0</v>
          </cell>
          <cell r="DS1228">
            <v>0</v>
          </cell>
          <cell r="DT1228">
            <v>0</v>
          </cell>
          <cell r="DU1228">
            <v>0</v>
          </cell>
          <cell r="DV1228">
            <v>0</v>
          </cell>
          <cell r="DW1228">
            <v>1.485E-3</v>
          </cell>
          <cell r="DX1228">
            <v>23.6</v>
          </cell>
          <cell r="DY1228" t="str">
            <v/>
          </cell>
          <cell r="DZ1228">
            <v>0</v>
          </cell>
          <cell r="EA1228">
            <v>15892.255892255893</v>
          </cell>
        </row>
        <row r="1229">
          <cell r="B1229">
            <v>310512</v>
          </cell>
          <cell r="C1229" t="str">
            <v>??????_TOFFE_??????? ????????_1??*5</v>
          </cell>
          <cell r="D1229" t="str">
            <v>TON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O1229">
            <v>0</v>
          </cell>
          <cell r="AP1229">
            <v>0</v>
          </cell>
          <cell r="AS1229">
            <v>0</v>
          </cell>
          <cell r="AT1229">
            <v>0</v>
          </cell>
          <cell r="AU1229">
            <v>4.0000000000000001E-3</v>
          </cell>
          <cell r="AV1229">
            <v>39.299999999999997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3.0000000000000001E-3</v>
          </cell>
          <cell r="BP1229">
            <v>29.6</v>
          </cell>
          <cell r="BQ1229">
            <v>0</v>
          </cell>
          <cell r="BR1229">
            <v>0</v>
          </cell>
          <cell r="BS1229">
            <v>3.0000000000000001E-3</v>
          </cell>
          <cell r="BT1229">
            <v>29.6</v>
          </cell>
          <cell r="BU1229">
            <v>1E-3</v>
          </cell>
          <cell r="BV1229">
            <v>9.6999999999999993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0</v>
          </cell>
          <cell r="CB1229">
            <v>0</v>
          </cell>
          <cell r="CC1229">
            <v>0</v>
          </cell>
          <cell r="CD1229">
            <v>0</v>
          </cell>
          <cell r="CE1229">
            <v>0</v>
          </cell>
          <cell r="CF1229">
            <v>0</v>
          </cell>
          <cell r="CG1229">
            <v>0</v>
          </cell>
          <cell r="CH1229">
            <v>0</v>
          </cell>
          <cell r="CI1229">
            <v>1E-3</v>
          </cell>
          <cell r="CJ1229">
            <v>9.6999999999999993</v>
          </cell>
          <cell r="CK1229">
            <v>4.0000000000000001E-3</v>
          </cell>
          <cell r="CL1229">
            <v>39.299999999999997</v>
          </cell>
          <cell r="CO1229">
            <v>0</v>
          </cell>
          <cell r="CP1229">
            <v>0</v>
          </cell>
          <cell r="CQ1229">
            <v>0</v>
          </cell>
          <cell r="CR1229">
            <v>0</v>
          </cell>
          <cell r="CS1229">
            <v>0</v>
          </cell>
          <cell r="CT1229">
            <v>0</v>
          </cell>
          <cell r="CU1229">
            <v>0</v>
          </cell>
          <cell r="CV1229">
            <v>0</v>
          </cell>
          <cell r="CW1229">
            <v>0</v>
          </cell>
          <cell r="CX1229">
            <v>0</v>
          </cell>
          <cell r="CY1229">
            <v>0</v>
          </cell>
          <cell r="CZ1229">
            <v>0</v>
          </cell>
          <cell r="DA1229">
            <v>0</v>
          </cell>
          <cell r="DB1229">
            <v>0</v>
          </cell>
          <cell r="DC1229">
            <v>0</v>
          </cell>
          <cell r="DD1229">
            <v>0</v>
          </cell>
          <cell r="DE1229">
            <v>0</v>
          </cell>
          <cell r="DF1229">
            <v>0</v>
          </cell>
          <cell r="DG1229">
            <v>0</v>
          </cell>
          <cell r="DH1229">
            <v>0</v>
          </cell>
          <cell r="DI1229">
            <v>0</v>
          </cell>
          <cell r="DJ1229">
            <v>0</v>
          </cell>
          <cell r="DK1229">
            <v>0</v>
          </cell>
          <cell r="DL1229">
            <v>0</v>
          </cell>
          <cell r="DM1229">
            <v>0</v>
          </cell>
          <cell r="DN1229">
            <v>0</v>
          </cell>
          <cell r="DO1229">
            <v>0</v>
          </cell>
          <cell r="DP1229">
            <v>0</v>
          </cell>
          <cell r="DQ1229">
            <v>0</v>
          </cell>
          <cell r="DR1229">
            <v>0</v>
          </cell>
          <cell r="DS1229">
            <v>0</v>
          </cell>
          <cell r="DT1229">
            <v>0</v>
          </cell>
          <cell r="DU1229">
            <v>0</v>
          </cell>
          <cell r="DV1229">
            <v>0</v>
          </cell>
          <cell r="DW1229">
            <v>4.0000000000000001E-3</v>
          </cell>
          <cell r="DX1229">
            <v>39.299999999999997</v>
          </cell>
          <cell r="DY1229" t="str">
            <v/>
          </cell>
          <cell r="DZ1229">
            <v>0</v>
          </cell>
          <cell r="EA1229">
            <v>9824.9999999999982</v>
          </cell>
        </row>
        <row r="1230">
          <cell r="B1230">
            <v>310513</v>
          </cell>
          <cell r="C1230" t="str">
            <v>ულქერი_TOFFE_კანფეტი ლიმონის_1??*5</v>
          </cell>
          <cell r="D1230" t="str">
            <v>TON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O1230">
            <v>0</v>
          </cell>
          <cell r="AP1230">
            <v>0</v>
          </cell>
          <cell r="AS1230">
            <v>0</v>
          </cell>
          <cell r="AT1230">
            <v>0</v>
          </cell>
          <cell r="AU1230">
            <v>3.0000000000000001E-3</v>
          </cell>
          <cell r="AV1230">
            <v>29.6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0</v>
          </cell>
          <cell r="BM1230">
            <v>0</v>
          </cell>
          <cell r="BN1230">
            <v>0</v>
          </cell>
          <cell r="BO1230">
            <v>3.0000000000000001E-3</v>
          </cell>
          <cell r="BP1230">
            <v>29.6</v>
          </cell>
          <cell r="BQ1230">
            <v>0</v>
          </cell>
          <cell r="BR1230">
            <v>0</v>
          </cell>
          <cell r="BS1230">
            <v>3.0000000000000001E-3</v>
          </cell>
          <cell r="BT1230">
            <v>29.6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3.0000000000000001E-3</v>
          </cell>
          <cell r="CL1230">
            <v>29.6</v>
          </cell>
          <cell r="CO1230">
            <v>0</v>
          </cell>
          <cell r="CP1230">
            <v>0</v>
          </cell>
          <cell r="CQ1230">
            <v>0</v>
          </cell>
          <cell r="CR1230">
            <v>0</v>
          </cell>
          <cell r="CS1230">
            <v>0</v>
          </cell>
          <cell r="CT1230">
            <v>0</v>
          </cell>
          <cell r="CU1230">
            <v>0</v>
          </cell>
          <cell r="CV1230">
            <v>0</v>
          </cell>
          <cell r="CW1230">
            <v>0</v>
          </cell>
          <cell r="CX1230">
            <v>0</v>
          </cell>
          <cell r="CY1230">
            <v>0</v>
          </cell>
          <cell r="CZ1230">
            <v>0</v>
          </cell>
          <cell r="DA1230">
            <v>0</v>
          </cell>
          <cell r="DB1230">
            <v>0</v>
          </cell>
          <cell r="DC1230">
            <v>0</v>
          </cell>
          <cell r="DD1230">
            <v>0</v>
          </cell>
          <cell r="DE1230">
            <v>0</v>
          </cell>
          <cell r="DF1230">
            <v>0</v>
          </cell>
          <cell r="DG1230">
            <v>0</v>
          </cell>
          <cell r="DH1230">
            <v>0</v>
          </cell>
          <cell r="DI1230">
            <v>0</v>
          </cell>
          <cell r="DJ1230">
            <v>0</v>
          </cell>
          <cell r="DK1230">
            <v>0</v>
          </cell>
          <cell r="DL1230">
            <v>0</v>
          </cell>
          <cell r="DM1230">
            <v>0</v>
          </cell>
          <cell r="DN1230">
            <v>0</v>
          </cell>
          <cell r="DO1230">
            <v>0</v>
          </cell>
          <cell r="DP1230">
            <v>0</v>
          </cell>
          <cell r="DQ1230">
            <v>0</v>
          </cell>
          <cell r="DR1230">
            <v>0</v>
          </cell>
          <cell r="DS1230">
            <v>0</v>
          </cell>
          <cell r="DT1230">
            <v>0</v>
          </cell>
          <cell r="DU1230">
            <v>0</v>
          </cell>
          <cell r="DV1230">
            <v>0</v>
          </cell>
          <cell r="DW1230">
            <v>3.0000000000000001E-3</v>
          </cell>
          <cell r="DX1230">
            <v>29.6</v>
          </cell>
          <cell r="DY1230" t="str">
            <v/>
          </cell>
          <cell r="DZ1230">
            <v>0</v>
          </cell>
          <cell r="EA1230">
            <v>9866.6666666666661</v>
          </cell>
        </row>
        <row r="1231">
          <cell r="B1231">
            <v>310568</v>
          </cell>
          <cell r="C1231" t="str">
            <v>??????_TOFFE_??????? ?????????_1??*5</v>
          </cell>
          <cell r="D1231" t="str">
            <v>TON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1E-3</v>
          </cell>
          <cell r="AD1231">
            <v>10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O1231">
            <v>1E-3</v>
          </cell>
          <cell r="AP1231">
            <v>10</v>
          </cell>
          <cell r="AS1231">
            <v>0</v>
          </cell>
          <cell r="AT1231">
            <v>0</v>
          </cell>
          <cell r="AU1231">
            <v>5.0000000000000001E-3</v>
          </cell>
          <cell r="AV1231">
            <v>49.3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3.0000000000000001E-3</v>
          </cell>
          <cell r="BP1231">
            <v>29.6</v>
          </cell>
          <cell r="BQ1231">
            <v>0</v>
          </cell>
          <cell r="BR1231">
            <v>0</v>
          </cell>
          <cell r="BS1231">
            <v>3.0000000000000001E-3</v>
          </cell>
          <cell r="BT1231">
            <v>29.6</v>
          </cell>
          <cell r="BU1231">
            <v>1E-3</v>
          </cell>
          <cell r="BV1231">
            <v>9.6999999999999993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1E-3</v>
          </cell>
          <cell r="CJ1231">
            <v>9.6999999999999993</v>
          </cell>
          <cell r="CK1231">
            <v>4.0000000000000001E-3</v>
          </cell>
          <cell r="CL1231">
            <v>39.299999999999997</v>
          </cell>
          <cell r="CO1231">
            <v>0</v>
          </cell>
          <cell r="CP1231">
            <v>0</v>
          </cell>
          <cell r="CQ1231">
            <v>0</v>
          </cell>
          <cell r="CR1231">
            <v>0</v>
          </cell>
          <cell r="CS1231">
            <v>0</v>
          </cell>
          <cell r="CT1231">
            <v>0</v>
          </cell>
          <cell r="CU1231">
            <v>0</v>
          </cell>
          <cell r="CV1231">
            <v>0</v>
          </cell>
          <cell r="CW1231">
            <v>0</v>
          </cell>
          <cell r="CX1231">
            <v>0</v>
          </cell>
          <cell r="CY1231">
            <v>0</v>
          </cell>
          <cell r="CZ1231">
            <v>0</v>
          </cell>
          <cell r="DA1231">
            <v>0</v>
          </cell>
          <cell r="DB1231">
            <v>0</v>
          </cell>
          <cell r="DC1231">
            <v>0</v>
          </cell>
          <cell r="DD1231">
            <v>0</v>
          </cell>
          <cell r="DE1231">
            <v>0</v>
          </cell>
          <cell r="DF1231">
            <v>0</v>
          </cell>
          <cell r="DG1231">
            <v>0</v>
          </cell>
          <cell r="DH1231">
            <v>0</v>
          </cell>
          <cell r="DI1231">
            <v>0</v>
          </cell>
          <cell r="DJ1231">
            <v>0</v>
          </cell>
          <cell r="DK1231">
            <v>0</v>
          </cell>
          <cell r="DL1231">
            <v>0</v>
          </cell>
          <cell r="DM1231">
            <v>0</v>
          </cell>
          <cell r="DN1231">
            <v>0</v>
          </cell>
          <cell r="DO1231">
            <v>0</v>
          </cell>
          <cell r="DP1231">
            <v>0</v>
          </cell>
          <cell r="DQ1231">
            <v>0</v>
          </cell>
          <cell r="DR1231">
            <v>0</v>
          </cell>
          <cell r="DS1231">
            <v>0</v>
          </cell>
          <cell r="DT1231">
            <v>0</v>
          </cell>
          <cell r="DU1231">
            <v>0</v>
          </cell>
          <cell r="DV1231">
            <v>0</v>
          </cell>
          <cell r="DW1231">
            <v>5.0000000000000001E-3</v>
          </cell>
          <cell r="DX1231">
            <v>49.3</v>
          </cell>
          <cell r="DY1231" t="str">
            <v/>
          </cell>
          <cell r="DZ1231">
            <v>0</v>
          </cell>
          <cell r="EA1231">
            <v>9860</v>
          </cell>
        </row>
        <row r="1232">
          <cell r="B1232">
            <v>366719</v>
          </cell>
          <cell r="C1232" t="str">
            <v>ულქერი_LOKUMCUK_მარმელადი მაყვალი_1კგ*5</v>
          </cell>
          <cell r="D1232" t="str">
            <v>TON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O1232">
            <v>0</v>
          </cell>
          <cell r="AP1232">
            <v>0</v>
          </cell>
          <cell r="AS1232">
            <v>0</v>
          </cell>
          <cell r="AT1232">
            <v>0</v>
          </cell>
          <cell r="AU1232">
            <v>2E-3</v>
          </cell>
          <cell r="AV1232">
            <v>23.92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1E-3</v>
          </cell>
          <cell r="BP1232">
            <v>13</v>
          </cell>
          <cell r="BQ1232">
            <v>0</v>
          </cell>
          <cell r="BR1232">
            <v>0</v>
          </cell>
          <cell r="BS1232">
            <v>1E-3</v>
          </cell>
          <cell r="BT1232">
            <v>13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0</v>
          </cell>
          <cell r="CC1232">
            <v>0</v>
          </cell>
          <cell r="CD1232">
            <v>0</v>
          </cell>
          <cell r="CE1232">
            <v>1E-3</v>
          </cell>
          <cell r="CF1232">
            <v>10.92</v>
          </cell>
          <cell r="CG1232">
            <v>0</v>
          </cell>
          <cell r="CH1232">
            <v>0</v>
          </cell>
          <cell r="CI1232">
            <v>1E-3</v>
          </cell>
          <cell r="CJ1232">
            <v>10.92</v>
          </cell>
          <cell r="CK1232">
            <v>2E-3</v>
          </cell>
          <cell r="CL1232">
            <v>23.92</v>
          </cell>
          <cell r="CO1232">
            <v>0</v>
          </cell>
          <cell r="CP1232">
            <v>0</v>
          </cell>
          <cell r="CQ1232">
            <v>0</v>
          </cell>
          <cell r="CR1232">
            <v>0</v>
          </cell>
          <cell r="CS1232">
            <v>0</v>
          </cell>
          <cell r="CT1232">
            <v>0</v>
          </cell>
          <cell r="CU1232">
            <v>0</v>
          </cell>
          <cell r="CV1232">
            <v>0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0</v>
          </cell>
          <cell r="DD1232">
            <v>0</v>
          </cell>
          <cell r="DE1232">
            <v>0</v>
          </cell>
          <cell r="DF1232">
            <v>0</v>
          </cell>
          <cell r="DG1232">
            <v>0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  <cell r="DL1232">
            <v>0</v>
          </cell>
          <cell r="DM1232">
            <v>0</v>
          </cell>
          <cell r="DN1232">
            <v>0</v>
          </cell>
          <cell r="DO1232">
            <v>0</v>
          </cell>
          <cell r="DP1232">
            <v>0</v>
          </cell>
          <cell r="DQ1232">
            <v>0</v>
          </cell>
          <cell r="DR1232">
            <v>0</v>
          </cell>
          <cell r="DS1232">
            <v>0</v>
          </cell>
          <cell r="DT1232">
            <v>0</v>
          </cell>
          <cell r="DU1232">
            <v>0</v>
          </cell>
          <cell r="DV1232">
            <v>0</v>
          </cell>
          <cell r="DW1232">
            <v>2E-3</v>
          </cell>
          <cell r="DX1232">
            <v>23.92</v>
          </cell>
          <cell r="DY1232" t="str">
            <v/>
          </cell>
          <cell r="DZ1232">
            <v>0</v>
          </cell>
          <cell r="EA1232">
            <v>11960</v>
          </cell>
        </row>
        <row r="1233">
          <cell r="B1233">
            <v>380540</v>
          </cell>
          <cell r="C1233" t="str">
            <v>ულქერი_COKOTURTA_ორცხ.ალუბლის_0.3კგ*12</v>
          </cell>
          <cell r="D1233" t="str">
            <v>TON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O1233">
            <v>0</v>
          </cell>
          <cell r="AP1233">
            <v>0</v>
          </cell>
          <cell r="AS1233">
            <v>0</v>
          </cell>
          <cell r="AT1233">
            <v>0</v>
          </cell>
          <cell r="AU1233">
            <v>8.9999999999999998E-4</v>
          </cell>
          <cell r="AV1233">
            <v>12.27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0</v>
          </cell>
          <cell r="BM1233">
            <v>0</v>
          </cell>
          <cell r="BN1233">
            <v>0</v>
          </cell>
          <cell r="BO1233">
            <v>0</v>
          </cell>
          <cell r="BP1233">
            <v>0</v>
          </cell>
          <cell r="BQ1233">
            <v>0</v>
          </cell>
          <cell r="BR1233">
            <v>0</v>
          </cell>
          <cell r="BS1233">
            <v>8.9999999999999998E-4</v>
          </cell>
          <cell r="BT1233">
            <v>12.27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8.9999999999999998E-4</v>
          </cell>
          <cell r="CL1233">
            <v>12.27</v>
          </cell>
          <cell r="CO1233">
            <v>0</v>
          </cell>
          <cell r="CP1233">
            <v>0</v>
          </cell>
          <cell r="CQ1233">
            <v>0</v>
          </cell>
          <cell r="CR1233">
            <v>0</v>
          </cell>
          <cell r="CS1233">
            <v>0</v>
          </cell>
          <cell r="CT1233">
            <v>0</v>
          </cell>
          <cell r="CU1233">
            <v>0</v>
          </cell>
          <cell r="CV1233">
            <v>0</v>
          </cell>
          <cell r="CW1233">
            <v>0</v>
          </cell>
          <cell r="CX1233">
            <v>0</v>
          </cell>
          <cell r="CY1233">
            <v>0</v>
          </cell>
          <cell r="CZ1233">
            <v>0</v>
          </cell>
          <cell r="DA1233">
            <v>0</v>
          </cell>
          <cell r="DB1233">
            <v>0</v>
          </cell>
          <cell r="DC1233">
            <v>0</v>
          </cell>
          <cell r="DD1233">
            <v>0</v>
          </cell>
          <cell r="DE1233">
            <v>0</v>
          </cell>
          <cell r="DF1233">
            <v>0</v>
          </cell>
          <cell r="DG1233">
            <v>0</v>
          </cell>
          <cell r="DH1233">
            <v>0</v>
          </cell>
          <cell r="DI1233">
            <v>0</v>
          </cell>
          <cell r="DJ1233">
            <v>0</v>
          </cell>
          <cell r="DK1233">
            <v>0</v>
          </cell>
          <cell r="DL1233">
            <v>0</v>
          </cell>
          <cell r="DM1233">
            <v>0</v>
          </cell>
          <cell r="DN1233">
            <v>0</v>
          </cell>
          <cell r="DO1233">
            <v>0</v>
          </cell>
          <cell r="DP1233">
            <v>0</v>
          </cell>
          <cell r="DQ1233">
            <v>0</v>
          </cell>
          <cell r="DR1233">
            <v>0</v>
          </cell>
          <cell r="DS1233">
            <v>0</v>
          </cell>
          <cell r="DT1233">
            <v>0</v>
          </cell>
          <cell r="DU1233">
            <v>0</v>
          </cell>
          <cell r="DV1233">
            <v>0</v>
          </cell>
          <cell r="DW1233">
            <v>8.9999999999999998E-4</v>
          </cell>
          <cell r="DX1233">
            <v>12.27</v>
          </cell>
          <cell r="DY1233" t="str">
            <v/>
          </cell>
          <cell r="DZ1233">
            <v>0</v>
          </cell>
          <cell r="EA1233">
            <v>13633.333333333334</v>
          </cell>
        </row>
        <row r="1234">
          <cell r="B1234">
            <v>388222</v>
          </cell>
          <cell r="C1234" t="str">
            <v>ულქერი_9KAT TAT CUBE_ვაფლი ფორმოხლის კრემ_200გ*10</v>
          </cell>
          <cell r="D1234" t="str">
            <v>TON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O1234">
            <v>0</v>
          </cell>
          <cell r="AP1234">
            <v>0</v>
          </cell>
          <cell r="AS1234">
            <v>0</v>
          </cell>
          <cell r="AT1234">
            <v>0</v>
          </cell>
          <cell r="AU1234">
            <v>1.1999999999999999E-3</v>
          </cell>
          <cell r="AV1234">
            <v>26.19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1.1999999999999999E-3</v>
          </cell>
          <cell r="BX1234">
            <v>26.19</v>
          </cell>
          <cell r="BY1234">
            <v>0</v>
          </cell>
          <cell r="BZ1234">
            <v>0</v>
          </cell>
          <cell r="CA1234">
            <v>0</v>
          </cell>
          <cell r="CB1234">
            <v>0</v>
          </cell>
          <cell r="CC1234">
            <v>0</v>
          </cell>
          <cell r="CD1234">
            <v>0</v>
          </cell>
          <cell r="CE1234">
            <v>0</v>
          </cell>
          <cell r="CF1234">
            <v>0</v>
          </cell>
          <cell r="CG1234">
            <v>0</v>
          </cell>
          <cell r="CH1234">
            <v>0</v>
          </cell>
          <cell r="CI1234">
            <v>1.1999999999999999E-3</v>
          </cell>
          <cell r="CJ1234">
            <v>26.19</v>
          </cell>
          <cell r="CK1234">
            <v>1.1999999999999999E-3</v>
          </cell>
          <cell r="CL1234">
            <v>26.19</v>
          </cell>
          <cell r="CO1234">
            <v>0</v>
          </cell>
          <cell r="CP1234">
            <v>0</v>
          </cell>
          <cell r="CQ1234">
            <v>0</v>
          </cell>
          <cell r="CR1234">
            <v>0</v>
          </cell>
          <cell r="CS1234">
            <v>0</v>
          </cell>
          <cell r="CT1234">
            <v>0</v>
          </cell>
          <cell r="CU1234">
            <v>0</v>
          </cell>
          <cell r="CV1234">
            <v>0</v>
          </cell>
          <cell r="CW1234">
            <v>0</v>
          </cell>
          <cell r="CX1234">
            <v>0</v>
          </cell>
          <cell r="CY1234">
            <v>0</v>
          </cell>
          <cell r="CZ1234">
            <v>0</v>
          </cell>
          <cell r="DA1234">
            <v>0</v>
          </cell>
          <cell r="DB1234">
            <v>0</v>
          </cell>
          <cell r="DC1234">
            <v>0</v>
          </cell>
          <cell r="DD1234">
            <v>0</v>
          </cell>
          <cell r="DE1234">
            <v>0</v>
          </cell>
          <cell r="DF1234">
            <v>0</v>
          </cell>
          <cell r="DG1234">
            <v>0</v>
          </cell>
          <cell r="DH1234">
            <v>0</v>
          </cell>
          <cell r="DI1234">
            <v>0</v>
          </cell>
          <cell r="DJ1234">
            <v>0</v>
          </cell>
          <cell r="DK1234">
            <v>0</v>
          </cell>
          <cell r="DL1234">
            <v>0</v>
          </cell>
          <cell r="DM1234">
            <v>0</v>
          </cell>
          <cell r="DN1234">
            <v>0</v>
          </cell>
          <cell r="DO1234">
            <v>0</v>
          </cell>
          <cell r="DP1234">
            <v>0</v>
          </cell>
          <cell r="DQ1234">
            <v>0</v>
          </cell>
          <cell r="DR1234">
            <v>0</v>
          </cell>
          <cell r="DS1234">
            <v>0</v>
          </cell>
          <cell r="DT1234">
            <v>0</v>
          </cell>
          <cell r="DU1234">
            <v>0</v>
          </cell>
          <cell r="DV1234">
            <v>0</v>
          </cell>
          <cell r="DW1234">
            <v>1.1999999999999999E-3</v>
          </cell>
          <cell r="DX1234">
            <v>26.19</v>
          </cell>
          <cell r="DY1234" t="str">
            <v/>
          </cell>
          <cell r="DZ1234">
            <v>0</v>
          </cell>
          <cell r="EA1234">
            <v>21825.000000000004</v>
          </cell>
        </row>
        <row r="1235">
          <cell r="B1235">
            <v>389099</v>
          </cell>
          <cell r="C1235" t="str">
            <v>ულქერი_9KAT TAT CUBE_ვაფლი კაკაოს კრემ_200გ*10</v>
          </cell>
          <cell r="D1235" t="str">
            <v>TON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O1235">
            <v>0</v>
          </cell>
          <cell r="AP1235">
            <v>0</v>
          </cell>
          <cell r="AS1235">
            <v>0</v>
          </cell>
          <cell r="AT1235">
            <v>0</v>
          </cell>
          <cell r="AU1235">
            <v>1.1999999999999999E-3</v>
          </cell>
          <cell r="AV1235">
            <v>26.19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1.1999999999999999E-3</v>
          </cell>
          <cell r="BX1235">
            <v>26.19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1.1999999999999999E-3</v>
          </cell>
          <cell r="CJ1235">
            <v>26.19</v>
          </cell>
          <cell r="CK1235">
            <v>1.1999999999999999E-3</v>
          </cell>
          <cell r="CL1235">
            <v>26.19</v>
          </cell>
          <cell r="CO1235">
            <v>0</v>
          </cell>
          <cell r="CP1235">
            <v>0</v>
          </cell>
          <cell r="CQ1235">
            <v>0</v>
          </cell>
          <cell r="CR1235">
            <v>0</v>
          </cell>
          <cell r="CS1235">
            <v>0</v>
          </cell>
          <cell r="CT1235">
            <v>0</v>
          </cell>
          <cell r="CU1235">
            <v>0</v>
          </cell>
          <cell r="CV1235">
            <v>0</v>
          </cell>
          <cell r="CW1235">
            <v>0</v>
          </cell>
          <cell r="CX1235">
            <v>0</v>
          </cell>
          <cell r="CY1235">
            <v>0</v>
          </cell>
          <cell r="CZ1235">
            <v>0</v>
          </cell>
          <cell r="DA1235">
            <v>0</v>
          </cell>
          <cell r="DB1235">
            <v>0</v>
          </cell>
          <cell r="DC1235">
            <v>0</v>
          </cell>
          <cell r="DD1235">
            <v>0</v>
          </cell>
          <cell r="DE1235">
            <v>0</v>
          </cell>
          <cell r="DF1235">
            <v>0</v>
          </cell>
          <cell r="DG1235">
            <v>0</v>
          </cell>
          <cell r="DH1235">
            <v>0</v>
          </cell>
          <cell r="DI1235">
            <v>0</v>
          </cell>
          <cell r="DJ1235">
            <v>0</v>
          </cell>
          <cell r="DK1235">
            <v>0</v>
          </cell>
          <cell r="DL1235">
            <v>0</v>
          </cell>
          <cell r="DM1235">
            <v>0</v>
          </cell>
          <cell r="DN1235">
            <v>0</v>
          </cell>
          <cell r="DO1235">
            <v>0</v>
          </cell>
          <cell r="DP1235">
            <v>0</v>
          </cell>
          <cell r="DQ1235">
            <v>0</v>
          </cell>
          <cell r="DR1235">
            <v>0</v>
          </cell>
          <cell r="DS1235">
            <v>0</v>
          </cell>
          <cell r="DT1235">
            <v>0</v>
          </cell>
          <cell r="DU1235">
            <v>0</v>
          </cell>
          <cell r="DV1235">
            <v>0</v>
          </cell>
          <cell r="DW1235">
            <v>1.1999999999999999E-3</v>
          </cell>
          <cell r="DX1235">
            <v>26.19</v>
          </cell>
          <cell r="DY1235" t="str">
            <v/>
          </cell>
          <cell r="DZ1235">
            <v>0</v>
          </cell>
          <cell r="EA1235">
            <v>21825.000000000004</v>
          </cell>
        </row>
        <row r="1236">
          <cell r="B1236">
            <v>360115</v>
          </cell>
          <cell r="C1236" t="str">
            <v>ულქერი_ოლალა_შოკოლადის ფილა_34გ*18</v>
          </cell>
          <cell r="D1236" t="str">
            <v>TON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1.836E-3</v>
          </cell>
          <cell r="AJ1236">
            <v>56.7</v>
          </cell>
          <cell r="AK1236">
            <v>6.1200000000000002E-4</v>
          </cell>
          <cell r="AL1236">
            <v>18.899999999999999</v>
          </cell>
          <cell r="AO1236">
            <v>2.4480000000000001E-3</v>
          </cell>
          <cell r="AP1236">
            <v>75.599999999999994</v>
          </cell>
          <cell r="AS1236">
            <v>0</v>
          </cell>
          <cell r="AT1236">
            <v>0</v>
          </cell>
          <cell r="AU1236">
            <v>5.5760000000000002E-3</v>
          </cell>
          <cell r="AV1236">
            <v>170.4</v>
          </cell>
          <cell r="AW1236">
            <v>0</v>
          </cell>
          <cell r="AX1236">
            <v>0</v>
          </cell>
          <cell r="AY1236">
            <v>6.1200000000000002E-4</v>
          </cell>
          <cell r="AZ1236">
            <v>18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6.1200000000000002E-4</v>
          </cell>
          <cell r="BF1236">
            <v>18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1.292E-3</v>
          </cell>
          <cell r="BN1236">
            <v>39.9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1.292E-3</v>
          </cell>
          <cell r="BT1236">
            <v>39.9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1.292E-3</v>
          </cell>
          <cell r="CL1236">
            <v>39.9</v>
          </cell>
          <cell r="CO1236">
            <v>0</v>
          </cell>
          <cell r="CP1236">
            <v>0</v>
          </cell>
          <cell r="CQ1236">
            <v>0</v>
          </cell>
          <cell r="CR1236">
            <v>0</v>
          </cell>
          <cell r="CS1236">
            <v>0</v>
          </cell>
          <cell r="CT1236">
            <v>0</v>
          </cell>
          <cell r="CU1236">
            <v>1.224E-3</v>
          </cell>
          <cell r="CV1236">
            <v>36.9</v>
          </cell>
          <cell r="CW1236">
            <v>0</v>
          </cell>
          <cell r="CX1236">
            <v>0</v>
          </cell>
          <cell r="CY1236">
            <v>0</v>
          </cell>
          <cell r="CZ1236">
            <v>0</v>
          </cell>
          <cell r="DA1236">
            <v>0</v>
          </cell>
          <cell r="DB1236">
            <v>0</v>
          </cell>
          <cell r="DC1236">
            <v>0</v>
          </cell>
          <cell r="DD1236">
            <v>0</v>
          </cell>
          <cell r="DE1236">
            <v>0</v>
          </cell>
          <cell r="DF1236">
            <v>0</v>
          </cell>
          <cell r="DG1236">
            <v>0</v>
          </cell>
          <cell r="DH1236">
            <v>0</v>
          </cell>
          <cell r="DI1236">
            <v>0</v>
          </cell>
          <cell r="DJ1236">
            <v>0</v>
          </cell>
          <cell r="DK1236">
            <v>0</v>
          </cell>
          <cell r="DL1236">
            <v>0</v>
          </cell>
          <cell r="DM1236">
            <v>0</v>
          </cell>
          <cell r="DN1236">
            <v>0</v>
          </cell>
          <cell r="DO1236">
            <v>0</v>
          </cell>
          <cell r="DP1236">
            <v>0</v>
          </cell>
          <cell r="DQ1236">
            <v>0</v>
          </cell>
          <cell r="DR1236">
            <v>0</v>
          </cell>
          <cell r="DS1236">
            <v>1.224E-3</v>
          </cell>
          <cell r="DT1236">
            <v>36.9</v>
          </cell>
          <cell r="DU1236">
            <v>1.224E-3</v>
          </cell>
          <cell r="DV1236">
            <v>36.9</v>
          </cell>
          <cell r="DW1236">
            <v>5.5760000000000002E-3</v>
          </cell>
          <cell r="DX1236">
            <v>170.39999999999998</v>
          </cell>
          <cell r="DY1236" t="str">
            <v/>
          </cell>
          <cell r="DZ1236">
            <v>0</v>
          </cell>
          <cell r="EA1236">
            <v>30559.540889526535</v>
          </cell>
        </row>
        <row r="1237">
          <cell r="B1237">
            <v>348078</v>
          </cell>
          <cell r="C1237" t="str">
            <v>ულქერი_კაკაოს ფხვნილი_50გ*12*12</v>
          </cell>
          <cell r="D1237" t="str">
            <v>TON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O1237">
            <v>0</v>
          </cell>
          <cell r="AP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O1237">
            <v>0</v>
          </cell>
          <cell r="CP1237">
            <v>0</v>
          </cell>
          <cell r="CQ1237">
            <v>0</v>
          </cell>
          <cell r="CR1237">
            <v>0</v>
          </cell>
          <cell r="CS1237">
            <v>0</v>
          </cell>
          <cell r="CT1237">
            <v>0</v>
          </cell>
          <cell r="CU1237">
            <v>0</v>
          </cell>
          <cell r="CV1237">
            <v>0</v>
          </cell>
          <cell r="CW1237">
            <v>0</v>
          </cell>
          <cell r="CX1237">
            <v>0</v>
          </cell>
          <cell r="CY1237">
            <v>0</v>
          </cell>
          <cell r="CZ1237">
            <v>0</v>
          </cell>
          <cell r="DA1237">
            <v>0</v>
          </cell>
          <cell r="DB1237">
            <v>0</v>
          </cell>
          <cell r="DC1237">
            <v>0</v>
          </cell>
          <cell r="DD1237">
            <v>0</v>
          </cell>
          <cell r="DE1237">
            <v>0</v>
          </cell>
          <cell r="DF1237">
            <v>0</v>
          </cell>
          <cell r="DG1237">
            <v>0</v>
          </cell>
          <cell r="DH1237">
            <v>0</v>
          </cell>
          <cell r="DI1237">
            <v>0</v>
          </cell>
          <cell r="DJ1237">
            <v>0</v>
          </cell>
          <cell r="DK1237">
            <v>0</v>
          </cell>
          <cell r="DL1237">
            <v>0</v>
          </cell>
          <cell r="DM1237">
            <v>0</v>
          </cell>
          <cell r="DN1237">
            <v>0</v>
          </cell>
          <cell r="DO1237">
            <v>0</v>
          </cell>
          <cell r="DP1237">
            <v>0</v>
          </cell>
          <cell r="DQ1237">
            <v>0</v>
          </cell>
          <cell r="DR1237">
            <v>0</v>
          </cell>
          <cell r="DS1237">
            <v>0</v>
          </cell>
          <cell r="DT1237">
            <v>0</v>
          </cell>
          <cell r="DU1237">
            <v>0</v>
          </cell>
          <cell r="DV1237">
            <v>0</v>
          </cell>
          <cell r="DW1237">
            <v>0</v>
          </cell>
          <cell r="DX1237">
            <v>0</v>
          </cell>
          <cell r="DY1237" t="str">
            <v/>
          </cell>
          <cell r="DZ1237" t="str">
            <v>pasiv</v>
          </cell>
          <cell r="EA1237" t="e">
            <v>#DIV/0!</v>
          </cell>
        </row>
        <row r="1238">
          <cell r="B1238">
            <v>348343</v>
          </cell>
          <cell r="C1238" t="str">
            <v>ულქერი_ალბენი_320გ_1ც+1ც ალბენი_ჩხირი_47გ</v>
          </cell>
          <cell r="D1238" t="str">
            <v>TON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O1238">
            <v>0</v>
          </cell>
          <cell r="AP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O1238">
            <v>0</v>
          </cell>
          <cell r="CP1238">
            <v>0</v>
          </cell>
          <cell r="CQ1238">
            <v>0</v>
          </cell>
          <cell r="CR1238">
            <v>0</v>
          </cell>
          <cell r="CS1238">
            <v>0</v>
          </cell>
          <cell r="CT1238">
            <v>0</v>
          </cell>
          <cell r="CU1238">
            <v>0</v>
          </cell>
          <cell r="CV1238">
            <v>0</v>
          </cell>
          <cell r="CW1238">
            <v>0</v>
          </cell>
          <cell r="CX1238">
            <v>0</v>
          </cell>
          <cell r="CY1238">
            <v>0</v>
          </cell>
          <cell r="CZ1238">
            <v>0</v>
          </cell>
          <cell r="DA1238">
            <v>0</v>
          </cell>
          <cell r="DB1238">
            <v>0</v>
          </cell>
          <cell r="DC1238">
            <v>0</v>
          </cell>
          <cell r="DD1238">
            <v>0</v>
          </cell>
          <cell r="DE1238">
            <v>0</v>
          </cell>
          <cell r="DF1238">
            <v>0</v>
          </cell>
          <cell r="DG1238">
            <v>0</v>
          </cell>
          <cell r="DH1238">
            <v>0</v>
          </cell>
          <cell r="DI1238">
            <v>0</v>
          </cell>
          <cell r="DJ1238">
            <v>0</v>
          </cell>
          <cell r="DK1238">
            <v>0</v>
          </cell>
          <cell r="DL1238">
            <v>0</v>
          </cell>
          <cell r="DM1238">
            <v>0</v>
          </cell>
          <cell r="DN1238">
            <v>0</v>
          </cell>
          <cell r="DO1238">
            <v>0</v>
          </cell>
          <cell r="DP1238">
            <v>0</v>
          </cell>
          <cell r="DQ1238">
            <v>0</v>
          </cell>
          <cell r="DR1238">
            <v>0</v>
          </cell>
          <cell r="DS1238">
            <v>0</v>
          </cell>
          <cell r="DT1238">
            <v>0</v>
          </cell>
          <cell r="DU1238">
            <v>0</v>
          </cell>
          <cell r="DV1238">
            <v>0</v>
          </cell>
          <cell r="DW1238">
            <v>0</v>
          </cell>
          <cell r="DX1238">
            <v>0</v>
          </cell>
          <cell r="DY1238" t="str">
            <v/>
          </cell>
          <cell r="DZ1238" t="str">
            <v>pasiv</v>
          </cell>
          <cell r="EA1238" t="e">
            <v>#DIV/0!</v>
          </cell>
        </row>
        <row r="1239">
          <cell r="B1239">
            <v>332847</v>
          </cell>
          <cell r="C1239" t="str">
            <v>ულქერი_დანქექ_8ქექ_შოკ.თხილით_52გ*24</v>
          </cell>
          <cell r="D1239" t="str">
            <v>TON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O1239">
            <v>0</v>
          </cell>
          <cell r="AP1239">
            <v>0</v>
          </cell>
          <cell r="AS1239">
            <v>0</v>
          </cell>
          <cell r="AT1239">
            <v>0</v>
          </cell>
          <cell r="AU1239">
            <v>1.9759999999999999E-3</v>
          </cell>
          <cell r="AV1239">
            <v>34.950000000000003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7.2800000000000002E-4</v>
          </cell>
          <cell r="BX1239">
            <v>12.63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7.2800000000000002E-4</v>
          </cell>
          <cell r="CJ1239">
            <v>12.63</v>
          </cell>
          <cell r="CK1239">
            <v>7.2800000000000002E-4</v>
          </cell>
          <cell r="CL1239">
            <v>12.63</v>
          </cell>
          <cell r="CO1239">
            <v>0</v>
          </cell>
          <cell r="CP1239">
            <v>0</v>
          </cell>
          <cell r="CQ1239">
            <v>0</v>
          </cell>
          <cell r="CR1239">
            <v>0</v>
          </cell>
          <cell r="CS1239">
            <v>0</v>
          </cell>
          <cell r="CT1239">
            <v>0</v>
          </cell>
          <cell r="CU1239">
            <v>1.248E-3</v>
          </cell>
          <cell r="CV1239">
            <v>22.32</v>
          </cell>
          <cell r="CW1239">
            <v>0</v>
          </cell>
          <cell r="CX1239">
            <v>0</v>
          </cell>
          <cell r="CY1239">
            <v>0</v>
          </cell>
          <cell r="CZ1239">
            <v>0</v>
          </cell>
          <cell r="DA1239">
            <v>0</v>
          </cell>
          <cell r="DB1239">
            <v>0</v>
          </cell>
          <cell r="DC1239">
            <v>0</v>
          </cell>
          <cell r="DD1239">
            <v>0</v>
          </cell>
          <cell r="DE1239">
            <v>0</v>
          </cell>
          <cell r="DF1239">
            <v>0</v>
          </cell>
          <cell r="DG1239">
            <v>0</v>
          </cell>
          <cell r="DH1239">
            <v>0</v>
          </cell>
          <cell r="DI1239">
            <v>0</v>
          </cell>
          <cell r="DJ1239">
            <v>0</v>
          </cell>
          <cell r="DK1239">
            <v>0</v>
          </cell>
          <cell r="DL1239">
            <v>0</v>
          </cell>
          <cell r="DM1239">
            <v>0</v>
          </cell>
          <cell r="DN1239">
            <v>0</v>
          </cell>
          <cell r="DO1239">
            <v>0</v>
          </cell>
          <cell r="DP1239">
            <v>0</v>
          </cell>
          <cell r="DQ1239">
            <v>0</v>
          </cell>
          <cell r="DR1239">
            <v>0</v>
          </cell>
          <cell r="DS1239">
            <v>1.248E-3</v>
          </cell>
          <cell r="DT1239">
            <v>22.32</v>
          </cell>
          <cell r="DU1239">
            <v>1.248E-3</v>
          </cell>
          <cell r="DV1239">
            <v>22.32</v>
          </cell>
          <cell r="DW1239">
            <v>1.9759999999999999E-3</v>
          </cell>
          <cell r="DX1239">
            <v>34.950000000000003</v>
          </cell>
          <cell r="DY1239" t="str">
            <v/>
          </cell>
          <cell r="DZ1239">
            <v>0</v>
          </cell>
          <cell r="EA1239">
            <v>17687.246963562757</v>
          </cell>
        </row>
        <row r="1240">
          <cell r="B1240">
            <v>303569</v>
          </cell>
          <cell r="C1240" t="str">
            <v>ულქერი_დანქექ_8ქექ_შოკ.ორმაგი_55გ*24</v>
          </cell>
          <cell r="D1240" t="str">
            <v>TON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O1240">
            <v>0</v>
          </cell>
          <cell r="AP1240">
            <v>0</v>
          </cell>
          <cell r="AS1240">
            <v>0</v>
          </cell>
          <cell r="AT1240">
            <v>0</v>
          </cell>
          <cell r="AU1240">
            <v>1.32E-3</v>
          </cell>
          <cell r="AV1240">
            <v>22.8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O1240">
            <v>0</v>
          </cell>
          <cell r="CP1240">
            <v>0</v>
          </cell>
          <cell r="CQ1240">
            <v>0</v>
          </cell>
          <cell r="CR1240">
            <v>0</v>
          </cell>
          <cell r="CS1240">
            <v>0</v>
          </cell>
          <cell r="CT1240">
            <v>0</v>
          </cell>
          <cell r="CU1240">
            <v>1.32E-3</v>
          </cell>
          <cell r="CV1240">
            <v>22.8</v>
          </cell>
          <cell r="CW1240">
            <v>0</v>
          </cell>
          <cell r="CX1240">
            <v>0</v>
          </cell>
          <cell r="CY1240">
            <v>0</v>
          </cell>
          <cell r="CZ1240">
            <v>0</v>
          </cell>
          <cell r="DA1240">
            <v>0</v>
          </cell>
          <cell r="DB1240">
            <v>0</v>
          </cell>
          <cell r="DC1240">
            <v>0</v>
          </cell>
          <cell r="DD1240">
            <v>0</v>
          </cell>
          <cell r="DE1240">
            <v>0</v>
          </cell>
          <cell r="DF1240">
            <v>0</v>
          </cell>
          <cell r="DG1240">
            <v>0</v>
          </cell>
          <cell r="DH1240">
            <v>0</v>
          </cell>
          <cell r="DI1240">
            <v>0</v>
          </cell>
          <cell r="DJ1240">
            <v>0</v>
          </cell>
          <cell r="DK1240">
            <v>0</v>
          </cell>
          <cell r="DL1240">
            <v>0</v>
          </cell>
          <cell r="DM1240">
            <v>0</v>
          </cell>
          <cell r="DN1240">
            <v>0</v>
          </cell>
          <cell r="DO1240">
            <v>0</v>
          </cell>
          <cell r="DP1240">
            <v>0</v>
          </cell>
          <cell r="DQ1240">
            <v>0</v>
          </cell>
          <cell r="DR1240">
            <v>0</v>
          </cell>
          <cell r="DS1240">
            <v>1.32E-3</v>
          </cell>
          <cell r="DT1240">
            <v>22.8</v>
          </cell>
          <cell r="DU1240">
            <v>1.32E-3</v>
          </cell>
          <cell r="DV1240">
            <v>22.8</v>
          </cell>
          <cell r="DW1240">
            <v>1.32E-3</v>
          </cell>
          <cell r="DX1240">
            <v>22.8</v>
          </cell>
          <cell r="DY1240" t="str">
            <v/>
          </cell>
          <cell r="DZ1240">
            <v>0</v>
          </cell>
          <cell r="EA1240">
            <v>17272.727272727272</v>
          </cell>
        </row>
        <row r="1241">
          <cell r="B1241">
            <v>304859</v>
          </cell>
          <cell r="C1241" t="str">
            <v>ულქერი_ვაფლი შოკოლადით_36გ*36*6</v>
          </cell>
          <cell r="D1241" t="str">
            <v>TON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O1241">
            <v>0</v>
          </cell>
          <cell r="AP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O1241">
            <v>0</v>
          </cell>
          <cell r="CP1241">
            <v>0</v>
          </cell>
          <cell r="CQ1241">
            <v>0</v>
          </cell>
          <cell r="CR1241">
            <v>0</v>
          </cell>
          <cell r="CS1241">
            <v>0</v>
          </cell>
          <cell r="CT1241">
            <v>0</v>
          </cell>
          <cell r="CU1241">
            <v>0</v>
          </cell>
          <cell r="CV1241">
            <v>0</v>
          </cell>
          <cell r="CW1241">
            <v>0</v>
          </cell>
          <cell r="CX1241">
            <v>0</v>
          </cell>
          <cell r="CY1241">
            <v>0</v>
          </cell>
          <cell r="CZ1241">
            <v>0</v>
          </cell>
          <cell r="DA1241">
            <v>0</v>
          </cell>
          <cell r="DB1241">
            <v>0</v>
          </cell>
          <cell r="DC1241">
            <v>0</v>
          </cell>
          <cell r="DD1241">
            <v>0</v>
          </cell>
          <cell r="DE1241">
            <v>0</v>
          </cell>
          <cell r="DF1241">
            <v>0</v>
          </cell>
          <cell r="DG1241">
            <v>0</v>
          </cell>
          <cell r="DH1241">
            <v>0</v>
          </cell>
          <cell r="DI1241">
            <v>0</v>
          </cell>
          <cell r="DJ1241">
            <v>0</v>
          </cell>
          <cell r="DK1241">
            <v>0</v>
          </cell>
          <cell r="DL1241">
            <v>0</v>
          </cell>
          <cell r="DM1241">
            <v>0</v>
          </cell>
          <cell r="DN1241">
            <v>0</v>
          </cell>
          <cell r="DO1241">
            <v>0</v>
          </cell>
          <cell r="DP1241">
            <v>0</v>
          </cell>
          <cell r="DQ1241">
            <v>0</v>
          </cell>
          <cell r="DR1241">
            <v>0</v>
          </cell>
          <cell r="DS1241">
            <v>0</v>
          </cell>
          <cell r="DT1241">
            <v>0</v>
          </cell>
          <cell r="DU1241">
            <v>0</v>
          </cell>
          <cell r="DV1241">
            <v>0</v>
          </cell>
          <cell r="DW1241">
            <v>0</v>
          </cell>
          <cell r="DX1241">
            <v>0</v>
          </cell>
          <cell r="DY1241" t="str">
            <v/>
          </cell>
          <cell r="DZ1241" t="str">
            <v>pasiv</v>
          </cell>
          <cell r="EA1241" t="e">
            <v>#DIV/0!</v>
          </cell>
        </row>
        <row r="1242">
          <cell r="B1242">
            <v>314461</v>
          </cell>
          <cell r="C1242" t="str">
            <v>ულქერი_ბისკრემ_ბისკვ.კაკაოს კრემ_170გ*18</v>
          </cell>
          <cell r="D1242" t="str">
            <v>TON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3.2299999999999998E-3</v>
          </cell>
          <cell r="AD1242">
            <v>53.39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2.5500000000000002E-3</v>
          </cell>
          <cell r="AJ1242">
            <v>42.15</v>
          </cell>
          <cell r="AK1242">
            <v>3.3999999999999998E-3</v>
          </cell>
          <cell r="AL1242">
            <v>56.49</v>
          </cell>
          <cell r="AO1242">
            <v>9.1800000000000007E-3</v>
          </cell>
          <cell r="AP1242">
            <v>152.03</v>
          </cell>
          <cell r="AS1242">
            <v>0</v>
          </cell>
          <cell r="AT1242">
            <v>0</v>
          </cell>
          <cell r="AU1242">
            <v>0.10013</v>
          </cell>
          <cell r="AV1242">
            <v>1520.46</v>
          </cell>
          <cell r="AW1242">
            <v>0</v>
          </cell>
          <cell r="AX1242">
            <v>0</v>
          </cell>
          <cell r="AY1242">
            <v>3.0599999999999998E-3</v>
          </cell>
          <cell r="AZ1242">
            <v>52.02</v>
          </cell>
          <cell r="BA1242">
            <v>0</v>
          </cell>
          <cell r="BB1242">
            <v>0</v>
          </cell>
          <cell r="BC1242">
            <v>6.8000000000000005E-4</v>
          </cell>
          <cell r="BD1242">
            <v>15.38</v>
          </cell>
          <cell r="BE1242">
            <v>3.7399999999999998E-3</v>
          </cell>
          <cell r="BF1242">
            <v>67.400000000000006</v>
          </cell>
          <cell r="BG1242">
            <v>5.1000000000000004E-4</v>
          </cell>
          <cell r="BH1242">
            <v>8.43</v>
          </cell>
          <cell r="BI1242">
            <v>0</v>
          </cell>
          <cell r="BJ1242">
            <v>0</v>
          </cell>
          <cell r="BK1242">
            <v>1.0200000000000001E-3</v>
          </cell>
          <cell r="BL1242">
            <v>16.86</v>
          </cell>
          <cell r="BM1242">
            <v>6.8000000000000005E-4</v>
          </cell>
          <cell r="BN1242">
            <v>11.24</v>
          </cell>
          <cell r="BO1242">
            <v>2.0400000000000001E-3</v>
          </cell>
          <cell r="BP1242">
            <v>33.72</v>
          </cell>
          <cell r="BQ1242">
            <v>0</v>
          </cell>
          <cell r="BR1242">
            <v>0</v>
          </cell>
          <cell r="BS1242">
            <v>4.2500000000000003E-3</v>
          </cell>
          <cell r="BT1242">
            <v>70.25</v>
          </cell>
          <cell r="BU1242">
            <v>0</v>
          </cell>
          <cell r="BV1242">
            <v>0</v>
          </cell>
          <cell r="BW1242">
            <v>1.0200000000000001E-3</v>
          </cell>
          <cell r="BX1242">
            <v>16.82</v>
          </cell>
          <cell r="BY1242">
            <v>3.0599999999999998E-3</v>
          </cell>
          <cell r="BZ1242">
            <v>48.9</v>
          </cell>
          <cell r="CA1242">
            <v>1.1900000000000001E-3</v>
          </cell>
          <cell r="CB1242">
            <v>19.670000000000002</v>
          </cell>
          <cell r="CC1242">
            <v>1.7000000000000001E-4</v>
          </cell>
          <cell r="CD1242">
            <v>2.81</v>
          </cell>
          <cell r="CE1242">
            <v>6.2219999999999998E-2</v>
          </cell>
          <cell r="CF1242">
            <v>890.24</v>
          </cell>
          <cell r="CG1242">
            <v>0</v>
          </cell>
          <cell r="CH1242">
            <v>0</v>
          </cell>
          <cell r="CI1242">
            <v>6.7659999999999998E-2</v>
          </cell>
          <cell r="CJ1242">
            <v>978.44</v>
          </cell>
          <cell r="CK1242">
            <v>7.1910000000000002E-2</v>
          </cell>
          <cell r="CL1242">
            <v>1048.69</v>
          </cell>
          <cell r="CO1242">
            <v>0</v>
          </cell>
          <cell r="CP1242">
            <v>0</v>
          </cell>
          <cell r="CQ1242">
            <v>0</v>
          </cell>
          <cell r="CR1242">
            <v>0</v>
          </cell>
          <cell r="CS1242">
            <v>0</v>
          </cell>
          <cell r="CT1242">
            <v>0</v>
          </cell>
          <cell r="CU1242">
            <v>3.0599999999999998E-3</v>
          </cell>
          <cell r="CV1242">
            <v>50.58</v>
          </cell>
          <cell r="CW1242">
            <v>0</v>
          </cell>
          <cell r="CX1242">
            <v>0</v>
          </cell>
          <cell r="CY1242">
            <v>6.1199999999999996E-3</v>
          </cell>
          <cell r="CZ1242">
            <v>101.16</v>
          </cell>
          <cell r="DA1242">
            <v>3.0599999999999998E-3</v>
          </cell>
          <cell r="DB1242">
            <v>50.58</v>
          </cell>
          <cell r="DC1242">
            <v>2.0400000000000001E-3</v>
          </cell>
          <cell r="DD1242">
            <v>33.159999999999997</v>
          </cell>
          <cell r="DE1242">
            <v>1.1219999999999999E-2</v>
          </cell>
          <cell r="DF1242">
            <v>184.9</v>
          </cell>
          <cell r="DG1242">
            <v>0</v>
          </cell>
          <cell r="DH1242">
            <v>0</v>
          </cell>
          <cell r="DI1242">
            <v>3.4000000000000002E-4</v>
          </cell>
          <cell r="DJ1242">
            <v>5.62</v>
          </cell>
          <cell r="DK1242">
            <v>6.8000000000000005E-4</v>
          </cell>
          <cell r="DL1242">
            <v>11.24</v>
          </cell>
          <cell r="DM1242">
            <v>1.0200000000000001E-3</v>
          </cell>
          <cell r="DN1242">
            <v>16.86</v>
          </cell>
          <cell r="DO1242">
            <v>5.1000000000000004E-4</v>
          </cell>
          <cell r="DP1242">
            <v>8.43</v>
          </cell>
          <cell r="DQ1242">
            <v>0</v>
          </cell>
          <cell r="DR1242">
            <v>0</v>
          </cell>
          <cell r="DS1242">
            <v>2.5500000000000002E-3</v>
          </cell>
          <cell r="DT1242">
            <v>42.15</v>
          </cell>
          <cell r="DU1242">
            <v>3.0599999999999998E-3</v>
          </cell>
          <cell r="DV1242">
            <v>50.58</v>
          </cell>
          <cell r="DW1242">
            <v>0.10013</v>
          </cell>
          <cell r="DX1242">
            <v>1520.46</v>
          </cell>
          <cell r="DY1242" t="str">
            <v/>
          </cell>
          <cell r="DZ1242">
            <v>0</v>
          </cell>
          <cell r="EA1242">
            <v>15184.859682412864</v>
          </cell>
        </row>
        <row r="1243">
          <cell r="B1243">
            <v>308215</v>
          </cell>
          <cell r="C1243" t="str">
            <v>ულქერი_ონეო_60გ*12_მარწყვის_უშაქრო_საღეჭი რეზ</v>
          </cell>
          <cell r="D1243" t="str">
            <v>TON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O1243">
            <v>0</v>
          </cell>
          <cell r="AP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O1243">
            <v>0</v>
          </cell>
          <cell r="CP1243">
            <v>0</v>
          </cell>
          <cell r="CQ1243">
            <v>0</v>
          </cell>
          <cell r="CR1243">
            <v>0</v>
          </cell>
          <cell r="CS1243">
            <v>0</v>
          </cell>
          <cell r="CT1243">
            <v>0</v>
          </cell>
          <cell r="CU1243">
            <v>0</v>
          </cell>
          <cell r="CV1243">
            <v>0</v>
          </cell>
          <cell r="CW1243">
            <v>0</v>
          </cell>
          <cell r="CX1243">
            <v>0</v>
          </cell>
          <cell r="CY1243">
            <v>0</v>
          </cell>
          <cell r="CZ1243">
            <v>0</v>
          </cell>
          <cell r="DA1243">
            <v>0</v>
          </cell>
          <cell r="DB1243">
            <v>0</v>
          </cell>
          <cell r="DC1243">
            <v>0</v>
          </cell>
          <cell r="DD1243">
            <v>0</v>
          </cell>
          <cell r="DE1243">
            <v>0</v>
          </cell>
          <cell r="DF1243">
            <v>0</v>
          </cell>
          <cell r="DG1243">
            <v>0</v>
          </cell>
          <cell r="DH1243">
            <v>0</v>
          </cell>
          <cell r="DI1243">
            <v>0</v>
          </cell>
          <cell r="DJ1243">
            <v>0</v>
          </cell>
          <cell r="DK1243">
            <v>0</v>
          </cell>
          <cell r="DL1243">
            <v>0</v>
          </cell>
          <cell r="DM1243">
            <v>0</v>
          </cell>
          <cell r="DN1243">
            <v>0</v>
          </cell>
          <cell r="DO1243">
            <v>0</v>
          </cell>
          <cell r="DP1243">
            <v>0</v>
          </cell>
          <cell r="DQ1243">
            <v>0</v>
          </cell>
          <cell r="DR1243">
            <v>0</v>
          </cell>
          <cell r="DS1243">
            <v>0</v>
          </cell>
          <cell r="DT1243">
            <v>0</v>
          </cell>
          <cell r="DU1243">
            <v>0</v>
          </cell>
          <cell r="DV1243">
            <v>0</v>
          </cell>
          <cell r="DW1243">
            <v>0</v>
          </cell>
          <cell r="DX1243">
            <v>0</v>
          </cell>
          <cell r="DY1243" t="str">
            <v/>
          </cell>
          <cell r="DZ1243" t="str">
            <v>pasiv</v>
          </cell>
          <cell r="EA1243" t="e">
            <v>#DIV/0!</v>
          </cell>
        </row>
        <row r="1244">
          <cell r="B1244">
            <v>310475</v>
          </cell>
          <cell r="C1244" t="str">
            <v>ულქერი_ბისკრემ_ბისკვ დუო_130გ*24*6</v>
          </cell>
          <cell r="D1244" t="str">
            <v>TON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O1244">
            <v>0</v>
          </cell>
          <cell r="AP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  <cell r="CL1244">
            <v>0</v>
          </cell>
          <cell r="CO1244">
            <v>0</v>
          </cell>
          <cell r="CP1244">
            <v>0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0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0</v>
          </cell>
          <cell r="DD1244">
            <v>0</v>
          </cell>
          <cell r="DE1244">
            <v>0</v>
          </cell>
          <cell r="DF1244">
            <v>0</v>
          </cell>
          <cell r="DG1244">
            <v>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  <cell r="DL1244">
            <v>0</v>
          </cell>
          <cell r="DM1244">
            <v>0</v>
          </cell>
          <cell r="DN1244">
            <v>0</v>
          </cell>
          <cell r="DO1244">
            <v>0</v>
          </cell>
          <cell r="DP1244">
            <v>0</v>
          </cell>
          <cell r="DQ1244">
            <v>0</v>
          </cell>
          <cell r="DR1244">
            <v>0</v>
          </cell>
          <cell r="DS1244">
            <v>0</v>
          </cell>
          <cell r="DT1244">
            <v>0</v>
          </cell>
          <cell r="DU1244">
            <v>0</v>
          </cell>
          <cell r="DV1244">
            <v>0</v>
          </cell>
          <cell r="DW1244">
            <v>0</v>
          </cell>
          <cell r="DX1244">
            <v>0</v>
          </cell>
          <cell r="DY1244" t="str">
            <v/>
          </cell>
          <cell r="DZ1244" t="str">
            <v>pasiv</v>
          </cell>
          <cell r="EA1244" t="e">
            <v>#DIV/0!</v>
          </cell>
        </row>
        <row r="1245">
          <cell r="B1245">
            <v>304938</v>
          </cell>
          <cell r="C1245" t="str">
            <v>ულქერი_შოკ.პასტა_400გ*8</v>
          </cell>
          <cell r="D1245" t="str">
            <v>TON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6.4000000000000003E-3</v>
          </cell>
          <cell r="AJ1245">
            <v>146.24</v>
          </cell>
          <cell r="AK1245">
            <v>0</v>
          </cell>
          <cell r="AL1245">
            <v>0</v>
          </cell>
          <cell r="AO1245">
            <v>6.4000000000000003E-3</v>
          </cell>
          <cell r="AP1245">
            <v>146.24</v>
          </cell>
          <cell r="AS1245">
            <v>0</v>
          </cell>
          <cell r="AT1245">
            <v>0</v>
          </cell>
          <cell r="AU1245">
            <v>7.5200000000000003E-2</v>
          </cell>
          <cell r="AV1245">
            <v>1543.69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3.2000000000000002E-3</v>
          </cell>
          <cell r="BJ1245">
            <v>62.08</v>
          </cell>
          <cell r="BK1245">
            <v>0</v>
          </cell>
          <cell r="BL1245">
            <v>0</v>
          </cell>
          <cell r="BM1245">
            <v>2.3999999999999998E-3</v>
          </cell>
          <cell r="BN1245">
            <v>51.06</v>
          </cell>
          <cell r="BO1245">
            <v>4.4000000000000003E-3</v>
          </cell>
          <cell r="BP1245">
            <v>93.61</v>
          </cell>
          <cell r="BQ1245">
            <v>0</v>
          </cell>
          <cell r="BR1245">
            <v>0</v>
          </cell>
          <cell r="BS1245">
            <v>0.01</v>
          </cell>
          <cell r="BT1245">
            <v>206.75</v>
          </cell>
          <cell r="BU1245">
            <v>0</v>
          </cell>
          <cell r="BV1245">
            <v>0</v>
          </cell>
          <cell r="BW1245">
            <v>2.8E-3</v>
          </cell>
          <cell r="BX1245">
            <v>59.08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6.4000000000000003E-3</v>
          </cell>
          <cell r="CD1245">
            <v>136.16</v>
          </cell>
          <cell r="CE1245">
            <v>1.6E-2</v>
          </cell>
          <cell r="CF1245">
            <v>292.32</v>
          </cell>
          <cell r="CG1245">
            <v>0</v>
          </cell>
          <cell r="CH1245">
            <v>0</v>
          </cell>
          <cell r="CI1245">
            <v>2.52E-2</v>
          </cell>
          <cell r="CJ1245">
            <v>487.56</v>
          </cell>
          <cell r="CK1245">
            <v>3.5200000000000002E-2</v>
          </cell>
          <cell r="CL1245">
            <v>694.31</v>
          </cell>
          <cell r="CO1245">
            <v>0</v>
          </cell>
          <cell r="CP1245">
            <v>0</v>
          </cell>
          <cell r="CQ1245">
            <v>0</v>
          </cell>
          <cell r="CR1245">
            <v>0</v>
          </cell>
          <cell r="CS1245">
            <v>0</v>
          </cell>
          <cell r="CT1245">
            <v>0</v>
          </cell>
          <cell r="CU1245">
            <v>4.7999999999999996E-3</v>
          </cell>
          <cell r="CV1245">
            <v>104.4</v>
          </cell>
          <cell r="CW1245">
            <v>0</v>
          </cell>
          <cell r="CX1245">
            <v>0</v>
          </cell>
          <cell r="CY1245">
            <v>1.9199999999999998E-2</v>
          </cell>
          <cell r="CZ1245">
            <v>402.48</v>
          </cell>
          <cell r="DA1245">
            <v>0</v>
          </cell>
          <cell r="DB1245">
            <v>0</v>
          </cell>
          <cell r="DC1245">
            <v>9.5999999999999992E-3</v>
          </cell>
          <cell r="DD1245">
            <v>196.26</v>
          </cell>
          <cell r="DE1245">
            <v>2.8799999999999999E-2</v>
          </cell>
          <cell r="DF1245">
            <v>598.74</v>
          </cell>
          <cell r="DG1245">
            <v>0</v>
          </cell>
          <cell r="DH1245">
            <v>0</v>
          </cell>
          <cell r="DI1245">
            <v>0</v>
          </cell>
          <cell r="DJ1245">
            <v>0</v>
          </cell>
          <cell r="DK1245">
            <v>0</v>
          </cell>
          <cell r="DL1245">
            <v>0</v>
          </cell>
          <cell r="DM1245">
            <v>0</v>
          </cell>
          <cell r="DN1245">
            <v>0</v>
          </cell>
          <cell r="DO1245">
            <v>0</v>
          </cell>
          <cell r="DP1245">
            <v>0</v>
          </cell>
          <cell r="DQ1245">
            <v>0</v>
          </cell>
          <cell r="DR1245">
            <v>0</v>
          </cell>
          <cell r="DS1245">
            <v>4.7999999999999996E-3</v>
          </cell>
          <cell r="DT1245">
            <v>104.4</v>
          </cell>
          <cell r="DU1245">
            <v>4.7999999999999996E-3</v>
          </cell>
          <cell r="DV1245">
            <v>104.4</v>
          </cell>
          <cell r="DW1245">
            <v>7.5200000000000003E-2</v>
          </cell>
          <cell r="DX1245">
            <v>1543.6899999999998</v>
          </cell>
          <cell r="DY1245" t="str">
            <v/>
          </cell>
          <cell r="DZ1245">
            <v>0</v>
          </cell>
          <cell r="EA1245">
            <v>20527.792553191488</v>
          </cell>
        </row>
        <row r="1246">
          <cell r="B1246">
            <v>305392</v>
          </cell>
          <cell r="C1246" t="str">
            <v>ულქერი_შოკ.პასტა_350გ*12_შუშა</v>
          </cell>
          <cell r="D1246" t="str">
            <v>TON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O1246">
            <v>0</v>
          </cell>
          <cell r="AP1246">
            <v>0</v>
          </cell>
          <cell r="AS1246">
            <v>0</v>
          </cell>
          <cell r="AT1246">
            <v>0</v>
          </cell>
          <cell r="AU1246">
            <v>3.5000000000000001E-3</v>
          </cell>
          <cell r="AV1246">
            <v>96.55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0</v>
          </cell>
          <cell r="BM1246">
            <v>2.0999999999999999E-3</v>
          </cell>
          <cell r="BN1246">
            <v>58.26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2.0999999999999999E-3</v>
          </cell>
          <cell r="BT1246">
            <v>58.26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6.9999999999999999E-4</v>
          </cell>
          <cell r="CF1246">
            <v>17.39</v>
          </cell>
          <cell r="CG1246">
            <v>0</v>
          </cell>
          <cell r="CH1246">
            <v>0</v>
          </cell>
          <cell r="CI1246">
            <v>6.9999999999999999E-4</v>
          </cell>
          <cell r="CJ1246">
            <v>17.39</v>
          </cell>
          <cell r="CK1246">
            <v>2.8E-3</v>
          </cell>
          <cell r="CL1246">
            <v>75.650000000000006</v>
          </cell>
          <cell r="CO1246">
            <v>0</v>
          </cell>
          <cell r="CP1246">
            <v>0</v>
          </cell>
          <cell r="CQ1246">
            <v>0</v>
          </cell>
          <cell r="CR1246">
            <v>0</v>
          </cell>
          <cell r="CS1246">
            <v>0</v>
          </cell>
          <cell r="CT1246">
            <v>0</v>
          </cell>
          <cell r="CU1246">
            <v>2.0999999999999999E-3</v>
          </cell>
          <cell r="CV1246">
            <v>55.5</v>
          </cell>
          <cell r="CW1246">
            <v>0</v>
          </cell>
          <cell r="CX1246">
            <v>0</v>
          </cell>
          <cell r="CY1246">
            <v>-1.4E-3</v>
          </cell>
          <cell r="CZ1246">
            <v>-34.6</v>
          </cell>
          <cell r="DA1246">
            <v>0</v>
          </cell>
          <cell r="DB1246">
            <v>0</v>
          </cell>
          <cell r="DC1246">
            <v>0</v>
          </cell>
          <cell r="DD1246">
            <v>0</v>
          </cell>
          <cell r="DE1246">
            <v>-1.4E-3</v>
          </cell>
          <cell r="DF1246">
            <v>-34.6</v>
          </cell>
          <cell r="DG1246">
            <v>0</v>
          </cell>
          <cell r="DH1246">
            <v>0</v>
          </cell>
          <cell r="DI1246">
            <v>0</v>
          </cell>
          <cell r="DJ1246">
            <v>0</v>
          </cell>
          <cell r="DK1246">
            <v>0</v>
          </cell>
          <cell r="DL1246">
            <v>0</v>
          </cell>
          <cell r="DM1246">
            <v>0</v>
          </cell>
          <cell r="DN1246">
            <v>0</v>
          </cell>
          <cell r="DO1246">
            <v>0</v>
          </cell>
          <cell r="DP1246">
            <v>0</v>
          </cell>
          <cell r="DQ1246">
            <v>0</v>
          </cell>
          <cell r="DR1246">
            <v>0</v>
          </cell>
          <cell r="DS1246">
            <v>2.0999999999999999E-3</v>
          </cell>
          <cell r="DT1246">
            <v>55.5</v>
          </cell>
          <cell r="DU1246">
            <v>2.0999999999999999E-3</v>
          </cell>
          <cell r="DV1246">
            <v>55.5</v>
          </cell>
          <cell r="DW1246">
            <v>3.4999999999999996E-3</v>
          </cell>
          <cell r="DX1246">
            <v>96.550000000000011</v>
          </cell>
          <cell r="DY1246" t="str">
            <v/>
          </cell>
          <cell r="DZ1246">
            <v>0</v>
          </cell>
          <cell r="EA1246">
            <v>27585.714285714294</v>
          </cell>
        </row>
        <row r="1247">
          <cell r="B1247">
            <v>310474</v>
          </cell>
          <cell r="C1247" t="str">
            <v>ულქერი_პექი 8ქეიქ_კარამელით_40გ*24*6</v>
          </cell>
          <cell r="D1247" t="str">
            <v>TON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O1247">
            <v>0</v>
          </cell>
          <cell r="AP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0</v>
          </cell>
          <cell r="BM1247">
            <v>0</v>
          </cell>
          <cell r="BN1247">
            <v>0</v>
          </cell>
          <cell r="BO1247">
            <v>0</v>
          </cell>
          <cell r="BP1247">
            <v>0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O1247">
            <v>0</v>
          </cell>
          <cell r="CP1247">
            <v>0</v>
          </cell>
          <cell r="CQ1247">
            <v>0</v>
          </cell>
          <cell r="CR1247">
            <v>0</v>
          </cell>
          <cell r="CS1247">
            <v>0</v>
          </cell>
          <cell r="CT1247">
            <v>0</v>
          </cell>
          <cell r="CU1247">
            <v>0</v>
          </cell>
          <cell r="CV1247">
            <v>0</v>
          </cell>
          <cell r="CW1247">
            <v>0</v>
          </cell>
          <cell r="CX1247">
            <v>0</v>
          </cell>
          <cell r="CY1247">
            <v>0</v>
          </cell>
          <cell r="CZ1247">
            <v>0</v>
          </cell>
          <cell r="DA1247">
            <v>0</v>
          </cell>
          <cell r="DB1247">
            <v>0</v>
          </cell>
          <cell r="DC1247">
            <v>0</v>
          </cell>
          <cell r="DD1247">
            <v>0</v>
          </cell>
          <cell r="DE1247">
            <v>0</v>
          </cell>
          <cell r="DF1247">
            <v>0</v>
          </cell>
          <cell r="DG1247">
            <v>0</v>
          </cell>
          <cell r="DH1247">
            <v>0</v>
          </cell>
          <cell r="DI1247">
            <v>0</v>
          </cell>
          <cell r="DJ1247">
            <v>0</v>
          </cell>
          <cell r="DK1247">
            <v>0</v>
          </cell>
          <cell r="DL1247">
            <v>0</v>
          </cell>
          <cell r="DM1247">
            <v>0</v>
          </cell>
          <cell r="DN1247">
            <v>0</v>
          </cell>
          <cell r="DO1247">
            <v>0</v>
          </cell>
          <cell r="DP1247">
            <v>0</v>
          </cell>
          <cell r="DQ1247">
            <v>0</v>
          </cell>
          <cell r="DR1247">
            <v>0</v>
          </cell>
          <cell r="DS1247">
            <v>0</v>
          </cell>
          <cell r="DT1247">
            <v>0</v>
          </cell>
          <cell r="DU1247">
            <v>0</v>
          </cell>
          <cell r="DV1247">
            <v>0</v>
          </cell>
          <cell r="DW1247">
            <v>0</v>
          </cell>
          <cell r="DX1247">
            <v>0</v>
          </cell>
          <cell r="DY1247" t="str">
            <v/>
          </cell>
          <cell r="DZ1247" t="str">
            <v>pasiv</v>
          </cell>
          <cell r="EA1247" t="e">
            <v>#DIV/0!</v>
          </cell>
        </row>
        <row r="1248">
          <cell r="B1248">
            <v>304746</v>
          </cell>
          <cell r="C1248" t="str">
            <v>ულქერი_ო ლალა_სუფლე რძ.შოკოლად_70გ*12</v>
          </cell>
          <cell r="D1248" t="str">
            <v>TON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2.5200000000000001E-3</v>
          </cell>
          <cell r="AH1248">
            <v>83.52</v>
          </cell>
          <cell r="AI1248">
            <v>0</v>
          </cell>
          <cell r="AJ1248">
            <v>0</v>
          </cell>
          <cell r="AK1248">
            <v>1.6800000000000001E-3</v>
          </cell>
          <cell r="AL1248">
            <v>55.68</v>
          </cell>
          <cell r="AO1248">
            <v>4.2000000000000006E-3</v>
          </cell>
          <cell r="AP1248">
            <v>139.19999999999999</v>
          </cell>
          <cell r="AS1248">
            <v>0</v>
          </cell>
          <cell r="AT1248">
            <v>0</v>
          </cell>
          <cell r="AU1248">
            <v>3.7240000000000002E-2</v>
          </cell>
          <cell r="AV1248">
            <v>1209.3699999999999</v>
          </cell>
          <cell r="AW1248">
            <v>0</v>
          </cell>
          <cell r="AX1248">
            <v>0</v>
          </cell>
          <cell r="AY1248">
            <v>1.6800000000000001E-3</v>
          </cell>
          <cell r="AZ1248">
            <v>55.2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1.6800000000000001E-3</v>
          </cell>
          <cell r="BF1248">
            <v>55.2</v>
          </cell>
          <cell r="BG1248">
            <v>8.4000000000000003E-4</v>
          </cell>
          <cell r="BH1248">
            <v>27.84</v>
          </cell>
          <cell r="BI1248">
            <v>0</v>
          </cell>
          <cell r="BJ1248">
            <v>0</v>
          </cell>
          <cell r="BK1248">
            <v>1.33E-3</v>
          </cell>
          <cell r="BL1248">
            <v>44.08</v>
          </cell>
          <cell r="BM1248">
            <v>4.2000000000000002E-4</v>
          </cell>
          <cell r="BN1248">
            <v>13.92</v>
          </cell>
          <cell r="BO1248">
            <v>4.2000000000000002E-4</v>
          </cell>
          <cell r="BP1248">
            <v>13.92</v>
          </cell>
          <cell r="BQ1248">
            <v>0</v>
          </cell>
          <cell r="BR1248">
            <v>0</v>
          </cell>
          <cell r="BS1248">
            <v>3.0100000000000001E-3</v>
          </cell>
          <cell r="BT1248">
            <v>99.76</v>
          </cell>
          <cell r="BU1248">
            <v>1.6800000000000001E-3</v>
          </cell>
          <cell r="BV1248">
            <v>53.9</v>
          </cell>
          <cell r="BW1248">
            <v>8.4000000000000003E-4</v>
          </cell>
          <cell r="BX1248">
            <v>26.54</v>
          </cell>
          <cell r="BY1248">
            <v>2.0999999999999999E-3</v>
          </cell>
          <cell r="BZ1248">
            <v>67</v>
          </cell>
          <cell r="CA1248">
            <v>2.5200000000000001E-3</v>
          </cell>
          <cell r="CB1248">
            <v>83.52</v>
          </cell>
          <cell r="CC1248">
            <v>-6.9999999999999994E-5</v>
          </cell>
          <cell r="CD1248">
            <v>-2.2799999999999998</v>
          </cell>
          <cell r="CE1248">
            <v>2.5200000000000001E-3</v>
          </cell>
          <cell r="CF1248">
            <v>73.319999999999993</v>
          </cell>
          <cell r="CG1248">
            <v>0</v>
          </cell>
          <cell r="CH1248">
            <v>0</v>
          </cell>
          <cell r="CI1248">
            <v>9.5899999999999996E-3</v>
          </cell>
          <cell r="CJ1248">
            <v>302</v>
          </cell>
          <cell r="CK1248">
            <v>1.26E-2</v>
          </cell>
          <cell r="CL1248">
            <v>401.76</v>
          </cell>
          <cell r="CO1248">
            <v>0</v>
          </cell>
          <cell r="CP1248">
            <v>0</v>
          </cell>
          <cell r="CQ1248">
            <v>0</v>
          </cell>
          <cell r="CR1248">
            <v>0</v>
          </cell>
          <cell r="CS1248">
            <v>0</v>
          </cell>
          <cell r="CT1248">
            <v>0</v>
          </cell>
          <cell r="CU1248">
            <v>1.0359999999999999E-2</v>
          </cell>
          <cell r="CV1248">
            <v>341.61</v>
          </cell>
          <cell r="CW1248">
            <v>0</v>
          </cell>
          <cell r="CX1248">
            <v>0</v>
          </cell>
          <cell r="CY1248">
            <v>1.6800000000000001E-3</v>
          </cell>
          <cell r="CZ1248">
            <v>55.68</v>
          </cell>
          <cell r="DA1248">
            <v>0</v>
          </cell>
          <cell r="DB1248">
            <v>0</v>
          </cell>
          <cell r="DC1248">
            <v>2.9399999999999999E-3</v>
          </cell>
          <cell r="DD1248">
            <v>90.02</v>
          </cell>
          <cell r="DE1248">
            <v>4.62E-3</v>
          </cell>
          <cell r="DF1248">
            <v>145.69999999999999</v>
          </cell>
          <cell r="DG1248">
            <v>6.9999999999999994E-5</v>
          </cell>
          <cell r="DH1248">
            <v>3.62</v>
          </cell>
          <cell r="DI1248">
            <v>1.1900000000000001E-3</v>
          </cell>
          <cell r="DJ1248">
            <v>39.24</v>
          </cell>
          <cell r="DK1248">
            <v>2.5200000000000001E-3</v>
          </cell>
          <cell r="DL1248">
            <v>83.04</v>
          </cell>
          <cell r="DM1248">
            <v>3.7799999999999999E-3</v>
          </cell>
          <cell r="DN1248">
            <v>125.9</v>
          </cell>
          <cell r="DO1248">
            <v>4.0600000000000002E-3</v>
          </cell>
          <cell r="DP1248">
            <v>134.56</v>
          </cell>
          <cell r="DQ1248">
            <v>1.2600000000000001E-3</v>
          </cell>
          <cell r="DR1248">
            <v>40.97</v>
          </cell>
          <cell r="DS1248">
            <v>5.0400000000000002E-3</v>
          </cell>
          <cell r="DT1248">
            <v>166.08</v>
          </cell>
          <cell r="DU1248">
            <v>1.0359999999999999E-2</v>
          </cell>
          <cell r="DV1248">
            <v>341.61</v>
          </cell>
          <cell r="DW1248">
            <v>3.7240000000000002E-2</v>
          </cell>
          <cell r="DX1248">
            <v>1209.3700000000001</v>
          </cell>
          <cell r="DY1248" t="str">
            <v/>
          </cell>
          <cell r="DZ1248">
            <v>0</v>
          </cell>
          <cell r="EA1248">
            <v>32475.026852846404</v>
          </cell>
        </row>
        <row r="1249">
          <cell r="B1249">
            <v>304480</v>
          </cell>
          <cell r="C1249" t="str">
            <v>ულქერი_ფინგერ_ბისკვიტი_150გ*16</v>
          </cell>
          <cell r="D1249" t="str">
            <v>TON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O1249">
            <v>0</v>
          </cell>
          <cell r="AP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O1249">
            <v>0</v>
          </cell>
          <cell r="CP1249">
            <v>0</v>
          </cell>
          <cell r="CQ1249">
            <v>0</v>
          </cell>
          <cell r="CR1249">
            <v>0</v>
          </cell>
          <cell r="CS1249">
            <v>0</v>
          </cell>
          <cell r="CT1249">
            <v>0</v>
          </cell>
          <cell r="CU1249">
            <v>0</v>
          </cell>
          <cell r="CV1249">
            <v>0</v>
          </cell>
          <cell r="CW1249">
            <v>0</v>
          </cell>
          <cell r="CX1249">
            <v>0</v>
          </cell>
          <cell r="CY1249">
            <v>0</v>
          </cell>
          <cell r="CZ1249">
            <v>0</v>
          </cell>
          <cell r="DA1249">
            <v>0</v>
          </cell>
          <cell r="DB1249">
            <v>0</v>
          </cell>
          <cell r="DC1249">
            <v>0</v>
          </cell>
          <cell r="DD1249">
            <v>0</v>
          </cell>
          <cell r="DE1249">
            <v>0</v>
          </cell>
          <cell r="DF1249">
            <v>0</v>
          </cell>
          <cell r="DG1249">
            <v>0</v>
          </cell>
          <cell r="DH1249">
            <v>0</v>
          </cell>
          <cell r="DI1249">
            <v>0</v>
          </cell>
          <cell r="DJ1249">
            <v>0</v>
          </cell>
          <cell r="DK1249">
            <v>0</v>
          </cell>
          <cell r="DL1249">
            <v>0</v>
          </cell>
          <cell r="DM1249">
            <v>0</v>
          </cell>
          <cell r="DN1249">
            <v>0</v>
          </cell>
          <cell r="DO1249">
            <v>0</v>
          </cell>
          <cell r="DP1249">
            <v>0</v>
          </cell>
          <cell r="DQ1249">
            <v>0</v>
          </cell>
          <cell r="DR1249">
            <v>0</v>
          </cell>
          <cell r="DS1249">
            <v>0</v>
          </cell>
          <cell r="DT1249">
            <v>0</v>
          </cell>
          <cell r="DU1249">
            <v>0</v>
          </cell>
          <cell r="DV1249">
            <v>0</v>
          </cell>
          <cell r="DW1249">
            <v>0</v>
          </cell>
          <cell r="DX1249">
            <v>0</v>
          </cell>
          <cell r="DY1249" t="str">
            <v/>
          </cell>
          <cell r="DZ1249" t="str">
            <v>pasiv</v>
          </cell>
          <cell r="EA1249" t="e">
            <v>#DIV/0!</v>
          </cell>
        </row>
        <row r="1250">
          <cell r="B1250">
            <v>310484</v>
          </cell>
          <cell r="C1250" t="str">
            <v>ულქერი_დანქექ_ქოქოსის ნამცხვ._35გ*24</v>
          </cell>
          <cell r="D1250" t="str">
            <v>TON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O1250">
            <v>0</v>
          </cell>
          <cell r="AP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O1250">
            <v>0</v>
          </cell>
          <cell r="CP1250">
            <v>0</v>
          </cell>
          <cell r="CQ1250">
            <v>0</v>
          </cell>
          <cell r="CR1250">
            <v>0</v>
          </cell>
          <cell r="CS1250">
            <v>0</v>
          </cell>
          <cell r="CT1250">
            <v>0</v>
          </cell>
          <cell r="CU1250">
            <v>0</v>
          </cell>
          <cell r="CV1250">
            <v>0</v>
          </cell>
          <cell r="CW1250">
            <v>0</v>
          </cell>
          <cell r="CX1250">
            <v>0</v>
          </cell>
          <cell r="CY1250">
            <v>0</v>
          </cell>
          <cell r="CZ1250">
            <v>0</v>
          </cell>
          <cell r="DA1250">
            <v>0</v>
          </cell>
          <cell r="DB1250">
            <v>0</v>
          </cell>
          <cell r="DC1250">
            <v>0</v>
          </cell>
          <cell r="DD1250">
            <v>0</v>
          </cell>
          <cell r="DE1250">
            <v>0</v>
          </cell>
          <cell r="DF1250">
            <v>0</v>
          </cell>
          <cell r="DG1250">
            <v>0</v>
          </cell>
          <cell r="DH1250">
            <v>0</v>
          </cell>
          <cell r="DI1250">
            <v>0</v>
          </cell>
          <cell r="DJ1250">
            <v>0</v>
          </cell>
          <cell r="DK1250">
            <v>0</v>
          </cell>
          <cell r="DL1250">
            <v>0</v>
          </cell>
          <cell r="DM1250">
            <v>0</v>
          </cell>
          <cell r="DN1250">
            <v>0</v>
          </cell>
          <cell r="DO1250">
            <v>0</v>
          </cell>
          <cell r="DP1250">
            <v>0</v>
          </cell>
          <cell r="DQ1250">
            <v>0</v>
          </cell>
          <cell r="DR1250">
            <v>0</v>
          </cell>
          <cell r="DS1250">
            <v>0</v>
          </cell>
          <cell r="DT1250">
            <v>0</v>
          </cell>
          <cell r="DU1250">
            <v>0</v>
          </cell>
          <cell r="DV1250">
            <v>0</v>
          </cell>
          <cell r="DW1250">
            <v>0</v>
          </cell>
          <cell r="DX1250">
            <v>0</v>
          </cell>
          <cell r="DY1250" t="str">
            <v/>
          </cell>
          <cell r="DZ1250" t="str">
            <v>pasiv</v>
          </cell>
          <cell r="EA1250" t="e">
            <v>#DIV/0!</v>
          </cell>
        </row>
        <row r="1251">
          <cell r="B1251">
            <v>324395</v>
          </cell>
          <cell r="C1251" t="str">
            <v>ულქერი_მეტრო_რძიანი შოკოლადი_36გ*24*6</v>
          </cell>
          <cell r="D1251" t="str">
            <v>TON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1.6416E-2</v>
          </cell>
          <cell r="AD1251">
            <v>419.52</v>
          </cell>
          <cell r="AE1251">
            <v>0</v>
          </cell>
          <cell r="AF1251">
            <v>0</v>
          </cell>
          <cell r="AG1251">
            <v>4.3200000000000001E-3</v>
          </cell>
          <cell r="AH1251">
            <v>109.19</v>
          </cell>
          <cell r="AI1251">
            <v>6.9119999999999997E-3</v>
          </cell>
          <cell r="AJ1251">
            <v>176.64</v>
          </cell>
          <cell r="AK1251">
            <v>2.5920000000000001E-3</v>
          </cell>
          <cell r="AL1251">
            <v>66.239999999999995</v>
          </cell>
          <cell r="AO1251">
            <v>3.024E-2</v>
          </cell>
          <cell r="AP1251">
            <v>771.59</v>
          </cell>
          <cell r="AS1251">
            <v>0</v>
          </cell>
          <cell r="AT1251">
            <v>0</v>
          </cell>
          <cell r="AU1251">
            <v>9.9756000000000095E-2</v>
          </cell>
          <cell r="AV1251">
            <v>2499.69</v>
          </cell>
          <cell r="AW1251">
            <v>0</v>
          </cell>
          <cell r="AX1251">
            <v>0</v>
          </cell>
          <cell r="AY1251">
            <v>6.9119999999999997E-3</v>
          </cell>
          <cell r="AZ1251">
            <v>174.68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6.9119999999999997E-3</v>
          </cell>
          <cell r="BF1251">
            <v>174.68</v>
          </cell>
          <cell r="BG1251">
            <v>1.7279999999999999E-3</v>
          </cell>
          <cell r="BH1251">
            <v>44.16</v>
          </cell>
          <cell r="BI1251">
            <v>-3.6000000000000001E-5</v>
          </cell>
          <cell r="BJ1251">
            <v>-0.8</v>
          </cell>
          <cell r="BK1251">
            <v>8.6399999999999997E-4</v>
          </cell>
          <cell r="BL1251">
            <v>21.15</v>
          </cell>
          <cell r="BM1251">
            <v>1.7279999999999999E-3</v>
          </cell>
          <cell r="BN1251">
            <v>43.88</v>
          </cell>
          <cell r="BO1251">
            <v>6.0480000000000004E-3</v>
          </cell>
          <cell r="BP1251">
            <v>154.56</v>
          </cell>
          <cell r="BQ1251">
            <v>0</v>
          </cell>
          <cell r="BR1251">
            <v>0</v>
          </cell>
          <cell r="BS1251">
            <v>1.0331999999999999E-2</v>
          </cell>
          <cell r="BT1251">
            <v>262.95</v>
          </cell>
          <cell r="BU1251">
            <v>2.5920000000000001E-3</v>
          </cell>
          <cell r="BV1251">
            <v>63.44</v>
          </cell>
          <cell r="BW1251">
            <v>2.5920000000000001E-3</v>
          </cell>
          <cell r="BX1251">
            <v>63.45</v>
          </cell>
          <cell r="BY1251">
            <v>0</v>
          </cell>
          <cell r="BZ1251">
            <v>0</v>
          </cell>
          <cell r="CA1251">
            <v>1.7279999999999999E-3</v>
          </cell>
          <cell r="CB1251">
            <v>44.16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6.9119999999999997E-3</v>
          </cell>
          <cell r="CJ1251">
            <v>171.05</v>
          </cell>
          <cell r="CK1251">
            <v>1.7243999999999999E-2</v>
          </cell>
          <cell r="CL1251">
            <v>434</v>
          </cell>
          <cell r="CO1251">
            <v>0</v>
          </cell>
          <cell r="CP1251">
            <v>0</v>
          </cell>
          <cell r="CQ1251">
            <v>0</v>
          </cell>
          <cell r="CR1251">
            <v>0</v>
          </cell>
          <cell r="CS1251">
            <v>0</v>
          </cell>
          <cell r="CT1251">
            <v>0</v>
          </cell>
          <cell r="CU1251">
            <v>3.1536000000000002E-2</v>
          </cell>
          <cell r="CV1251">
            <v>778.99</v>
          </cell>
          <cell r="CW1251">
            <v>0</v>
          </cell>
          <cell r="CX1251">
            <v>0</v>
          </cell>
          <cell r="CY1251">
            <v>1.7279999999999999E-3</v>
          </cell>
          <cell r="CZ1251">
            <v>42.48</v>
          </cell>
          <cell r="DA1251">
            <v>1.7279999999999999E-3</v>
          </cell>
          <cell r="DB1251">
            <v>44.16</v>
          </cell>
          <cell r="DC1251">
            <v>4.3200000000000001E-3</v>
          </cell>
          <cell r="DD1251">
            <v>100.35</v>
          </cell>
          <cell r="DE1251">
            <v>7.7759999999999999E-3</v>
          </cell>
          <cell r="DF1251">
            <v>186.98999999999998</v>
          </cell>
          <cell r="DG1251">
            <v>1.7279999999999999E-3</v>
          </cell>
          <cell r="DH1251">
            <v>43.88</v>
          </cell>
          <cell r="DI1251">
            <v>4.3200000000000001E-3</v>
          </cell>
          <cell r="DJ1251">
            <v>109.56</v>
          </cell>
          <cell r="DK1251">
            <v>0</v>
          </cell>
          <cell r="DL1251">
            <v>0</v>
          </cell>
          <cell r="DM1251">
            <v>6.0480000000000004E-3</v>
          </cell>
          <cell r="DN1251">
            <v>153.44</v>
          </cell>
          <cell r="DO1251">
            <v>1.7279999999999999E-3</v>
          </cell>
          <cell r="DP1251">
            <v>44.16</v>
          </cell>
          <cell r="DQ1251">
            <v>8.208E-3</v>
          </cell>
          <cell r="DR1251">
            <v>205.91</v>
          </cell>
          <cell r="DS1251">
            <v>2.1600000000000001E-2</v>
          </cell>
          <cell r="DT1251">
            <v>528.91999999999996</v>
          </cell>
          <cell r="DU1251">
            <v>3.1536000000000002E-2</v>
          </cell>
          <cell r="DV1251">
            <v>778.99</v>
          </cell>
          <cell r="DW1251">
            <v>9.9755999999999997E-2</v>
          </cell>
          <cell r="DX1251">
            <v>2499.69</v>
          </cell>
          <cell r="DY1251" t="str">
            <v/>
          </cell>
          <cell r="DZ1251">
            <v>0</v>
          </cell>
          <cell r="EA1251">
            <v>25058.0416215566</v>
          </cell>
        </row>
        <row r="1252">
          <cell r="B1252">
            <v>326266</v>
          </cell>
          <cell r="C1252" t="str">
            <v>ულქერი_ჩოკოკრემი_650გ*6_შუშა</v>
          </cell>
          <cell r="D1252" t="str">
            <v>TON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O1252">
            <v>0</v>
          </cell>
          <cell r="AP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O1252">
            <v>0</v>
          </cell>
          <cell r="CP1252">
            <v>0</v>
          </cell>
          <cell r="CQ1252">
            <v>0</v>
          </cell>
          <cell r="CR1252">
            <v>0</v>
          </cell>
          <cell r="CS1252">
            <v>0</v>
          </cell>
          <cell r="CT1252">
            <v>0</v>
          </cell>
          <cell r="CU1252">
            <v>0</v>
          </cell>
          <cell r="CV1252">
            <v>0</v>
          </cell>
          <cell r="CW1252">
            <v>0</v>
          </cell>
          <cell r="CX1252">
            <v>0</v>
          </cell>
          <cell r="CY1252">
            <v>0</v>
          </cell>
          <cell r="CZ1252">
            <v>0</v>
          </cell>
          <cell r="DA1252">
            <v>0</v>
          </cell>
          <cell r="DB1252">
            <v>0</v>
          </cell>
          <cell r="DC1252">
            <v>0</v>
          </cell>
          <cell r="DD1252">
            <v>0</v>
          </cell>
          <cell r="DE1252">
            <v>0</v>
          </cell>
          <cell r="DF1252">
            <v>0</v>
          </cell>
          <cell r="DG1252">
            <v>0</v>
          </cell>
          <cell r="DH1252">
            <v>0</v>
          </cell>
          <cell r="DI1252">
            <v>0</v>
          </cell>
          <cell r="DJ1252">
            <v>0</v>
          </cell>
          <cell r="DK1252">
            <v>0</v>
          </cell>
          <cell r="DL1252">
            <v>0</v>
          </cell>
          <cell r="DM1252">
            <v>0</v>
          </cell>
          <cell r="DN1252">
            <v>0</v>
          </cell>
          <cell r="DO1252">
            <v>0</v>
          </cell>
          <cell r="DP1252">
            <v>0</v>
          </cell>
          <cell r="DQ1252">
            <v>0</v>
          </cell>
          <cell r="DR1252">
            <v>0</v>
          </cell>
          <cell r="DS1252">
            <v>0</v>
          </cell>
          <cell r="DT1252">
            <v>0</v>
          </cell>
          <cell r="DU1252">
            <v>0</v>
          </cell>
          <cell r="DV1252">
            <v>0</v>
          </cell>
          <cell r="DW1252">
            <v>0</v>
          </cell>
          <cell r="DX1252">
            <v>0</v>
          </cell>
          <cell r="DY1252" t="str">
            <v/>
          </cell>
          <cell r="DZ1252" t="str">
            <v>pasiv</v>
          </cell>
          <cell r="EA1252" t="e">
            <v>#DIV/0!</v>
          </cell>
        </row>
        <row r="1253">
          <cell r="B1253">
            <v>305011</v>
          </cell>
          <cell r="C1253" t="str">
            <v>ულქერი_ქათ ქათ_ფენ.ნამცხვ.თხილ.კაკაოს კრემ_28გ*24*6</v>
          </cell>
          <cell r="D1253" t="str">
            <v>TON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O1253">
            <v>0</v>
          </cell>
          <cell r="AP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O1253">
            <v>0</v>
          </cell>
          <cell r="CP1253">
            <v>0</v>
          </cell>
          <cell r="CQ1253">
            <v>0</v>
          </cell>
          <cell r="CR1253">
            <v>0</v>
          </cell>
          <cell r="CS1253">
            <v>0</v>
          </cell>
          <cell r="CT1253">
            <v>0</v>
          </cell>
          <cell r="CU1253">
            <v>0</v>
          </cell>
          <cell r="CV1253">
            <v>0</v>
          </cell>
          <cell r="CW1253">
            <v>0</v>
          </cell>
          <cell r="CX1253">
            <v>0</v>
          </cell>
          <cell r="CY1253">
            <v>0</v>
          </cell>
          <cell r="CZ1253">
            <v>0</v>
          </cell>
          <cell r="DA1253">
            <v>0</v>
          </cell>
          <cell r="DB1253">
            <v>0</v>
          </cell>
          <cell r="DC1253">
            <v>0</v>
          </cell>
          <cell r="DD1253">
            <v>0</v>
          </cell>
          <cell r="DE1253">
            <v>0</v>
          </cell>
          <cell r="DF1253">
            <v>0</v>
          </cell>
          <cell r="DG1253">
            <v>0</v>
          </cell>
          <cell r="DH1253">
            <v>0</v>
          </cell>
          <cell r="DI1253">
            <v>0</v>
          </cell>
          <cell r="DJ1253">
            <v>0</v>
          </cell>
          <cell r="DK1253">
            <v>0</v>
          </cell>
          <cell r="DL1253">
            <v>0</v>
          </cell>
          <cell r="DM1253">
            <v>0</v>
          </cell>
          <cell r="DN1253">
            <v>0</v>
          </cell>
          <cell r="DO1253">
            <v>0</v>
          </cell>
          <cell r="DP1253">
            <v>0</v>
          </cell>
          <cell r="DQ1253">
            <v>0</v>
          </cell>
          <cell r="DR1253">
            <v>0</v>
          </cell>
          <cell r="DS1253">
            <v>0</v>
          </cell>
          <cell r="DT1253">
            <v>0</v>
          </cell>
          <cell r="DU1253">
            <v>0</v>
          </cell>
          <cell r="DV1253">
            <v>0</v>
          </cell>
          <cell r="DW1253">
            <v>0</v>
          </cell>
          <cell r="DX1253">
            <v>0</v>
          </cell>
          <cell r="DY1253" t="str">
            <v/>
          </cell>
          <cell r="DZ1253" t="str">
            <v>pasiv</v>
          </cell>
          <cell r="EA1253" t="e">
            <v>#DIV/0!</v>
          </cell>
        </row>
        <row r="1254">
          <cell r="B1254">
            <v>305023</v>
          </cell>
          <cell r="C1254" t="str">
            <v>ულქერი_ქათ ქათ_ფენ.ნამცხვ.მარწყვის კრემ_32გ*24*6</v>
          </cell>
          <cell r="D1254" t="str">
            <v>TON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O1254">
            <v>0</v>
          </cell>
          <cell r="AP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O1254">
            <v>0</v>
          </cell>
          <cell r="CP1254">
            <v>0</v>
          </cell>
          <cell r="CQ1254">
            <v>0</v>
          </cell>
          <cell r="CR1254">
            <v>0</v>
          </cell>
          <cell r="CS1254">
            <v>0</v>
          </cell>
          <cell r="CT1254">
            <v>0</v>
          </cell>
          <cell r="CU1254">
            <v>0</v>
          </cell>
          <cell r="CV1254">
            <v>0</v>
          </cell>
          <cell r="CW1254">
            <v>0</v>
          </cell>
          <cell r="CX1254">
            <v>0</v>
          </cell>
          <cell r="CY1254">
            <v>0</v>
          </cell>
          <cell r="CZ1254">
            <v>0</v>
          </cell>
          <cell r="DA1254">
            <v>0</v>
          </cell>
          <cell r="DB1254">
            <v>0</v>
          </cell>
          <cell r="DC1254">
            <v>0</v>
          </cell>
          <cell r="DD1254">
            <v>0</v>
          </cell>
          <cell r="DE1254">
            <v>0</v>
          </cell>
          <cell r="DF1254">
            <v>0</v>
          </cell>
          <cell r="DG1254">
            <v>0</v>
          </cell>
          <cell r="DH1254">
            <v>0</v>
          </cell>
          <cell r="DI1254">
            <v>0</v>
          </cell>
          <cell r="DJ1254">
            <v>0</v>
          </cell>
          <cell r="DK1254">
            <v>0</v>
          </cell>
          <cell r="DL1254">
            <v>0</v>
          </cell>
          <cell r="DM1254">
            <v>0</v>
          </cell>
          <cell r="DN1254">
            <v>0</v>
          </cell>
          <cell r="DO1254">
            <v>0</v>
          </cell>
          <cell r="DP1254">
            <v>0</v>
          </cell>
          <cell r="DQ1254">
            <v>0</v>
          </cell>
          <cell r="DR1254">
            <v>0</v>
          </cell>
          <cell r="DS1254">
            <v>0</v>
          </cell>
          <cell r="DT1254">
            <v>0</v>
          </cell>
          <cell r="DU1254">
            <v>0</v>
          </cell>
          <cell r="DV1254">
            <v>0</v>
          </cell>
          <cell r="DW1254">
            <v>0</v>
          </cell>
          <cell r="DX1254">
            <v>0</v>
          </cell>
          <cell r="DY1254" t="str">
            <v/>
          </cell>
          <cell r="DZ1254" t="str">
            <v>pasiv</v>
          </cell>
          <cell r="EA1254" t="e">
            <v>#DIV/0!</v>
          </cell>
        </row>
        <row r="1255">
          <cell r="B1255">
            <v>305000</v>
          </cell>
          <cell r="C1255" t="str">
            <v>ულქერი_ჩიზი_კრეკერი ყველის არომ_65გ*24</v>
          </cell>
          <cell r="D1255" t="str">
            <v>TON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O1255">
            <v>0</v>
          </cell>
          <cell r="AP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  <cell r="BO1255">
            <v>0</v>
          </cell>
          <cell r="BP1255">
            <v>0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O1255">
            <v>0</v>
          </cell>
          <cell r="CP1255">
            <v>0</v>
          </cell>
          <cell r="CQ1255">
            <v>0</v>
          </cell>
          <cell r="CR1255">
            <v>0</v>
          </cell>
          <cell r="CS1255">
            <v>0</v>
          </cell>
          <cell r="CT1255">
            <v>0</v>
          </cell>
          <cell r="CU1255">
            <v>0</v>
          </cell>
          <cell r="CV1255">
            <v>0</v>
          </cell>
          <cell r="CW1255">
            <v>0</v>
          </cell>
          <cell r="CX1255">
            <v>0</v>
          </cell>
          <cell r="CY1255">
            <v>0</v>
          </cell>
          <cell r="CZ1255">
            <v>0</v>
          </cell>
          <cell r="DA1255">
            <v>0</v>
          </cell>
          <cell r="DB1255">
            <v>0</v>
          </cell>
          <cell r="DC1255">
            <v>0</v>
          </cell>
          <cell r="DD1255">
            <v>0</v>
          </cell>
          <cell r="DE1255">
            <v>0</v>
          </cell>
          <cell r="DF1255">
            <v>0</v>
          </cell>
          <cell r="DG1255">
            <v>0</v>
          </cell>
          <cell r="DH1255">
            <v>0</v>
          </cell>
          <cell r="DI1255">
            <v>0</v>
          </cell>
          <cell r="DJ1255">
            <v>0</v>
          </cell>
          <cell r="DK1255">
            <v>0</v>
          </cell>
          <cell r="DL1255">
            <v>0</v>
          </cell>
          <cell r="DM1255">
            <v>0</v>
          </cell>
          <cell r="DN1255">
            <v>0</v>
          </cell>
          <cell r="DO1255">
            <v>0</v>
          </cell>
          <cell r="DP1255">
            <v>0</v>
          </cell>
          <cell r="DQ1255">
            <v>0</v>
          </cell>
          <cell r="DR1255">
            <v>0</v>
          </cell>
          <cell r="DS1255">
            <v>0</v>
          </cell>
          <cell r="DT1255">
            <v>0</v>
          </cell>
          <cell r="DU1255">
            <v>0</v>
          </cell>
          <cell r="DV1255">
            <v>0</v>
          </cell>
          <cell r="DW1255">
            <v>0</v>
          </cell>
          <cell r="DX1255">
            <v>0</v>
          </cell>
          <cell r="DY1255" t="str">
            <v/>
          </cell>
          <cell r="DZ1255" t="str">
            <v>pasiv</v>
          </cell>
          <cell r="EA1255" t="e">
            <v>#DIV/0!</v>
          </cell>
        </row>
        <row r="1256">
          <cell r="B1256">
            <v>304906</v>
          </cell>
          <cell r="C1256" t="str">
            <v>ულქერი_ჩოკომელ_მარწყვის ზეფირი_48გ*30</v>
          </cell>
          <cell r="D1256" t="str">
            <v>TON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O1256">
            <v>0</v>
          </cell>
          <cell r="AP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O1256">
            <v>0</v>
          </cell>
          <cell r="CP1256">
            <v>0</v>
          </cell>
          <cell r="CQ1256">
            <v>0</v>
          </cell>
          <cell r="CR1256">
            <v>0</v>
          </cell>
          <cell r="CS1256">
            <v>0</v>
          </cell>
          <cell r="CT1256">
            <v>0</v>
          </cell>
          <cell r="CU1256">
            <v>0</v>
          </cell>
          <cell r="CV1256">
            <v>0</v>
          </cell>
          <cell r="CW1256">
            <v>0</v>
          </cell>
          <cell r="CX1256">
            <v>0</v>
          </cell>
          <cell r="CY1256">
            <v>0</v>
          </cell>
          <cell r="CZ1256">
            <v>0</v>
          </cell>
          <cell r="DA1256">
            <v>0</v>
          </cell>
          <cell r="DB1256">
            <v>0</v>
          </cell>
          <cell r="DC1256">
            <v>0</v>
          </cell>
          <cell r="DD1256">
            <v>0</v>
          </cell>
          <cell r="DE1256">
            <v>0</v>
          </cell>
          <cell r="DF1256">
            <v>0</v>
          </cell>
          <cell r="DG1256">
            <v>0</v>
          </cell>
          <cell r="DH1256">
            <v>0</v>
          </cell>
          <cell r="DI1256">
            <v>0</v>
          </cell>
          <cell r="DJ1256">
            <v>0</v>
          </cell>
          <cell r="DK1256">
            <v>0</v>
          </cell>
          <cell r="DL1256">
            <v>0</v>
          </cell>
          <cell r="DM1256">
            <v>0</v>
          </cell>
          <cell r="DN1256">
            <v>0</v>
          </cell>
          <cell r="DO1256">
            <v>0</v>
          </cell>
          <cell r="DP1256">
            <v>0</v>
          </cell>
          <cell r="DQ1256">
            <v>0</v>
          </cell>
          <cell r="DR1256">
            <v>0</v>
          </cell>
          <cell r="DS1256">
            <v>0</v>
          </cell>
          <cell r="DT1256">
            <v>0</v>
          </cell>
          <cell r="DU1256">
            <v>0</v>
          </cell>
          <cell r="DV1256">
            <v>0</v>
          </cell>
          <cell r="DW1256">
            <v>0</v>
          </cell>
          <cell r="DX1256">
            <v>0</v>
          </cell>
          <cell r="DY1256" t="str">
            <v/>
          </cell>
          <cell r="DZ1256" t="str">
            <v>pasiv</v>
          </cell>
          <cell r="EA1256" t="e">
            <v>#DIV/0!</v>
          </cell>
        </row>
        <row r="1257">
          <cell r="B1257">
            <v>315687</v>
          </cell>
          <cell r="C1257" t="str">
            <v>ულქერი_იკრამ_ორცხობილა თხილ.კრემით_84გ*24</v>
          </cell>
          <cell r="D1257" t="str">
            <v>TON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O1257">
            <v>0</v>
          </cell>
          <cell r="AP1257">
            <v>0</v>
          </cell>
          <cell r="AS1257">
            <v>0</v>
          </cell>
          <cell r="AT1257">
            <v>0</v>
          </cell>
          <cell r="AU1257">
            <v>2.7720000000000002E-3</v>
          </cell>
          <cell r="AV1257">
            <v>48.72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-5.1240000000000001E-3</v>
          </cell>
          <cell r="BJ1257">
            <v>-94.55</v>
          </cell>
          <cell r="BK1257">
            <v>0</v>
          </cell>
          <cell r="BL1257">
            <v>0</v>
          </cell>
          <cell r="BM1257">
            <v>0</v>
          </cell>
          <cell r="BN1257">
            <v>0</v>
          </cell>
          <cell r="BO1257">
            <v>0</v>
          </cell>
          <cell r="BP1257">
            <v>0</v>
          </cell>
          <cell r="BQ1257">
            <v>0</v>
          </cell>
          <cell r="BR1257">
            <v>0</v>
          </cell>
          <cell r="BS1257">
            <v>-5.1240000000000001E-3</v>
          </cell>
          <cell r="BT1257">
            <v>-94.55</v>
          </cell>
          <cell r="BU1257">
            <v>0</v>
          </cell>
          <cell r="BV1257">
            <v>0</v>
          </cell>
          <cell r="BW1257">
            <v>2.016E-3</v>
          </cell>
          <cell r="BX1257">
            <v>36.78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4.1159999999999999E-3</v>
          </cell>
          <cell r="CF1257">
            <v>72.77</v>
          </cell>
          <cell r="CG1257">
            <v>0</v>
          </cell>
          <cell r="CH1257">
            <v>0</v>
          </cell>
          <cell r="CI1257">
            <v>6.1320000000000003E-3</v>
          </cell>
          <cell r="CJ1257">
            <v>109.55</v>
          </cell>
          <cell r="CK1257">
            <v>1.0080000000000002E-3</v>
          </cell>
          <cell r="CL1257">
            <v>15</v>
          </cell>
          <cell r="CO1257">
            <v>0</v>
          </cell>
          <cell r="CP1257">
            <v>0</v>
          </cell>
          <cell r="CQ1257">
            <v>0</v>
          </cell>
          <cell r="CR1257">
            <v>0</v>
          </cell>
          <cell r="CS1257">
            <v>0</v>
          </cell>
          <cell r="CT1257">
            <v>0</v>
          </cell>
          <cell r="CU1257">
            <v>0</v>
          </cell>
          <cell r="CV1257">
            <v>0</v>
          </cell>
          <cell r="CW1257">
            <v>0</v>
          </cell>
          <cell r="CX1257">
            <v>0</v>
          </cell>
          <cell r="CY1257">
            <v>1.7639999999999999E-3</v>
          </cell>
          <cell r="CZ1257">
            <v>33.72</v>
          </cell>
          <cell r="DA1257">
            <v>0</v>
          </cell>
          <cell r="DB1257">
            <v>0</v>
          </cell>
          <cell r="DC1257">
            <v>0</v>
          </cell>
          <cell r="DD1257">
            <v>0</v>
          </cell>
          <cell r="DE1257">
            <v>1.7639999999999999E-3</v>
          </cell>
          <cell r="DF1257">
            <v>33.72</v>
          </cell>
          <cell r="DG1257">
            <v>0</v>
          </cell>
          <cell r="DH1257">
            <v>0</v>
          </cell>
          <cell r="DI1257">
            <v>0</v>
          </cell>
          <cell r="DJ1257">
            <v>0</v>
          </cell>
          <cell r="DK1257">
            <v>0</v>
          </cell>
          <cell r="DL1257">
            <v>0</v>
          </cell>
          <cell r="DM1257">
            <v>0</v>
          </cell>
          <cell r="DN1257">
            <v>0</v>
          </cell>
          <cell r="DO1257">
            <v>0</v>
          </cell>
          <cell r="DP1257">
            <v>0</v>
          </cell>
          <cell r="DQ1257">
            <v>0</v>
          </cell>
          <cell r="DR1257">
            <v>0</v>
          </cell>
          <cell r="DS1257">
            <v>0</v>
          </cell>
          <cell r="DT1257">
            <v>0</v>
          </cell>
          <cell r="DU1257">
            <v>0</v>
          </cell>
          <cell r="DV1257">
            <v>0</v>
          </cell>
          <cell r="DW1257">
            <v>2.7720000000000002E-3</v>
          </cell>
          <cell r="DX1257">
            <v>48.72</v>
          </cell>
          <cell r="DY1257" t="str">
            <v/>
          </cell>
          <cell r="DZ1257">
            <v>0</v>
          </cell>
          <cell r="EA1257">
            <v>17575.757575757576</v>
          </cell>
        </row>
        <row r="1258">
          <cell r="B1258">
            <v>304487</v>
          </cell>
          <cell r="C1258" t="str">
            <v>ულქერი_ჩოკოპრენს_ბისკვ.კაკაოს თხილ.კრემ_81გ*18</v>
          </cell>
          <cell r="D1258" t="str">
            <v>TON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O1258">
            <v>0</v>
          </cell>
          <cell r="AP1258">
            <v>0</v>
          </cell>
          <cell r="AS1258">
            <v>0</v>
          </cell>
          <cell r="AT1258">
            <v>0</v>
          </cell>
          <cell r="AU1258">
            <v>1.3365E-2</v>
          </cell>
          <cell r="AV1258">
            <v>232.09</v>
          </cell>
          <cell r="AW1258">
            <v>0</v>
          </cell>
          <cell r="AX1258">
            <v>0</v>
          </cell>
          <cell r="AY1258">
            <v>1.4580000000000001E-3</v>
          </cell>
          <cell r="AZ1258">
            <v>25.56</v>
          </cell>
          <cell r="BA1258">
            <v>0</v>
          </cell>
          <cell r="BB1258">
            <v>0</v>
          </cell>
          <cell r="BC1258">
            <v>1.4580000000000001E-3</v>
          </cell>
          <cell r="BD1258">
            <v>24.79</v>
          </cell>
          <cell r="BE1258">
            <v>2.9160000000000002E-3</v>
          </cell>
          <cell r="BF1258">
            <v>50.349999999999994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1.4580000000000001E-3</v>
          </cell>
          <cell r="BN1258">
            <v>25.74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1.4580000000000001E-3</v>
          </cell>
          <cell r="BT1258">
            <v>25.74</v>
          </cell>
          <cell r="BU1258">
            <v>1.4580000000000001E-3</v>
          </cell>
          <cell r="BV1258">
            <v>24.79</v>
          </cell>
          <cell r="BW1258">
            <v>2.9160000000000002E-3</v>
          </cell>
          <cell r="BX1258">
            <v>50.35</v>
          </cell>
          <cell r="BY1258">
            <v>0</v>
          </cell>
          <cell r="BZ1258">
            <v>0</v>
          </cell>
          <cell r="CA1258">
            <v>0</v>
          </cell>
          <cell r="CB1258">
            <v>0</v>
          </cell>
          <cell r="CC1258">
            <v>0</v>
          </cell>
          <cell r="CD1258">
            <v>0</v>
          </cell>
          <cell r="CE1258">
            <v>2.43E-4</v>
          </cell>
          <cell r="CF1258">
            <v>4</v>
          </cell>
          <cell r="CG1258">
            <v>0</v>
          </cell>
          <cell r="CH1258">
            <v>0</v>
          </cell>
          <cell r="CI1258">
            <v>4.6169999999999996E-3</v>
          </cell>
          <cell r="CJ1258">
            <v>79.14</v>
          </cell>
          <cell r="CK1258">
            <v>6.0749999999999997E-3</v>
          </cell>
          <cell r="CL1258">
            <v>104.88</v>
          </cell>
          <cell r="CO1258">
            <v>0</v>
          </cell>
          <cell r="CP1258">
            <v>0</v>
          </cell>
          <cell r="CQ1258">
            <v>0</v>
          </cell>
          <cell r="CR1258">
            <v>0</v>
          </cell>
          <cell r="CS1258">
            <v>0</v>
          </cell>
          <cell r="CT1258">
            <v>0</v>
          </cell>
          <cell r="CU1258">
            <v>2.9160000000000002E-3</v>
          </cell>
          <cell r="CV1258">
            <v>51.12</v>
          </cell>
          <cell r="CW1258">
            <v>0</v>
          </cell>
          <cell r="CX1258">
            <v>0</v>
          </cell>
          <cell r="CY1258">
            <v>1.4580000000000001E-3</v>
          </cell>
          <cell r="CZ1258">
            <v>25.74</v>
          </cell>
          <cell r="DA1258">
            <v>0</v>
          </cell>
          <cell r="DB1258">
            <v>0</v>
          </cell>
          <cell r="DC1258">
            <v>0</v>
          </cell>
          <cell r="DD1258">
            <v>0</v>
          </cell>
          <cell r="DE1258">
            <v>1.4580000000000001E-3</v>
          </cell>
          <cell r="DF1258">
            <v>25.74</v>
          </cell>
          <cell r="DG1258">
            <v>0</v>
          </cell>
          <cell r="DH1258">
            <v>0</v>
          </cell>
          <cell r="DI1258">
            <v>0</v>
          </cell>
          <cell r="DJ1258">
            <v>0</v>
          </cell>
          <cell r="DK1258">
            <v>0</v>
          </cell>
          <cell r="DL1258">
            <v>0</v>
          </cell>
          <cell r="DM1258">
            <v>0</v>
          </cell>
          <cell r="DN1258">
            <v>0</v>
          </cell>
          <cell r="DO1258">
            <v>0</v>
          </cell>
          <cell r="DP1258">
            <v>0</v>
          </cell>
          <cell r="DQ1258">
            <v>0</v>
          </cell>
          <cell r="DR1258">
            <v>0</v>
          </cell>
          <cell r="DS1258">
            <v>2.9160000000000002E-3</v>
          </cell>
          <cell r="DT1258">
            <v>51.12</v>
          </cell>
          <cell r="DU1258">
            <v>2.9160000000000002E-3</v>
          </cell>
          <cell r="DV1258">
            <v>51.12</v>
          </cell>
          <cell r="DW1258">
            <v>1.3365E-2</v>
          </cell>
          <cell r="DX1258">
            <v>232.09</v>
          </cell>
          <cell r="DY1258" t="str">
            <v/>
          </cell>
          <cell r="DZ1258">
            <v>0</v>
          </cell>
          <cell r="EA1258">
            <v>17365.506921062475</v>
          </cell>
        </row>
        <row r="1259">
          <cell r="B1259">
            <v>304759</v>
          </cell>
          <cell r="C1259" t="str">
            <v>ულქერი_ჩხირები_მარილიანი_220გ*24</v>
          </cell>
          <cell r="D1259" t="str">
            <v>TON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4.8399999999999997E-3</v>
          </cell>
          <cell r="AD1259">
            <v>64.680000000000007</v>
          </cell>
          <cell r="AE1259">
            <v>0</v>
          </cell>
          <cell r="AF1259">
            <v>0</v>
          </cell>
          <cell r="AG1259">
            <v>5.28E-3</v>
          </cell>
          <cell r="AH1259">
            <v>70.56</v>
          </cell>
          <cell r="AI1259">
            <v>8.8000000000000005E-3</v>
          </cell>
          <cell r="AJ1259">
            <v>117.6</v>
          </cell>
          <cell r="AK1259">
            <v>4.4000000000000003E-3</v>
          </cell>
          <cell r="AL1259">
            <v>56.56</v>
          </cell>
          <cell r="AO1259">
            <v>2.332E-2</v>
          </cell>
          <cell r="AP1259">
            <v>309.39999999999998</v>
          </cell>
          <cell r="AS1259">
            <v>0</v>
          </cell>
          <cell r="AT1259">
            <v>0</v>
          </cell>
          <cell r="AU1259">
            <v>0.1386</v>
          </cell>
          <cell r="AV1259">
            <v>1762.25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  <cell r="BO1259">
            <v>6.6E-4</v>
          </cell>
          <cell r="BP1259">
            <v>8.82</v>
          </cell>
          <cell r="BQ1259">
            <v>0</v>
          </cell>
          <cell r="BR1259">
            <v>0</v>
          </cell>
          <cell r="BS1259">
            <v>6.6E-4</v>
          </cell>
          <cell r="BT1259">
            <v>8.82</v>
          </cell>
          <cell r="BU1259">
            <v>0</v>
          </cell>
          <cell r="BV1259">
            <v>0</v>
          </cell>
          <cell r="BW1259">
            <v>3.96E-3</v>
          </cell>
          <cell r="BX1259">
            <v>49.39</v>
          </cell>
          <cell r="BY1259">
            <v>1.7160000000000002E-2</v>
          </cell>
          <cell r="BZ1259">
            <v>210.34</v>
          </cell>
          <cell r="CA1259">
            <v>2.64E-3</v>
          </cell>
          <cell r="CB1259">
            <v>35.28</v>
          </cell>
          <cell r="CC1259">
            <v>0</v>
          </cell>
          <cell r="CD1259">
            <v>0</v>
          </cell>
          <cell r="CE1259">
            <v>2.0899999999999998E-2</v>
          </cell>
          <cell r="CF1259">
            <v>240.64</v>
          </cell>
          <cell r="CG1259">
            <v>0</v>
          </cell>
          <cell r="CH1259">
            <v>0</v>
          </cell>
          <cell r="CI1259">
            <v>4.4659999999999998E-2</v>
          </cell>
          <cell r="CJ1259">
            <v>535.65</v>
          </cell>
          <cell r="CK1259">
            <v>4.5319999999999999E-2</v>
          </cell>
          <cell r="CL1259">
            <v>544.47</v>
          </cell>
          <cell r="CO1259">
            <v>0</v>
          </cell>
          <cell r="CP1259">
            <v>0</v>
          </cell>
          <cell r="CQ1259">
            <v>0</v>
          </cell>
          <cell r="CR1259">
            <v>0</v>
          </cell>
          <cell r="CS1259">
            <v>0</v>
          </cell>
          <cell r="CT1259">
            <v>0</v>
          </cell>
          <cell r="CU1259">
            <v>4.6199999999999998E-2</v>
          </cell>
          <cell r="CV1259">
            <v>600.94000000000005</v>
          </cell>
          <cell r="CW1259">
            <v>0</v>
          </cell>
          <cell r="CX1259">
            <v>0</v>
          </cell>
          <cell r="CY1259">
            <v>2.112E-2</v>
          </cell>
          <cell r="CZ1259">
            <v>272.16000000000003</v>
          </cell>
          <cell r="DA1259">
            <v>2.64E-3</v>
          </cell>
          <cell r="DB1259">
            <v>35.28</v>
          </cell>
          <cell r="DC1259">
            <v>0</v>
          </cell>
          <cell r="DD1259">
            <v>0</v>
          </cell>
          <cell r="DE1259">
            <v>2.376E-2</v>
          </cell>
          <cell r="DF1259">
            <v>307.44000000000005</v>
          </cell>
          <cell r="DG1259">
            <v>0</v>
          </cell>
          <cell r="DH1259">
            <v>0</v>
          </cell>
          <cell r="DI1259">
            <v>0</v>
          </cell>
          <cell r="DJ1259">
            <v>0</v>
          </cell>
          <cell r="DK1259">
            <v>0</v>
          </cell>
          <cell r="DL1259">
            <v>0</v>
          </cell>
          <cell r="DM1259">
            <v>0</v>
          </cell>
          <cell r="DN1259">
            <v>0</v>
          </cell>
          <cell r="DO1259">
            <v>2.64E-3</v>
          </cell>
          <cell r="DP1259">
            <v>35.28</v>
          </cell>
          <cell r="DQ1259">
            <v>7.92E-3</v>
          </cell>
          <cell r="DR1259">
            <v>102.82</v>
          </cell>
          <cell r="DS1259">
            <v>3.5639999999999998E-2</v>
          </cell>
          <cell r="DT1259">
            <v>462.84</v>
          </cell>
          <cell r="DU1259">
            <v>4.6199999999999998E-2</v>
          </cell>
          <cell r="DV1259">
            <v>600.94000000000005</v>
          </cell>
          <cell r="DW1259">
            <v>0.1386</v>
          </cell>
          <cell r="DX1259">
            <v>1762.25</v>
          </cell>
          <cell r="DY1259" t="str">
            <v/>
          </cell>
          <cell r="DZ1259">
            <v>0</v>
          </cell>
          <cell r="EA1259">
            <v>12714.646464646465</v>
          </cell>
        </row>
        <row r="1260">
          <cell r="B1260">
            <v>304852</v>
          </cell>
          <cell r="C1260" t="str">
            <v>ულქერი_ჩხირები_მარილიანი_40გ*36</v>
          </cell>
          <cell r="D1260" t="str">
            <v>TON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1.4400000000000001E-3</v>
          </cell>
          <cell r="T1260">
            <v>17.28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1.4400000000000001E-3</v>
          </cell>
          <cell r="Z1260">
            <v>17.28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8.0000000000000004E-4</v>
          </cell>
          <cell r="AJ1260">
            <v>10</v>
          </cell>
          <cell r="AK1260">
            <v>0</v>
          </cell>
          <cell r="AL1260">
            <v>0</v>
          </cell>
          <cell r="AO1260">
            <v>8.0000000000000004E-4</v>
          </cell>
          <cell r="AP1260">
            <v>10</v>
          </cell>
          <cell r="AS1260">
            <v>0</v>
          </cell>
          <cell r="AT1260">
            <v>0</v>
          </cell>
          <cell r="AU1260">
            <v>1.8079999999999999E-2</v>
          </cell>
          <cell r="AV1260">
            <v>218.98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1.4400000000000001E-3</v>
          </cell>
          <cell r="BV1260">
            <v>18</v>
          </cell>
          <cell r="BW1260">
            <v>1.4400000000000001E-3</v>
          </cell>
          <cell r="BX1260">
            <v>17.46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4.3200000000000001E-3</v>
          </cell>
          <cell r="CF1260">
            <v>48.24</v>
          </cell>
          <cell r="CG1260">
            <v>0</v>
          </cell>
          <cell r="CH1260">
            <v>0</v>
          </cell>
          <cell r="CI1260">
            <v>7.1999999999999998E-3</v>
          </cell>
          <cell r="CJ1260">
            <v>83.7</v>
          </cell>
          <cell r="CK1260">
            <v>7.1999999999999998E-3</v>
          </cell>
          <cell r="CL1260">
            <v>83.7</v>
          </cell>
          <cell r="CO1260">
            <v>0</v>
          </cell>
          <cell r="CP1260">
            <v>0</v>
          </cell>
          <cell r="CQ1260">
            <v>0</v>
          </cell>
          <cell r="CR1260">
            <v>0</v>
          </cell>
          <cell r="CS1260">
            <v>0</v>
          </cell>
          <cell r="CT1260">
            <v>0</v>
          </cell>
          <cell r="CU1260">
            <v>0</v>
          </cell>
          <cell r="CV1260">
            <v>0</v>
          </cell>
          <cell r="CW1260">
            <v>0</v>
          </cell>
          <cell r="CX1260">
            <v>0</v>
          </cell>
          <cell r="CY1260">
            <v>8.6400000000000001E-3</v>
          </cell>
          <cell r="CZ1260">
            <v>108</v>
          </cell>
          <cell r="DA1260">
            <v>0</v>
          </cell>
          <cell r="DB1260">
            <v>0</v>
          </cell>
          <cell r="DC1260">
            <v>0</v>
          </cell>
          <cell r="DD1260">
            <v>0</v>
          </cell>
          <cell r="DE1260">
            <v>8.6400000000000001E-3</v>
          </cell>
          <cell r="DF1260">
            <v>108</v>
          </cell>
          <cell r="DG1260">
            <v>0</v>
          </cell>
          <cell r="DH1260">
            <v>0</v>
          </cell>
          <cell r="DI1260">
            <v>0</v>
          </cell>
          <cell r="DJ1260">
            <v>0</v>
          </cell>
          <cell r="DK1260">
            <v>0</v>
          </cell>
          <cell r="DL1260">
            <v>0</v>
          </cell>
          <cell r="DM1260">
            <v>0</v>
          </cell>
          <cell r="DN1260">
            <v>0</v>
          </cell>
          <cell r="DO1260">
            <v>0</v>
          </cell>
          <cell r="DP1260">
            <v>0</v>
          </cell>
          <cell r="DQ1260">
            <v>0</v>
          </cell>
          <cell r="DR1260">
            <v>0</v>
          </cell>
          <cell r="DS1260">
            <v>0</v>
          </cell>
          <cell r="DT1260">
            <v>0</v>
          </cell>
          <cell r="DU1260">
            <v>0</v>
          </cell>
          <cell r="DV1260">
            <v>0</v>
          </cell>
          <cell r="DW1260">
            <v>1.8079999999999999E-2</v>
          </cell>
          <cell r="DX1260">
            <v>218.98</v>
          </cell>
          <cell r="DY1260" t="str">
            <v/>
          </cell>
          <cell r="DZ1260">
            <v>0</v>
          </cell>
          <cell r="EA1260">
            <v>12111.725663716814</v>
          </cell>
        </row>
        <row r="1261">
          <cell r="B1261">
            <v>304522</v>
          </cell>
          <cell r="C1261" t="str">
            <v>ულქერი_ჩხირები_სეზამის მარცვლებით_125გ*20</v>
          </cell>
          <cell r="D1261" t="str">
            <v>TON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5.1250000000000002E-3</v>
          </cell>
          <cell r="AD1261">
            <v>99.22</v>
          </cell>
          <cell r="AE1261">
            <v>0</v>
          </cell>
          <cell r="AF1261">
            <v>0</v>
          </cell>
          <cell r="AG1261">
            <v>2.5000000000000001E-3</v>
          </cell>
          <cell r="AH1261">
            <v>48.4</v>
          </cell>
          <cell r="AI1261">
            <v>5.0000000000000001E-3</v>
          </cell>
          <cell r="AJ1261">
            <v>96.8</v>
          </cell>
          <cell r="AK1261">
            <v>3.375E-3</v>
          </cell>
          <cell r="AL1261">
            <v>63.94</v>
          </cell>
          <cell r="AO1261">
            <v>1.6E-2</v>
          </cell>
          <cell r="AP1261">
            <v>308.36</v>
          </cell>
          <cell r="AS1261">
            <v>0</v>
          </cell>
          <cell r="AT1261">
            <v>0</v>
          </cell>
          <cell r="AU1261">
            <v>7.85E-2</v>
          </cell>
          <cell r="AV1261">
            <v>1479.31</v>
          </cell>
          <cell r="AW1261">
            <v>0</v>
          </cell>
          <cell r="AX1261">
            <v>0</v>
          </cell>
          <cell r="AY1261">
            <v>1.25E-3</v>
          </cell>
          <cell r="AZ1261">
            <v>23.5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1.25E-3</v>
          </cell>
          <cell r="BF1261">
            <v>23.5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2.5000000000000001E-4</v>
          </cell>
          <cell r="BL1261">
            <v>4.84</v>
          </cell>
          <cell r="BM1261">
            <v>0</v>
          </cell>
          <cell r="BN1261">
            <v>0</v>
          </cell>
          <cell r="BO1261">
            <v>2.7499999999999998E-3</v>
          </cell>
          <cell r="BP1261">
            <v>53.24</v>
          </cell>
          <cell r="BQ1261">
            <v>0</v>
          </cell>
          <cell r="BR1261">
            <v>0</v>
          </cell>
          <cell r="BS1261">
            <v>3.0000000000000001E-3</v>
          </cell>
          <cell r="BT1261">
            <v>58.08</v>
          </cell>
          <cell r="BU1261">
            <v>7.4999999999999997E-3</v>
          </cell>
          <cell r="BV1261">
            <v>138.18</v>
          </cell>
          <cell r="BW1261">
            <v>7.5000000000000002E-4</v>
          </cell>
          <cell r="BX1261">
            <v>14.1</v>
          </cell>
          <cell r="BY1261">
            <v>5.875E-3</v>
          </cell>
          <cell r="BZ1261">
            <v>108.19</v>
          </cell>
          <cell r="CA1261">
            <v>3.6250000000000002E-3</v>
          </cell>
          <cell r="CB1261">
            <v>70.180000000000007</v>
          </cell>
          <cell r="CC1261">
            <v>0</v>
          </cell>
          <cell r="CD1261">
            <v>0</v>
          </cell>
          <cell r="CE1261">
            <v>1.1625E-2</v>
          </cell>
          <cell r="CF1261">
            <v>203.92</v>
          </cell>
          <cell r="CG1261">
            <v>0</v>
          </cell>
          <cell r="CH1261">
            <v>0</v>
          </cell>
          <cell r="CI1261">
            <v>2.9374999999999998E-2</v>
          </cell>
          <cell r="CJ1261">
            <v>534.57000000000005</v>
          </cell>
          <cell r="CK1261">
            <v>3.2375000000000001E-2</v>
          </cell>
          <cell r="CL1261">
            <v>592.65000000000009</v>
          </cell>
          <cell r="CO1261">
            <v>0</v>
          </cell>
          <cell r="CP1261">
            <v>0</v>
          </cell>
          <cell r="CQ1261">
            <v>0</v>
          </cell>
          <cell r="CR1261">
            <v>0</v>
          </cell>
          <cell r="CS1261">
            <v>0</v>
          </cell>
          <cell r="CT1261">
            <v>0</v>
          </cell>
          <cell r="CU1261">
            <v>1.2874999999999999E-2</v>
          </cell>
          <cell r="CV1261">
            <v>249.26</v>
          </cell>
          <cell r="CW1261">
            <v>0</v>
          </cell>
          <cell r="CX1261">
            <v>0</v>
          </cell>
          <cell r="CY1261">
            <v>1.2E-2</v>
          </cell>
          <cell r="CZ1261">
            <v>232.32</v>
          </cell>
          <cell r="DA1261">
            <v>1.5E-3</v>
          </cell>
          <cell r="DB1261">
            <v>29.04</v>
          </cell>
          <cell r="DC1261">
            <v>2.5000000000000001E-3</v>
          </cell>
          <cell r="DD1261">
            <v>44.18</v>
          </cell>
          <cell r="DE1261">
            <v>1.6E-2</v>
          </cell>
          <cell r="DF1261">
            <v>305.54000000000002</v>
          </cell>
          <cell r="DG1261">
            <v>0</v>
          </cell>
          <cell r="DH1261">
            <v>0</v>
          </cell>
          <cell r="DI1261">
            <v>0</v>
          </cell>
          <cell r="DJ1261">
            <v>0</v>
          </cell>
          <cell r="DK1261">
            <v>0</v>
          </cell>
          <cell r="DL1261">
            <v>0</v>
          </cell>
          <cell r="DM1261">
            <v>0</v>
          </cell>
          <cell r="DN1261">
            <v>0</v>
          </cell>
          <cell r="DO1261">
            <v>2.2499999999999998E-3</v>
          </cell>
          <cell r="DP1261">
            <v>43.56</v>
          </cell>
          <cell r="DQ1261">
            <v>2.5000000000000001E-3</v>
          </cell>
          <cell r="DR1261">
            <v>48.4</v>
          </cell>
          <cell r="DS1261">
            <v>8.1250000000000003E-3</v>
          </cell>
          <cell r="DT1261">
            <v>157.30000000000001</v>
          </cell>
          <cell r="DU1261">
            <v>1.2874999999999999E-2</v>
          </cell>
          <cell r="DV1261">
            <v>249.26</v>
          </cell>
          <cell r="DW1261">
            <v>7.85E-2</v>
          </cell>
          <cell r="DX1261">
            <v>1479.31</v>
          </cell>
          <cell r="DY1261" t="str">
            <v/>
          </cell>
          <cell r="DZ1261">
            <v>0</v>
          </cell>
          <cell r="EA1261">
            <v>18844.713375796178</v>
          </cell>
        </row>
        <row r="1262">
          <cell r="B1262">
            <v>304493</v>
          </cell>
          <cell r="C1262" t="str">
            <v>ულქერი_ჰანიმელერ_ასორტი_ბისკვიტი_180გ*15</v>
          </cell>
          <cell r="D1262" t="str">
            <v>TON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O1262">
            <v>0</v>
          </cell>
          <cell r="AP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N1262">
            <v>0</v>
          </cell>
          <cell r="BO1262">
            <v>0</v>
          </cell>
          <cell r="BP1262">
            <v>0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O1262">
            <v>0</v>
          </cell>
          <cell r="CP1262">
            <v>0</v>
          </cell>
          <cell r="CQ1262">
            <v>0</v>
          </cell>
          <cell r="CR1262">
            <v>0</v>
          </cell>
          <cell r="CS1262">
            <v>0</v>
          </cell>
          <cell r="CT1262">
            <v>0</v>
          </cell>
          <cell r="CU1262">
            <v>0</v>
          </cell>
          <cell r="CV1262">
            <v>0</v>
          </cell>
          <cell r="CW1262">
            <v>0</v>
          </cell>
          <cell r="CX1262">
            <v>0</v>
          </cell>
          <cell r="CY1262">
            <v>0</v>
          </cell>
          <cell r="CZ1262">
            <v>0</v>
          </cell>
          <cell r="DA1262">
            <v>0</v>
          </cell>
          <cell r="DB1262">
            <v>0</v>
          </cell>
          <cell r="DC1262">
            <v>0</v>
          </cell>
          <cell r="DD1262">
            <v>0</v>
          </cell>
          <cell r="DE1262">
            <v>0</v>
          </cell>
          <cell r="DF1262">
            <v>0</v>
          </cell>
          <cell r="DG1262">
            <v>0</v>
          </cell>
          <cell r="DH1262">
            <v>0</v>
          </cell>
          <cell r="DI1262">
            <v>0</v>
          </cell>
          <cell r="DJ1262">
            <v>0</v>
          </cell>
          <cell r="DK1262">
            <v>0</v>
          </cell>
          <cell r="DL1262">
            <v>0</v>
          </cell>
          <cell r="DM1262">
            <v>0</v>
          </cell>
          <cell r="DN1262">
            <v>0</v>
          </cell>
          <cell r="DO1262">
            <v>0</v>
          </cell>
          <cell r="DP1262">
            <v>0</v>
          </cell>
          <cell r="DQ1262">
            <v>0</v>
          </cell>
          <cell r="DR1262">
            <v>0</v>
          </cell>
          <cell r="DS1262">
            <v>0</v>
          </cell>
          <cell r="DT1262">
            <v>0</v>
          </cell>
          <cell r="DU1262">
            <v>0</v>
          </cell>
          <cell r="DV1262">
            <v>0</v>
          </cell>
          <cell r="DW1262">
            <v>0</v>
          </cell>
          <cell r="DX1262">
            <v>0</v>
          </cell>
          <cell r="DY1262" t="str">
            <v/>
          </cell>
          <cell r="DZ1262" t="str">
            <v>pasiv</v>
          </cell>
          <cell r="EA1262" t="e">
            <v>#DIV/0!</v>
          </cell>
        </row>
        <row r="1263">
          <cell r="B1263">
            <v>304540</v>
          </cell>
          <cell r="C1263" t="str">
            <v>ულქერი_ჰელი_სენდვიჩი შოკ.ზეფირი_30გ*24</v>
          </cell>
          <cell r="D1263" t="str">
            <v>TON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O1263">
            <v>0</v>
          </cell>
          <cell r="AP1263">
            <v>0</v>
          </cell>
          <cell r="AS1263">
            <v>0</v>
          </cell>
          <cell r="AT1263">
            <v>0</v>
          </cell>
          <cell r="AU1263">
            <v>1.2840000000000001E-2</v>
          </cell>
          <cell r="AV1263">
            <v>278.58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7.2000000000000005E-4</v>
          </cell>
          <cell r="BD1263">
            <v>16.059999999999999</v>
          </cell>
          <cell r="BE1263">
            <v>7.2000000000000005E-4</v>
          </cell>
          <cell r="BF1263">
            <v>16.059999999999999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7.2000000000000005E-4</v>
          </cell>
          <cell r="BL1263">
            <v>16.32</v>
          </cell>
          <cell r="BM1263">
            <v>0</v>
          </cell>
          <cell r="BN1263">
            <v>0</v>
          </cell>
          <cell r="BO1263">
            <v>1.4400000000000001E-3</v>
          </cell>
          <cell r="BP1263">
            <v>32.64</v>
          </cell>
          <cell r="BQ1263">
            <v>0</v>
          </cell>
          <cell r="BR1263">
            <v>0</v>
          </cell>
          <cell r="BS1263">
            <v>2.16E-3</v>
          </cell>
          <cell r="BT1263">
            <v>48.96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7.2000000000000005E-4</v>
          </cell>
          <cell r="BZ1263">
            <v>16.32</v>
          </cell>
          <cell r="CA1263">
            <v>2.16E-3</v>
          </cell>
          <cell r="CB1263">
            <v>48.96</v>
          </cell>
          <cell r="CC1263">
            <v>0</v>
          </cell>
          <cell r="CD1263">
            <v>0</v>
          </cell>
          <cell r="CE1263">
            <v>4.1999999999999997E-3</v>
          </cell>
          <cell r="CF1263">
            <v>82.52</v>
          </cell>
          <cell r="CG1263">
            <v>0</v>
          </cell>
          <cell r="CH1263">
            <v>0</v>
          </cell>
          <cell r="CI1263">
            <v>7.0800000000000004E-3</v>
          </cell>
          <cell r="CJ1263">
            <v>147.80000000000001</v>
          </cell>
          <cell r="CK1263">
            <v>9.2399999999999999E-3</v>
          </cell>
          <cell r="CL1263">
            <v>196.76000000000002</v>
          </cell>
          <cell r="CO1263">
            <v>0</v>
          </cell>
          <cell r="CP1263">
            <v>0</v>
          </cell>
          <cell r="CQ1263">
            <v>0</v>
          </cell>
          <cell r="CR1263">
            <v>0</v>
          </cell>
          <cell r="CS1263">
            <v>0</v>
          </cell>
          <cell r="CT1263">
            <v>0</v>
          </cell>
          <cell r="CU1263">
            <v>2.16E-3</v>
          </cell>
          <cell r="CV1263">
            <v>49.2</v>
          </cell>
          <cell r="CW1263">
            <v>0</v>
          </cell>
          <cell r="CX1263">
            <v>0</v>
          </cell>
          <cell r="CY1263">
            <v>0</v>
          </cell>
          <cell r="CZ1263">
            <v>0</v>
          </cell>
          <cell r="DA1263">
            <v>0</v>
          </cell>
          <cell r="DB1263">
            <v>0</v>
          </cell>
          <cell r="DC1263">
            <v>0</v>
          </cell>
          <cell r="DD1263">
            <v>0</v>
          </cell>
          <cell r="DE1263">
            <v>0</v>
          </cell>
          <cell r="DF1263">
            <v>0</v>
          </cell>
          <cell r="DG1263">
            <v>0</v>
          </cell>
          <cell r="DH1263">
            <v>0</v>
          </cell>
          <cell r="DI1263">
            <v>7.2000000000000005E-4</v>
          </cell>
          <cell r="DJ1263">
            <v>16.559999999999999</v>
          </cell>
          <cell r="DK1263">
            <v>0</v>
          </cell>
          <cell r="DL1263">
            <v>0</v>
          </cell>
          <cell r="DM1263">
            <v>7.2000000000000005E-4</v>
          </cell>
          <cell r="DN1263">
            <v>16.559999999999999</v>
          </cell>
          <cell r="DO1263">
            <v>0</v>
          </cell>
          <cell r="DP1263">
            <v>0</v>
          </cell>
          <cell r="DQ1263">
            <v>7.2000000000000005E-4</v>
          </cell>
          <cell r="DR1263">
            <v>16.32</v>
          </cell>
          <cell r="DS1263">
            <v>1.4400000000000001E-3</v>
          </cell>
          <cell r="DT1263">
            <v>32.880000000000003</v>
          </cell>
          <cell r="DU1263">
            <v>2.16E-3</v>
          </cell>
          <cell r="DV1263">
            <v>49.2</v>
          </cell>
          <cell r="DW1263">
            <v>1.2840000000000001E-2</v>
          </cell>
          <cell r="DX1263">
            <v>278.58000000000004</v>
          </cell>
          <cell r="DY1263" t="str">
            <v/>
          </cell>
          <cell r="DZ1263">
            <v>0</v>
          </cell>
          <cell r="EA1263">
            <v>21696.261682242992</v>
          </cell>
        </row>
        <row r="1264">
          <cell r="B1264">
            <v>305335</v>
          </cell>
          <cell r="C1264" t="str">
            <v>ულქერი_ჰელი_სენდვიჩი_შოკ.ზეფირით_240გ*12</v>
          </cell>
          <cell r="D1264" t="str">
            <v>TON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2.256E-2</v>
          </cell>
          <cell r="AD1264">
            <v>493.8</v>
          </cell>
          <cell r="AE1264">
            <v>0</v>
          </cell>
          <cell r="AF1264">
            <v>0</v>
          </cell>
          <cell r="AG1264">
            <v>2.16E-3</v>
          </cell>
          <cell r="AH1264">
            <v>47.25</v>
          </cell>
          <cell r="AI1264">
            <v>1.008E-2</v>
          </cell>
          <cell r="AJ1264">
            <v>220.5</v>
          </cell>
          <cell r="AK1264">
            <v>1.7760000000000001E-2</v>
          </cell>
          <cell r="AL1264">
            <v>388.5</v>
          </cell>
          <cell r="AO1264">
            <v>5.2559999999999996E-2</v>
          </cell>
          <cell r="AP1264">
            <v>1150.05</v>
          </cell>
          <cell r="AS1264">
            <v>0</v>
          </cell>
          <cell r="AT1264">
            <v>0</v>
          </cell>
          <cell r="AU1264">
            <v>0.20088</v>
          </cell>
          <cell r="AV1264">
            <v>4170.13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2.8800000000000002E-3</v>
          </cell>
          <cell r="BD1264">
            <v>61.69</v>
          </cell>
          <cell r="BE1264">
            <v>2.8800000000000002E-3</v>
          </cell>
          <cell r="BF1264">
            <v>61.69</v>
          </cell>
          <cell r="BG1264">
            <v>2.64E-3</v>
          </cell>
          <cell r="BH1264">
            <v>57.75</v>
          </cell>
          <cell r="BI1264">
            <v>0</v>
          </cell>
          <cell r="BJ1264">
            <v>0</v>
          </cell>
          <cell r="BK1264">
            <v>6.2399999999999999E-3</v>
          </cell>
          <cell r="BL1264">
            <v>136.5</v>
          </cell>
          <cell r="BM1264">
            <v>9.6000000000000002E-4</v>
          </cell>
          <cell r="BN1264">
            <v>21</v>
          </cell>
          <cell r="BO1264">
            <v>4.8000000000000001E-4</v>
          </cell>
          <cell r="BP1264">
            <v>10.5</v>
          </cell>
          <cell r="BQ1264">
            <v>0</v>
          </cell>
          <cell r="BR1264">
            <v>0</v>
          </cell>
          <cell r="BS1264">
            <v>1.1039999999999999E-2</v>
          </cell>
          <cell r="BT1264">
            <v>241.5</v>
          </cell>
          <cell r="BU1264">
            <v>4.3200000000000001E-3</v>
          </cell>
          <cell r="BV1264">
            <v>93.5</v>
          </cell>
          <cell r="BW1264">
            <v>1.4400000000000001E-3</v>
          </cell>
          <cell r="BX1264">
            <v>30.85</v>
          </cell>
          <cell r="BY1264">
            <v>1.92E-3</v>
          </cell>
          <cell r="BZ1264">
            <v>41.2</v>
          </cell>
          <cell r="CA1264">
            <v>8.6400000000000001E-3</v>
          </cell>
          <cell r="CB1264">
            <v>189</v>
          </cell>
          <cell r="CC1264">
            <v>1.92E-3</v>
          </cell>
          <cell r="CD1264">
            <v>42</v>
          </cell>
          <cell r="CE1264">
            <v>4.6080000000000003E-2</v>
          </cell>
          <cell r="CF1264">
            <v>854.78</v>
          </cell>
          <cell r="CG1264">
            <v>0</v>
          </cell>
          <cell r="CH1264">
            <v>0</v>
          </cell>
          <cell r="CI1264">
            <v>6.4320000000000002E-2</v>
          </cell>
          <cell r="CJ1264">
            <v>1251.33</v>
          </cell>
          <cell r="CK1264">
            <v>7.5359999999999996E-2</v>
          </cell>
          <cell r="CL1264">
            <v>1492.83</v>
          </cell>
          <cell r="CO1264">
            <v>0</v>
          </cell>
          <cell r="CP1264">
            <v>0</v>
          </cell>
          <cell r="CQ1264">
            <v>0</v>
          </cell>
          <cell r="CR1264">
            <v>0</v>
          </cell>
          <cell r="CS1264">
            <v>0</v>
          </cell>
          <cell r="CT1264">
            <v>0</v>
          </cell>
          <cell r="CU1264">
            <v>1.5599999999999999E-2</v>
          </cell>
          <cell r="CV1264">
            <v>341.85</v>
          </cell>
          <cell r="CW1264">
            <v>0</v>
          </cell>
          <cell r="CX1264">
            <v>0</v>
          </cell>
          <cell r="CY1264">
            <v>3.456E-2</v>
          </cell>
          <cell r="CZ1264">
            <v>687.96</v>
          </cell>
          <cell r="DA1264">
            <v>8.6400000000000001E-3</v>
          </cell>
          <cell r="DB1264">
            <v>189</v>
          </cell>
          <cell r="DC1264">
            <v>0</v>
          </cell>
          <cell r="DD1264">
            <v>0</v>
          </cell>
          <cell r="DE1264">
            <v>4.3200000000000002E-2</v>
          </cell>
          <cell r="DF1264">
            <v>876.96</v>
          </cell>
          <cell r="DG1264">
            <v>4.8000000000000001E-4</v>
          </cell>
          <cell r="DH1264">
            <v>10.5</v>
          </cell>
          <cell r="DI1264">
            <v>6.96E-3</v>
          </cell>
          <cell r="DJ1264">
            <v>152.25</v>
          </cell>
          <cell r="DK1264">
            <v>3.8400000000000001E-3</v>
          </cell>
          <cell r="DL1264">
            <v>84</v>
          </cell>
          <cell r="DM1264">
            <v>1.128E-2</v>
          </cell>
          <cell r="DN1264">
            <v>246.75</v>
          </cell>
          <cell r="DO1264">
            <v>1.92E-3</v>
          </cell>
          <cell r="DP1264">
            <v>42</v>
          </cell>
          <cell r="DQ1264">
            <v>9.8399999999999998E-3</v>
          </cell>
          <cell r="DR1264">
            <v>215.85</v>
          </cell>
          <cell r="DS1264">
            <v>3.8400000000000001E-3</v>
          </cell>
          <cell r="DT1264">
            <v>84</v>
          </cell>
          <cell r="DU1264">
            <v>1.5599999999999999E-2</v>
          </cell>
          <cell r="DV1264">
            <v>341.85</v>
          </cell>
          <cell r="DW1264">
            <v>0.20088</v>
          </cell>
          <cell r="DX1264">
            <v>4170.13</v>
          </cell>
          <cell r="DY1264" t="str">
            <v/>
          </cell>
          <cell r="DZ1264">
            <v>0</v>
          </cell>
          <cell r="EA1264">
            <v>20759.309040223019</v>
          </cell>
        </row>
        <row r="1265">
          <cell r="A1265">
            <v>135</v>
          </cell>
          <cell r="C1265" t="str">
            <v>ULKER URUMLER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1.7476000000000002E-2</v>
          </cell>
          <cell r="T1265">
            <v>276.09000000000003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1.7476000000000002E-2</v>
          </cell>
          <cell r="Z1265">
            <v>276.09000000000003</v>
          </cell>
          <cell r="AA1265">
            <v>0</v>
          </cell>
          <cell r="AB1265">
            <v>0</v>
          </cell>
          <cell r="AC1265">
            <v>0.14161899999999999</v>
          </cell>
          <cell r="AD1265">
            <v>3057.18</v>
          </cell>
          <cell r="AE1265">
            <v>3.189E-3</v>
          </cell>
          <cell r="AF1265">
            <v>62.66</v>
          </cell>
          <cell r="AG1265">
            <v>3.7756000000000005E-2</v>
          </cell>
          <cell r="AH1265">
            <v>830.36</v>
          </cell>
          <cell r="AI1265">
            <v>0.11466300000000003</v>
          </cell>
          <cell r="AJ1265">
            <v>2419.96</v>
          </cell>
          <cell r="AK1265">
            <v>0.15307299999999996</v>
          </cell>
          <cell r="AL1265">
            <v>3224.28</v>
          </cell>
          <cell r="AO1265">
            <v>0.45029999999999998</v>
          </cell>
          <cell r="AP1265">
            <v>9594.44</v>
          </cell>
          <cell r="AS1265">
            <v>0</v>
          </cell>
          <cell r="AT1265">
            <v>0</v>
          </cell>
          <cell r="AU1265">
            <v>3.1313866999999997</v>
          </cell>
          <cell r="AV1265">
            <v>61670.220000000038</v>
          </cell>
          <cell r="AW1265">
            <v>0</v>
          </cell>
          <cell r="AX1265">
            <v>0</v>
          </cell>
          <cell r="AY1265">
            <v>0.113422</v>
          </cell>
          <cell r="AZ1265">
            <v>2314.9899999999998</v>
          </cell>
          <cell r="BA1265">
            <v>0</v>
          </cell>
          <cell r="BB1265">
            <v>0</v>
          </cell>
          <cell r="BC1265">
            <v>4.5774000000000009E-2</v>
          </cell>
          <cell r="BD1265">
            <v>709.68999999999983</v>
          </cell>
          <cell r="BE1265">
            <v>0.15919599999999998</v>
          </cell>
          <cell r="BF1265">
            <v>3024.6799999999989</v>
          </cell>
          <cell r="BG1265">
            <v>5.6597999999999996E-2</v>
          </cell>
          <cell r="BH1265">
            <v>1266.29</v>
          </cell>
          <cell r="BI1265">
            <v>-3.2118999999999997E-3</v>
          </cell>
          <cell r="BJ1265">
            <v>-65.430000000000007</v>
          </cell>
          <cell r="BK1265">
            <v>4.8565999999999998E-2</v>
          </cell>
          <cell r="BL1265">
            <v>1009.57</v>
          </cell>
          <cell r="BM1265">
            <v>4.0094000000000005E-2</v>
          </cell>
          <cell r="BN1265">
            <v>840.07999999999993</v>
          </cell>
          <cell r="BO1265">
            <v>8.6945000000000008E-2</v>
          </cell>
          <cell r="BP1265">
            <v>1762.59</v>
          </cell>
          <cell r="BQ1265">
            <v>0</v>
          </cell>
          <cell r="BR1265">
            <v>0</v>
          </cell>
          <cell r="BS1265">
            <v>0.2315711</v>
          </cell>
          <cell r="BT1265">
            <v>4856.9599999999982</v>
          </cell>
          <cell r="BU1265">
            <v>8.5871400000000001E-2</v>
          </cell>
          <cell r="BV1265">
            <v>1637.9400000000003</v>
          </cell>
          <cell r="BW1265">
            <v>0.10935480000000003</v>
          </cell>
          <cell r="BX1265">
            <v>2202.2999999999997</v>
          </cell>
          <cell r="BY1265">
            <v>0.10163000000000001</v>
          </cell>
          <cell r="BZ1265">
            <v>1727.96</v>
          </cell>
          <cell r="CA1265">
            <v>8.8526999999999995E-2</v>
          </cell>
          <cell r="CB1265">
            <v>1915.2600000000007</v>
          </cell>
          <cell r="CC1265">
            <v>1.24E-2</v>
          </cell>
          <cell r="CD1265">
            <v>242.1</v>
          </cell>
          <cell r="CE1265">
            <v>0.65728059999999999</v>
          </cell>
          <cell r="CF1265">
            <v>11603.099999999999</v>
          </cell>
          <cell r="CG1265">
            <v>0</v>
          </cell>
          <cell r="CH1265">
            <v>0</v>
          </cell>
          <cell r="CI1265">
            <v>1.0550637999999997</v>
          </cell>
          <cell r="CJ1265">
            <v>19328.660000000003</v>
          </cell>
          <cell r="CK1265">
            <v>1.2866348999999995</v>
          </cell>
          <cell r="CL1265">
            <v>24185.619999999988</v>
          </cell>
          <cell r="CO1265">
            <v>0</v>
          </cell>
          <cell r="CP1265">
            <v>0</v>
          </cell>
          <cell r="CQ1265">
            <v>0</v>
          </cell>
          <cell r="CR1265">
            <v>0</v>
          </cell>
          <cell r="CS1265">
            <v>0</v>
          </cell>
          <cell r="CT1265">
            <v>0</v>
          </cell>
          <cell r="CU1265">
            <v>0.363263</v>
          </cell>
          <cell r="CV1265">
            <v>7154.96</v>
          </cell>
          <cell r="CW1265">
            <v>0</v>
          </cell>
          <cell r="CX1265">
            <v>0</v>
          </cell>
          <cell r="CY1265">
            <v>0.50369680000000006</v>
          </cell>
          <cell r="CZ1265">
            <v>10106.399999999998</v>
          </cell>
          <cell r="DA1265">
            <v>9.090299999999997E-2</v>
          </cell>
          <cell r="DB1265">
            <v>1746.81</v>
          </cell>
          <cell r="DC1265">
            <v>0.15151300000000001</v>
          </cell>
          <cell r="DD1265">
            <v>3355.389999999999</v>
          </cell>
          <cell r="DE1265">
            <v>0.74611280000000013</v>
          </cell>
          <cell r="DF1265">
            <v>15208.599999999999</v>
          </cell>
          <cell r="DG1265">
            <v>1.201E-2</v>
          </cell>
          <cell r="DH1265">
            <v>271.54999999999995</v>
          </cell>
          <cell r="DI1265">
            <v>5.1061999999999996E-2</v>
          </cell>
          <cell r="DJ1265">
            <v>1060.8</v>
          </cell>
          <cell r="DK1265">
            <v>4.501200000000001E-2</v>
          </cell>
          <cell r="DL1265">
            <v>887.51000000000022</v>
          </cell>
          <cell r="DM1265">
            <v>0.108084</v>
          </cell>
          <cell r="DN1265">
            <v>2219.86</v>
          </cell>
          <cell r="DO1265">
            <v>5.7481999999999998E-2</v>
          </cell>
          <cell r="DP1265">
            <v>1165.5899999999999</v>
          </cell>
          <cell r="DQ1265">
            <v>9.6860000000000002E-2</v>
          </cell>
          <cell r="DR1265">
            <v>1864.2500000000002</v>
          </cell>
          <cell r="DS1265">
            <v>0.20892100000000002</v>
          </cell>
          <cell r="DT1265">
            <v>4125.1200000000008</v>
          </cell>
          <cell r="DU1265">
            <v>0.363263</v>
          </cell>
          <cell r="DV1265">
            <v>7154.96</v>
          </cell>
          <cell r="DW1265">
            <v>3.1310666999999999</v>
          </cell>
          <cell r="DX1265">
            <v>61664.250000000029</v>
          </cell>
          <cell r="DZ1265">
            <v>0</v>
          </cell>
          <cell r="EA1265">
            <v>19694.326537342698</v>
          </cell>
        </row>
        <row r="1266">
          <cell r="B1266">
            <v>374572</v>
          </cell>
          <cell r="C1266" t="str">
            <v>სუხარიკი_FANAT_ცხარე-ტომატის გემოთი_30გ*10*15</v>
          </cell>
          <cell r="D1266" t="str">
            <v>TON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O1266">
            <v>0</v>
          </cell>
          <cell r="AP1266">
            <v>0</v>
          </cell>
          <cell r="AS1266">
            <v>0</v>
          </cell>
          <cell r="AT1266">
            <v>0</v>
          </cell>
          <cell r="AU1266">
            <v>4.4999999999999999E-4</v>
          </cell>
          <cell r="AV1266">
            <v>6.3</v>
          </cell>
          <cell r="AW1266">
            <v>0</v>
          </cell>
          <cell r="AX1266">
            <v>0</v>
          </cell>
          <cell r="AY1266">
            <v>4.4999999999999999E-4</v>
          </cell>
          <cell r="AZ1266">
            <v>6.3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4.4999999999999999E-4</v>
          </cell>
          <cell r="BF1266">
            <v>6.3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0</v>
          </cell>
          <cell r="CB1266">
            <v>0</v>
          </cell>
          <cell r="CC1266">
            <v>0</v>
          </cell>
          <cell r="CD1266">
            <v>0</v>
          </cell>
          <cell r="CE1266">
            <v>0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O1266">
            <v>0</v>
          </cell>
          <cell r="CP1266">
            <v>0</v>
          </cell>
          <cell r="CQ1266">
            <v>0</v>
          </cell>
          <cell r="CR1266">
            <v>0</v>
          </cell>
          <cell r="CS1266">
            <v>0</v>
          </cell>
          <cell r="CT1266">
            <v>0</v>
          </cell>
          <cell r="CU1266">
            <v>0</v>
          </cell>
          <cell r="CV1266">
            <v>0</v>
          </cell>
          <cell r="CW1266">
            <v>0</v>
          </cell>
          <cell r="CX1266">
            <v>0</v>
          </cell>
          <cell r="CY1266">
            <v>0</v>
          </cell>
          <cell r="CZ1266">
            <v>0</v>
          </cell>
          <cell r="DA1266">
            <v>0</v>
          </cell>
          <cell r="DB1266">
            <v>0</v>
          </cell>
          <cell r="DC1266">
            <v>0</v>
          </cell>
          <cell r="DD1266">
            <v>0</v>
          </cell>
          <cell r="DE1266">
            <v>0</v>
          </cell>
          <cell r="DF1266">
            <v>0</v>
          </cell>
          <cell r="DG1266">
            <v>0</v>
          </cell>
          <cell r="DH1266">
            <v>0</v>
          </cell>
          <cell r="DI1266">
            <v>0</v>
          </cell>
          <cell r="DJ1266">
            <v>0</v>
          </cell>
          <cell r="DK1266">
            <v>0</v>
          </cell>
          <cell r="DL1266">
            <v>0</v>
          </cell>
          <cell r="DM1266">
            <v>0</v>
          </cell>
          <cell r="DN1266">
            <v>0</v>
          </cell>
          <cell r="DO1266">
            <v>0</v>
          </cell>
          <cell r="DP1266">
            <v>0</v>
          </cell>
          <cell r="DQ1266">
            <v>0</v>
          </cell>
          <cell r="DR1266">
            <v>0</v>
          </cell>
          <cell r="DS1266">
            <v>0</v>
          </cell>
          <cell r="DT1266">
            <v>0</v>
          </cell>
          <cell r="DU1266">
            <v>0</v>
          </cell>
          <cell r="DV1266">
            <v>0</v>
          </cell>
          <cell r="DW1266">
            <v>4.4999999999999999E-4</v>
          </cell>
          <cell r="DX1266">
            <v>6.3</v>
          </cell>
          <cell r="DY1266" t="str">
            <v/>
          </cell>
          <cell r="DZ1266">
            <v>0</v>
          </cell>
          <cell r="EA1266">
            <v>14000</v>
          </cell>
        </row>
        <row r="1267">
          <cell r="B1267">
            <v>374378</v>
          </cell>
          <cell r="C1267" t="str">
            <v>სუხარიკი_FANAT_შაურმის გემოთი_30გ*10*15</v>
          </cell>
          <cell r="D1267" t="str">
            <v>TON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O1267">
            <v>0</v>
          </cell>
          <cell r="AP1267">
            <v>0</v>
          </cell>
          <cell r="AS1267">
            <v>0</v>
          </cell>
          <cell r="AT1267">
            <v>0</v>
          </cell>
          <cell r="AU1267">
            <v>4.4999999999999999E-4</v>
          </cell>
          <cell r="AV1267">
            <v>6.3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O1267">
            <v>0</v>
          </cell>
          <cell r="CP1267">
            <v>0</v>
          </cell>
          <cell r="CQ1267">
            <v>0</v>
          </cell>
          <cell r="CR1267">
            <v>0</v>
          </cell>
          <cell r="CS1267">
            <v>0</v>
          </cell>
          <cell r="CT1267">
            <v>0</v>
          </cell>
          <cell r="CU1267">
            <v>0</v>
          </cell>
          <cell r="CV1267">
            <v>0</v>
          </cell>
          <cell r="CW1267">
            <v>0</v>
          </cell>
          <cell r="CX1267">
            <v>0</v>
          </cell>
          <cell r="CY1267">
            <v>4.4999999999999999E-4</v>
          </cell>
          <cell r="CZ1267">
            <v>6.3</v>
          </cell>
          <cell r="DA1267">
            <v>0</v>
          </cell>
          <cell r="DB1267">
            <v>0</v>
          </cell>
          <cell r="DC1267">
            <v>0</v>
          </cell>
          <cell r="DD1267">
            <v>0</v>
          </cell>
          <cell r="DE1267">
            <v>4.4999999999999999E-4</v>
          </cell>
          <cell r="DF1267">
            <v>6.3</v>
          </cell>
          <cell r="DG1267">
            <v>0</v>
          </cell>
          <cell r="DH1267">
            <v>0</v>
          </cell>
          <cell r="DI1267">
            <v>0</v>
          </cell>
          <cell r="DJ1267">
            <v>0</v>
          </cell>
          <cell r="DK1267">
            <v>0</v>
          </cell>
          <cell r="DL1267">
            <v>0</v>
          </cell>
          <cell r="DM1267">
            <v>0</v>
          </cell>
          <cell r="DN1267">
            <v>0</v>
          </cell>
          <cell r="DO1267">
            <v>0</v>
          </cell>
          <cell r="DP1267">
            <v>0</v>
          </cell>
          <cell r="DQ1267">
            <v>0</v>
          </cell>
          <cell r="DR1267">
            <v>0</v>
          </cell>
          <cell r="DS1267">
            <v>0</v>
          </cell>
          <cell r="DT1267">
            <v>0</v>
          </cell>
          <cell r="DU1267">
            <v>0</v>
          </cell>
          <cell r="DV1267">
            <v>0</v>
          </cell>
          <cell r="DW1267">
            <v>4.4999999999999999E-4</v>
          </cell>
          <cell r="DX1267">
            <v>6.3</v>
          </cell>
          <cell r="DY1267" t="str">
            <v/>
          </cell>
          <cell r="DZ1267">
            <v>0</v>
          </cell>
          <cell r="EA1267">
            <v>14000</v>
          </cell>
        </row>
        <row r="1268">
          <cell r="B1268">
            <v>374382</v>
          </cell>
          <cell r="C1268" t="str">
            <v>სუხარიკი_FANAT_მწვადის გემოთი_30გ*10*15</v>
          </cell>
          <cell r="D1268" t="str">
            <v>TON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O1268">
            <v>0</v>
          </cell>
          <cell r="AP1268">
            <v>0</v>
          </cell>
          <cell r="AS1268">
            <v>0</v>
          </cell>
          <cell r="AT1268">
            <v>0</v>
          </cell>
          <cell r="AU1268">
            <v>4.4999999999999999E-4</v>
          </cell>
          <cell r="AV1268">
            <v>6.3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O1268">
            <v>0</v>
          </cell>
          <cell r="CP1268">
            <v>0</v>
          </cell>
          <cell r="CQ1268">
            <v>0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0</v>
          </cell>
          <cell r="CX1268">
            <v>0</v>
          </cell>
          <cell r="CY1268">
            <v>4.4999999999999999E-4</v>
          </cell>
          <cell r="CZ1268">
            <v>6.3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4.4999999999999999E-4</v>
          </cell>
          <cell r="DF1268">
            <v>6.3</v>
          </cell>
          <cell r="DG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  <cell r="DL1268">
            <v>0</v>
          </cell>
          <cell r="DM1268">
            <v>0</v>
          </cell>
          <cell r="DN1268">
            <v>0</v>
          </cell>
          <cell r="DO1268">
            <v>0</v>
          </cell>
          <cell r="DP1268">
            <v>0</v>
          </cell>
          <cell r="DQ1268">
            <v>0</v>
          </cell>
          <cell r="DR1268">
            <v>0</v>
          </cell>
          <cell r="DS1268">
            <v>0</v>
          </cell>
          <cell r="DT1268">
            <v>0</v>
          </cell>
          <cell r="DU1268">
            <v>0</v>
          </cell>
          <cell r="DV1268">
            <v>0</v>
          </cell>
          <cell r="DW1268">
            <v>4.4999999999999999E-4</v>
          </cell>
          <cell r="DX1268">
            <v>6.3</v>
          </cell>
          <cell r="DY1268" t="str">
            <v/>
          </cell>
          <cell r="DZ1268">
            <v>0</v>
          </cell>
          <cell r="EA1268">
            <v>14000</v>
          </cell>
        </row>
        <row r="1269">
          <cell r="B1269">
            <v>374482</v>
          </cell>
          <cell r="C1269" t="str">
            <v>სუხარიკი_FANAT_შებოლილი ძეხვის გემოთი_30გ*10*15</v>
          </cell>
          <cell r="D1269" t="str">
            <v>TON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O1269">
            <v>0</v>
          </cell>
          <cell r="AP1269">
            <v>0</v>
          </cell>
          <cell r="AS1269">
            <v>0</v>
          </cell>
          <cell r="AT1269">
            <v>0</v>
          </cell>
          <cell r="AU1269">
            <v>8.9999999999999998E-4</v>
          </cell>
          <cell r="AV1269">
            <v>12.6</v>
          </cell>
          <cell r="AW1269">
            <v>0</v>
          </cell>
          <cell r="AX1269">
            <v>0</v>
          </cell>
          <cell r="AY1269">
            <v>4.4999999999999999E-4</v>
          </cell>
          <cell r="AZ1269">
            <v>6.3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4.4999999999999999E-4</v>
          </cell>
          <cell r="BF1269">
            <v>6.3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0</v>
          </cell>
          <cell r="CB1269">
            <v>0</v>
          </cell>
          <cell r="CC1269">
            <v>0</v>
          </cell>
          <cell r="CD1269">
            <v>0</v>
          </cell>
          <cell r="CE1269">
            <v>0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O1269">
            <v>0</v>
          </cell>
          <cell r="CP1269">
            <v>0</v>
          </cell>
          <cell r="CQ1269">
            <v>0</v>
          </cell>
          <cell r="CR1269">
            <v>0</v>
          </cell>
          <cell r="CS1269">
            <v>0</v>
          </cell>
          <cell r="CT1269">
            <v>0</v>
          </cell>
          <cell r="CU1269">
            <v>0</v>
          </cell>
          <cell r="CV1269">
            <v>0</v>
          </cell>
          <cell r="CW1269">
            <v>0</v>
          </cell>
          <cell r="CX1269">
            <v>0</v>
          </cell>
          <cell r="CY1269">
            <v>4.4999999999999999E-4</v>
          </cell>
          <cell r="CZ1269">
            <v>6.3</v>
          </cell>
          <cell r="DA1269">
            <v>0</v>
          </cell>
          <cell r="DB1269">
            <v>0</v>
          </cell>
          <cell r="DC1269">
            <v>0</v>
          </cell>
          <cell r="DD1269">
            <v>0</v>
          </cell>
          <cell r="DE1269">
            <v>4.4999999999999999E-4</v>
          </cell>
          <cell r="DF1269">
            <v>6.3</v>
          </cell>
          <cell r="DG1269">
            <v>0</v>
          </cell>
          <cell r="DH1269">
            <v>0</v>
          </cell>
          <cell r="DI1269">
            <v>0</v>
          </cell>
          <cell r="DJ1269">
            <v>0</v>
          </cell>
          <cell r="DK1269">
            <v>0</v>
          </cell>
          <cell r="DL1269">
            <v>0</v>
          </cell>
          <cell r="DM1269">
            <v>0</v>
          </cell>
          <cell r="DN1269">
            <v>0</v>
          </cell>
          <cell r="DO1269">
            <v>0</v>
          </cell>
          <cell r="DP1269">
            <v>0</v>
          </cell>
          <cell r="DQ1269">
            <v>0</v>
          </cell>
          <cell r="DR1269">
            <v>0</v>
          </cell>
          <cell r="DS1269">
            <v>0</v>
          </cell>
          <cell r="DT1269">
            <v>0</v>
          </cell>
          <cell r="DU1269">
            <v>0</v>
          </cell>
          <cell r="DV1269">
            <v>0</v>
          </cell>
          <cell r="DW1269">
            <v>8.9999999999999998E-4</v>
          </cell>
          <cell r="DX1269">
            <v>12.6</v>
          </cell>
          <cell r="DY1269" t="str">
            <v/>
          </cell>
          <cell r="DZ1269">
            <v>0</v>
          </cell>
          <cell r="EA1269">
            <v>14000</v>
          </cell>
        </row>
        <row r="1270">
          <cell r="B1270">
            <v>374380</v>
          </cell>
          <cell r="C1270" t="str">
            <v>სუხარიკი_FANAT_ხბოს ხორც.აჯიკის გემოთი_30გ*10*15</v>
          </cell>
          <cell r="D1270" t="str">
            <v>TON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O1270">
            <v>0</v>
          </cell>
          <cell r="AP1270">
            <v>0</v>
          </cell>
          <cell r="AS1270">
            <v>0</v>
          </cell>
          <cell r="AT1270">
            <v>0</v>
          </cell>
          <cell r="AU1270">
            <v>4.4999999999999999E-4</v>
          </cell>
          <cell r="AV1270">
            <v>6.3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0</v>
          </cell>
          <cell r="CB1270">
            <v>0</v>
          </cell>
          <cell r="CC1270">
            <v>0</v>
          </cell>
          <cell r="CD1270">
            <v>0</v>
          </cell>
          <cell r="CE1270">
            <v>0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O1270">
            <v>0</v>
          </cell>
          <cell r="CP1270">
            <v>0</v>
          </cell>
          <cell r="CQ1270">
            <v>0</v>
          </cell>
          <cell r="CR1270">
            <v>0</v>
          </cell>
          <cell r="CS1270">
            <v>0</v>
          </cell>
          <cell r="CT1270">
            <v>0</v>
          </cell>
          <cell r="CU1270">
            <v>0</v>
          </cell>
          <cell r="CV1270">
            <v>0</v>
          </cell>
          <cell r="CW1270">
            <v>0</v>
          </cell>
          <cell r="CX1270">
            <v>0</v>
          </cell>
          <cell r="CY1270">
            <v>4.4999999999999999E-4</v>
          </cell>
          <cell r="CZ1270">
            <v>6.3</v>
          </cell>
          <cell r="DA1270">
            <v>0</v>
          </cell>
          <cell r="DB1270">
            <v>0</v>
          </cell>
          <cell r="DC1270">
            <v>0</v>
          </cell>
          <cell r="DD1270">
            <v>0</v>
          </cell>
          <cell r="DE1270">
            <v>4.4999999999999999E-4</v>
          </cell>
          <cell r="DF1270">
            <v>6.3</v>
          </cell>
          <cell r="DG1270">
            <v>0</v>
          </cell>
          <cell r="DH1270">
            <v>0</v>
          </cell>
          <cell r="DI1270">
            <v>0</v>
          </cell>
          <cell r="DJ1270">
            <v>0</v>
          </cell>
          <cell r="DK1270">
            <v>0</v>
          </cell>
          <cell r="DL1270">
            <v>0</v>
          </cell>
          <cell r="DM1270">
            <v>0</v>
          </cell>
          <cell r="DN1270">
            <v>0</v>
          </cell>
          <cell r="DO1270">
            <v>0</v>
          </cell>
          <cell r="DP1270">
            <v>0</v>
          </cell>
          <cell r="DQ1270">
            <v>0</v>
          </cell>
          <cell r="DR1270">
            <v>0</v>
          </cell>
          <cell r="DS1270">
            <v>0</v>
          </cell>
          <cell r="DT1270">
            <v>0</v>
          </cell>
          <cell r="DU1270">
            <v>0</v>
          </cell>
          <cell r="DV1270">
            <v>0</v>
          </cell>
          <cell r="DW1270">
            <v>4.4999999999999999E-4</v>
          </cell>
          <cell r="DX1270">
            <v>6.3</v>
          </cell>
          <cell r="DY1270" t="str">
            <v/>
          </cell>
          <cell r="DZ1270">
            <v>0</v>
          </cell>
          <cell r="EA1270">
            <v>14000</v>
          </cell>
        </row>
        <row r="1271">
          <cell r="B1271">
            <v>377315</v>
          </cell>
          <cell r="C1271" t="str">
            <v>მიწისთხილი_FANNUTS_60გ*80-მარილიანი</v>
          </cell>
          <cell r="D1271" t="str">
            <v>TON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O1271">
            <v>0</v>
          </cell>
          <cell r="AP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O1271">
            <v>0</v>
          </cell>
          <cell r="CP1271">
            <v>0</v>
          </cell>
          <cell r="CQ1271">
            <v>0</v>
          </cell>
          <cell r="CR1271">
            <v>0</v>
          </cell>
          <cell r="CS1271">
            <v>0</v>
          </cell>
          <cell r="CT1271">
            <v>0</v>
          </cell>
          <cell r="CU1271">
            <v>0</v>
          </cell>
          <cell r="CV1271">
            <v>0</v>
          </cell>
          <cell r="CW1271">
            <v>0</v>
          </cell>
          <cell r="CX1271">
            <v>0</v>
          </cell>
          <cell r="CY1271">
            <v>0</v>
          </cell>
          <cell r="CZ1271">
            <v>0</v>
          </cell>
          <cell r="DA1271">
            <v>0</v>
          </cell>
          <cell r="DB1271">
            <v>0</v>
          </cell>
          <cell r="DC1271">
            <v>0</v>
          </cell>
          <cell r="DD1271">
            <v>0</v>
          </cell>
          <cell r="DE1271">
            <v>0</v>
          </cell>
          <cell r="DF1271">
            <v>0</v>
          </cell>
          <cell r="DG1271">
            <v>0</v>
          </cell>
          <cell r="DH1271">
            <v>0</v>
          </cell>
          <cell r="DI1271">
            <v>0</v>
          </cell>
          <cell r="DJ1271">
            <v>0</v>
          </cell>
          <cell r="DK1271">
            <v>0</v>
          </cell>
          <cell r="DL1271">
            <v>0</v>
          </cell>
          <cell r="DM1271">
            <v>0</v>
          </cell>
          <cell r="DN1271">
            <v>0</v>
          </cell>
          <cell r="DO1271">
            <v>0</v>
          </cell>
          <cell r="DP1271">
            <v>0</v>
          </cell>
          <cell r="DQ1271">
            <v>0</v>
          </cell>
          <cell r="DR1271">
            <v>0</v>
          </cell>
          <cell r="DS1271">
            <v>0</v>
          </cell>
          <cell r="DT1271">
            <v>0</v>
          </cell>
          <cell r="DU1271">
            <v>0</v>
          </cell>
          <cell r="DV1271">
            <v>0</v>
          </cell>
          <cell r="DW1271">
            <v>0</v>
          </cell>
          <cell r="DX1271">
            <v>0</v>
          </cell>
          <cell r="DY1271" t="str">
            <v/>
          </cell>
          <cell r="DZ1271" t="str">
            <v>pasiv</v>
          </cell>
          <cell r="EA1271" t="e">
            <v>#DIV/0!</v>
          </cell>
        </row>
        <row r="1272">
          <cell r="B1272">
            <v>377316</v>
          </cell>
          <cell r="C1272" t="str">
            <v>მიწისთხილი_FANNUTS_60გ*80-ყველის გემოთი</v>
          </cell>
          <cell r="D1272" t="str">
            <v>TON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O1272">
            <v>0</v>
          </cell>
          <cell r="AP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O1272">
            <v>0</v>
          </cell>
          <cell r="CP1272">
            <v>0</v>
          </cell>
          <cell r="CQ1272">
            <v>0</v>
          </cell>
          <cell r="CR1272">
            <v>0</v>
          </cell>
          <cell r="CS1272">
            <v>0</v>
          </cell>
          <cell r="CT1272">
            <v>0</v>
          </cell>
          <cell r="CU1272">
            <v>0</v>
          </cell>
          <cell r="CV1272">
            <v>0</v>
          </cell>
          <cell r="CW1272">
            <v>0</v>
          </cell>
          <cell r="CX1272">
            <v>0</v>
          </cell>
          <cell r="CY1272">
            <v>0</v>
          </cell>
          <cell r="CZ1272">
            <v>0</v>
          </cell>
          <cell r="DA1272">
            <v>0</v>
          </cell>
          <cell r="DB1272">
            <v>0</v>
          </cell>
          <cell r="DC1272">
            <v>0</v>
          </cell>
          <cell r="DD1272">
            <v>0</v>
          </cell>
          <cell r="DE1272">
            <v>0</v>
          </cell>
          <cell r="DF1272">
            <v>0</v>
          </cell>
          <cell r="DG1272">
            <v>0</v>
          </cell>
          <cell r="DH1272">
            <v>0</v>
          </cell>
          <cell r="DI1272">
            <v>0</v>
          </cell>
          <cell r="DJ1272">
            <v>0</v>
          </cell>
          <cell r="DK1272">
            <v>0</v>
          </cell>
          <cell r="DL1272">
            <v>0</v>
          </cell>
          <cell r="DM1272">
            <v>0</v>
          </cell>
          <cell r="DN1272">
            <v>0</v>
          </cell>
          <cell r="DO1272">
            <v>0</v>
          </cell>
          <cell r="DP1272">
            <v>0</v>
          </cell>
          <cell r="DQ1272">
            <v>0</v>
          </cell>
          <cell r="DR1272">
            <v>0</v>
          </cell>
          <cell r="DS1272">
            <v>0</v>
          </cell>
          <cell r="DT1272">
            <v>0</v>
          </cell>
          <cell r="DU1272">
            <v>0</v>
          </cell>
          <cell r="DV1272">
            <v>0</v>
          </cell>
          <cell r="DW1272">
            <v>0</v>
          </cell>
          <cell r="DX1272">
            <v>0</v>
          </cell>
          <cell r="DY1272" t="str">
            <v/>
          </cell>
          <cell r="DZ1272" t="str">
            <v>pasiv</v>
          </cell>
          <cell r="EA1272" t="e">
            <v>#DIV/0!</v>
          </cell>
        </row>
        <row r="1273">
          <cell r="B1273">
            <v>386130</v>
          </cell>
          <cell r="C1273" t="str">
            <v>სუხარიკი_FANAT_შებოლილი ძეხვის გემოთი_30გ_2ც+1ც</v>
          </cell>
          <cell r="D1273" t="str">
            <v>TON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O1273">
            <v>0</v>
          </cell>
          <cell r="AP1273">
            <v>0</v>
          </cell>
          <cell r="AS1273">
            <v>0</v>
          </cell>
          <cell r="AT1273">
            <v>0</v>
          </cell>
          <cell r="AU1273">
            <v>2.5200000000000001E-3</v>
          </cell>
          <cell r="AV1273">
            <v>21.73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8.9999999999999998E-4</v>
          </cell>
          <cell r="BD1273">
            <v>7.76</v>
          </cell>
          <cell r="BE1273">
            <v>8.9999999999999998E-4</v>
          </cell>
          <cell r="BF1273">
            <v>7.76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S1273">
            <v>0</v>
          </cell>
          <cell r="CT1273">
            <v>0</v>
          </cell>
          <cell r="CU1273">
            <v>0</v>
          </cell>
          <cell r="CV1273">
            <v>0</v>
          </cell>
          <cell r="CW1273">
            <v>0</v>
          </cell>
          <cell r="CX1273">
            <v>0</v>
          </cell>
          <cell r="CY1273">
            <v>0</v>
          </cell>
          <cell r="CZ1273">
            <v>0</v>
          </cell>
          <cell r="DA1273">
            <v>0</v>
          </cell>
          <cell r="DB1273">
            <v>0</v>
          </cell>
          <cell r="DC1273">
            <v>0</v>
          </cell>
          <cell r="DD1273">
            <v>0</v>
          </cell>
          <cell r="DE1273">
            <v>0</v>
          </cell>
          <cell r="DF1273">
            <v>0</v>
          </cell>
          <cell r="DG1273">
            <v>0</v>
          </cell>
          <cell r="DH1273">
            <v>0</v>
          </cell>
          <cell r="DI1273">
            <v>0</v>
          </cell>
          <cell r="DJ1273">
            <v>0</v>
          </cell>
          <cell r="DK1273">
            <v>1.6199999999999999E-3</v>
          </cell>
          <cell r="DL1273">
            <v>13.97</v>
          </cell>
          <cell r="DM1273">
            <v>1.6199999999999999E-3</v>
          </cell>
          <cell r="DN1273">
            <v>13.97</v>
          </cell>
          <cell r="DO1273">
            <v>0</v>
          </cell>
          <cell r="DP1273">
            <v>0</v>
          </cell>
          <cell r="DQ1273">
            <v>0</v>
          </cell>
          <cell r="DR1273">
            <v>0</v>
          </cell>
          <cell r="DS1273">
            <v>0</v>
          </cell>
          <cell r="DT1273">
            <v>0</v>
          </cell>
          <cell r="DU1273">
            <v>0</v>
          </cell>
          <cell r="DV1273">
            <v>0</v>
          </cell>
          <cell r="DW1273">
            <v>2.5199999999999997E-3</v>
          </cell>
          <cell r="DX1273">
            <v>21.73</v>
          </cell>
          <cell r="DY1273" t="str">
            <v/>
          </cell>
          <cell r="DZ1273">
            <v>0</v>
          </cell>
          <cell r="EA1273">
            <v>8623.0158730158746</v>
          </cell>
        </row>
        <row r="1274">
          <cell r="B1274">
            <v>386131</v>
          </cell>
          <cell r="C1274" t="str">
            <v>სუხარიკი_FANAT_ხბოს ხორც.აჯიკის გემოთი_30გ_2ც+1ც</v>
          </cell>
          <cell r="D1274" t="str">
            <v>TON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O1274">
            <v>0</v>
          </cell>
          <cell r="AP1274">
            <v>0</v>
          </cell>
          <cell r="AS1274">
            <v>0</v>
          </cell>
          <cell r="AT1274">
            <v>0</v>
          </cell>
          <cell r="AU1274">
            <v>2.0699999999999998E-3</v>
          </cell>
          <cell r="AV1274">
            <v>17.850000000000001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O1274">
            <v>0</v>
          </cell>
          <cell r="CP1274">
            <v>0</v>
          </cell>
          <cell r="CQ1274">
            <v>0</v>
          </cell>
          <cell r="CR1274">
            <v>0</v>
          </cell>
          <cell r="CS1274">
            <v>0</v>
          </cell>
          <cell r="CT1274">
            <v>0</v>
          </cell>
          <cell r="CU1274">
            <v>0</v>
          </cell>
          <cell r="CV1274">
            <v>0</v>
          </cell>
          <cell r="CW1274">
            <v>0</v>
          </cell>
          <cell r="CX1274">
            <v>0</v>
          </cell>
          <cell r="CY1274">
            <v>0</v>
          </cell>
          <cell r="CZ1274">
            <v>0</v>
          </cell>
          <cell r="DA1274">
            <v>0</v>
          </cell>
          <cell r="DB1274">
            <v>0</v>
          </cell>
          <cell r="DC1274">
            <v>0</v>
          </cell>
          <cell r="DD1274">
            <v>0</v>
          </cell>
          <cell r="DE1274">
            <v>0</v>
          </cell>
          <cell r="DF1274">
            <v>0</v>
          </cell>
          <cell r="DG1274">
            <v>0</v>
          </cell>
          <cell r="DH1274">
            <v>0</v>
          </cell>
          <cell r="DI1274">
            <v>0</v>
          </cell>
          <cell r="DJ1274">
            <v>0</v>
          </cell>
          <cell r="DK1274">
            <v>2.0699999999999998E-3</v>
          </cell>
          <cell r="DL1274">
            <v>17.850000000000001</v>
          </cell>
          <cell r="DM1274">
            <v>2.0699999999999998E-3</v>
          </cell>
          <cell r="DN1274">
            <v>17.850000000000001</v>
          </cell>
          <cell r="DO1274">
            <v>0</v>
          </cell>
          <cell r="DP1274">
            <v>0</v>
          </cell>
          <cell r="DQ1274">
            <v>0</v>
          </cell>
          <cell r="DR1274">
            <v>0</v>
          </cell>
          <cell r="DS1274">
            <v>0</v>
          </cell>
          <cell r="DT1274">
            <v>0</v>
          </cell>
          <cell r="DU1274">
            <v>0</v>
          </cell>
          <cell r="DV1274">
            <v>0</v>
          </cell>
          <cell r="DW1274">
            <v>2.0699999999999998E-3</v>
          </cell>
          <cell r="DX1274">
            <v>17.850000000000001</v>
          </cell>
          <cell r="DY1274" t="str">
            <v/>
          </cell>
          <cell r="DZ1274">
            <v>0</v>
          </cell>
          <cell r="EA1274">
            <v>8623.1884057971038</v>
          </cell>
        </row>
        <row r="1275">
          <cell r="B1275">
            <v>386132</v>
          </cell>
          <cell r="C1275" t="str">
            <v>სუხარიკი_FANAT_ყველის გემოთი_60გ_2ც+1ც</v>
          </cell>
          <cell r="D1275" t="str">
            <v>TON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O1275">
            <v>0</v>
          </cell>
          <cell r="AP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O1275">
            <v>0</v>
          </cell>
          <cell r="CP1275">
            <v>0</v>
          </cell>
          <cell r="CQ1275">
            <v>0</v>
          </cell>
          <cell r="CR1275">
            <v>0</v>
          </cell>
          <cell r="CS1275">
            <v>0</v>
          </cell>
          <cell r="CT1275">
            <v>0</v>
          </cell>
          <cell r="CU1275">
            <v>0</v>
          </cell>
          <cell r="CV1275">
            <v>0</v>
          </cell>
          <cell r="CW1275">
            <v>0</v>
          </cell>
          <cell r="CX1275">
            <v>0</v>
          </cell>
          <cell r="CY1275">
            <v>0</v>
          </cell>
          <cell r="CZ1275">
            <v>0</v>
          </cell>
          <cell r="DA1275">
            <v>0</v>
          </cell>
          <cell r="DB1275">
            <v>0</v>
          </cell>
          <cell r="DC1275">
            <v>0</v>
          </cell>
          <cell r="DD1275">
            <v>0</v>
          </cell>
          <cell r="DE1275">
            <v>0</v>
          </cell>
          <cell r="DF1275">
            <v>0</v>
          </cell>
          <cell r="DG1275">
            <v>0</v>
          </cell>
          <cell r="DH1275">
            <v>0</v>
          </cell>
          <cell r="DI1275">
            <v>0</v>
          </cell>
          <cell r="DJ1275">
            <v>0</v>
          </cell>
          <cell r="DK1275">
            <v>0</v>
          </cell>
          <cell r="DL1275">
            <v>0</v>
          </cell>
          <cell r="DM1275">
            <v>0</v>
          </cell>
          <cell r="DN1275">
            <v>0</v>
          </cell>
          <cell r="DO1275">
            <v>0</v>
          </cell>
          <cell r="DP1275">
            <v>0</v>
          </cell>
          <cell r="DQ1275">
            <v>0</v>
          </cell>
          <cell r="DR1275">
            <v>0</v>
          </cell>
          <cell r="DS1275">
            <v>0</v>
          </cell>
          <cell r="DT1275">
            <v>0</v>
          </cell>
          <cell r="DU1275">
            <v>0</v>
          </cell>
          <cell r="DV1275">
            <v>0</v>
          </cell>
          <cell r="DW1275">
            <v>0</v>
          </cell>
          <cell r="DX1275">
            <v>0</v>
          </cell>
          <cell r="DY1275" t="str">
            <v/>
          </cell>
          <cell r="DZ1275" t="str">
            <v>pasiv</v>
          </cell>
          <cell r="EA1275" t="e">
            <v>#DIV/0!</v>
          </cell>
        </row>
        <row r="1276">
          <cell r="B1276">
            <v>386133</v>
          </cell>
          <cell r="C1276" t="str">
            <v>სუხარიკი_FANAT_მწვადის გემოთი_60გ_2ც+1ც</v>
          </cell>
          <cell r="D1276" t="str">
            <v>TON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O1276">
            <v>0</v>
          </cell>
          <cell r="AP1276">
            <v>0</v>
          </cell>
          <cell r="AS1276">
            <v>0</v>
          </cell>
          <cell r="AT1276">
            <v>0</v>
          </cell>
          <cell r="AU1276">
            <v>8.9999999999999998E-4</v>
          </cell>
          <cell r="AV1276">
            <v>8.3000000000000007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O1276">
            <v>0</v>
          </cell>
          <cell r="CP1276">
            <v>0</v>
          </cell>
          <cell r="CQ1276">
            <v>0</v>
          </cell>
          <cell r="CR1276">
            <v>0</v>
          </cell>
          <cell r="CS1276">
            <v>0</v>
          </cell>
          <cell r="CT1276">
            <v>0</v>
          </cell>
          <cell r="CU1276">
            <v>0</v>
          </cell>
          <cell r="CV1276">
            <v>0</v>
          </cell>
          <cell r="CW1276">
            <v>0</v>
          </cell>
          <cell r="CX1276">
            <v>0</v>
          </cell>
          <cell r="CY1276">
            <v>0</v>
          </cell>
          <cell r="CZ1276">
            <v>0</v>
          </cell>
          <cell r="DA1276">
            <v>0</v>
          </cell>
          <cell r="DB1276">
            <v>0</v>
          </cell>
          <cell r="DC1276">
            <v>0</v>
          </cell>
          <cell r="DD1276">
            <v>0</v>
          </cell>
          <cell r="DE1276">
            <v>0</v>
          </cell>
          <cell r="DF1276">
            <v>0</v>
          </cell>
          <cell r="DG1276">
            <v>0</v>
          </cell>
          <cell r="DH1276">
            <v>0</v>
          </cell>
          <cell r="DI1276">
            <v>0</v>
          </cell>
          <cell r="DJ1276">
            <v>0</v>
          </cell>
          <cell r="DK1276">
            <v>8.9999999999999998E-4</v>
          </cell>
          <cell r="DL1276">
            <v>8.3000000000000007</v>
          </cell>
          <cell r="DM1276">
            <v>8.9999999999999998E-4</v>
          </cell>
          <cell r="DN1276">
            <v>8.3000000000000007</v>
          </cell>
          <cell r="DO1276">
            <v>0</v>
          </cell>
          <cell r="DP1276">
            <v>0</v>
          </cell>
          <cell r="DQ1276">
            <v>0</v>
          </cell>
          <cell r="DR1276">
            <v>0</v>
          </cell>
          <cell r="DS1276">
            <v>0</v>
          </cell>
          <cell r="DT1276">
            <v>0</v>
          </cell>
          <cell r="DU1276">
            <v>0</v>
          </cell>
          <cell r="DV1276">
            <v>0</v>
          </cell>
          <cell r="DW1276">
            <v>8.9999999999999998E-4</v>
          </cell>
          <cell r="DX1276">
            <v>8.3000000000000007</v>
          </cell>
          <cell r="DY1276" t="str">
            <v/>
          </cell>
          <cell r="DZ1276">
            <v>0</v>
          </cell>
          <cell r="EA1276">
            <v>9222.2222222222226</v>
          </cell>
        </row>
        <row r="1277">
          <cell r="B1277">
            <v>386134</v>
          </cell>
          <cell r="C1277" t="str">
            <v>სუხარიკი_FANAT_შებოლილი ძეხვის გემოთი_60გ_2ც+1ც</v>
          </cell>
          <cell r="D1277" t="str">
            <v>TON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O1277">
            <v>0</v>
          </cell>
          <cell r="AP1277">
            <v>0</v>
          </cell>
          <cell r="AS1277">
            <v>0</v>
          </cell>
          <cell r="AT1277">
            <v>0</v>
          </cell>
          <cell r="AU1277">
            <v>8.9999999999999998E-4</v>
          </cell>
          <cell r="AV1277">
            <v>8.3000000000000007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O1277">
            <v>0</v>
          </cell>
          <cell r="CP1277">
            <v>0</v>
          </cell>
          <cell r="CQ1277">
            <v>0</v>
          </cell>
          <cell r="CR1277">
            <v>0</v>
          </cell>
          <cell r="CS1277">
            <v>0</v>
          </cell>
          <cell r="CT1277">
            <v>0</v>
          </cell>
          <cell r="CU1277">
            <v>0</v>
          </cell>
          <cell r="CV1277">
            <v>0</v>
          </cell>
          <cell r="CW1277">
            <v>0</v>
          </cell>
          <cell r="CX1277">
            <v>0</v>
          </cell>
          <cell r="CY1277">
            <v>0</v>
          </cell>
          <cell r="CZ1277">
            <v>0</v>
          </cell>
          <cell r="DA1277">
            <v>0</v>
          </cell>
          <cell r="DB1277">
            <v>0</v>
          </cell>
          <cell r="DC1277">
            <v>0</v>
          </cell>
          <cell r="DD1277">
            <v>0</v>
          </cell>
          <cell r="DE1277">
            <v>0</v>
          </cell>
          <cell r="DF1277">
            <v>0</v>
          </cell>
          <cell r="DG1277">
            <v>0</v>
          </cell>
          <cell r="DH1277">
            <v>0</v>
          </cell>
          <cell r="DI1277">
            <v>0</v>
          </cell>
          <cell r="DJ1277">
            <v>0</v>
          </cell>
          <cell r="DK1277">
            <v>8.9999999999999998E-4</v>
          </cell>
          <cell r="DL1277">
            <v>8.3000000000000007</v>
          </cell>
          <cell r="DM1277">
            <v>8.9999999999999998E-4</v>
          </cell>
          <cell r="DN1277">
            <v>8.3000000000000007</v>
          </cell>
          <cell r="DO1277">
            <v>0</v>
          </cell>
          <cell r="DP1277">
            <v>0</v>
          </cell>
          <cell r="DQ1277">
            <v>0</v>
          </cell>
          <cell r="DR1277">
            <v>0</v>
          </cell>
          <cell r="DS1277">
            <v>0</v>
          </cell>
          <cell r="DT1277">
            <v>0</v>
          </cell>
          <cell r="DU1277">
            <v>0</v>
          </cell>
          <cell r="DV1277">
            <v>0</v>
          </cell>
          <cell r="DW1277">
            <v>8.9999999999999998E-4</v>
          </cell>
          <cell r="DX1277">
            <v>8.3000000000000007</v>
          </cell>
          <cell r="DY1277" t="str">
            <v/>
          </cell>
          <cell r="DZ1277">
            <v>0</v>
          </cell>
          <cell r="EA1277">
            <v>9222.2222222222226</v>
          </cell>
        </row>
        <row r="1278">
          <cell r="B1278">
            <v>386166</v>
          </cell>
          <cell r="C1278" t="str">
            <v>სუხარიკი_FANAT_ცხარე-ტომატის გემოთი_30გ_2ც+1ც</v>
          </cell>
          <cell r="D1278" t="str">
            <v>TON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O1278">
            <v>0</v>
          </cell>
          <cell r="AP1278">
            <v>0</v>
          </cell>
          <cell r="AS1278">
            <v>0</v>
          </cell>
          <cell r="AT1278">
            <v>0</v>
          </cell>
          <cell r="AU1278">
            <v>1.17E-3</v>
          </cell>
          <cell r="AV1278">
            <v>10.09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S1278">
            <v>0</v>
          </cell>
          <cell r="CT1278">
            <v>0</v>
          </cell>
          <cell r="CU1278">
            <v>0</v>
          </cell>
          <cell r="CV1278">
            <v>0</v>
          </cell>
          <cell r="CW1278">
            <v>0</v>
          </cell>
          <cell r="CX1278">
            <v>0</v>
          </cell>
          <cell r="CY1278">
            <v>0</v>
          </cell>
          <cell r="CZ1278">
            <v>0</v>
          </cell>
          <cell r="DA1278">
            <v>0</v>
          </cell>
          <cell r="DB1278">
            <v>0</v>
          </cell>
          <cell r="DC1278">
            <v>0</v>
          </cell>
          <cell r="DD1278">
            <v>0</v>
          </cell>
          <cell r="DE1278">
            <v>0</v>
          </cell>
          <cell r="DF1278">
            <v>0</v>
          </cell>
          <cell r="DG1278">
            <v>0</v>
          </cell>
          <cell r="DH1278">
            <v>0</v>
          </cell>
          <cell r="DI1278">
            <v>0</v>
          </cell>
          <cell r="DJ1278">
            <v>0</v>
          </cell>
          <cell r="DK1278">
            <v>1.17E-3</v>
          </cell>
          <cell r="DL1278">
            <v>10.09</v>
          </cell>
          <cell r="DM1278">
            <v>1.17E-3</v>
          </cell>
          <cell r="DN1278">
            <v>10.09</v>
          </cell>
          <cell r="DO1278">
            <v>0</v>
          </cell>
          <cell r="DP1278">
            <v>0</v>
          </cell>
          <cell r="DQ1278">
            <v>0</v>
          </cell>
          <cell r="DR1278">
            <v>0</v>
          </cell>
          <cell r="DS1278">
            <v>0</v>
          </cell>
          <cell r="DT1278">
            <v>0</v>
          </cell>
          <cell r="DU1278">
            <v>0</v>
          </cell>
          <cell r="DV1278">
            <v>0</v>
          </cell>
          <cell r="DW1278">
            <v>1.17E-3</v>
          </cell>
          <cell r="DX1278">
            <v>10.09</v>
          </cell>
          <cell r="DY1278" t="str">
            <v/>
          </cell>
          <cell r="DZ1278">
            <v>0</v>
          </cell>
          <cell r="EA1278">
            <v>8623.9316239316231</v>
          </cell>
        </row>
        <row r="1279">
          <cell r="B1279">
            <v>386167</v>
          </cell>
          <cell r="C1279" t="str">
            <v>სუხარიკი_FANAT_შაურმის გემოთი_30გ_2ც+1ც</v>
          </cell>
          <cell r="D1279" t="str">
            <v>TON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O1279">
            <v>0</v>
          </cell>
          <cell r="AP1279">
            <v>0</v>
          </cell>
          <cell r="AS1279">
            <v>0</v>
          </cell>
          <cell r="AT1279">
            <v>0</v>
          </cell>
          <cell r="AU1279">
            <v>1.5299999999999999E-3</v>
          </cell>
          <cell r="AV1279">
            <v>13.36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8.9999999999999998E-4</v>
          </cell>
          <cell r="BD1279">
            <v>7.76</v>
          </cell>
          <cell r="BE1279">
            <v>8.9999999999999998E-4</v>
          </cell>
          <cell r="BF1279">
            <v>7.76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6.3000000000000003E-4</v>
          </cell>
          <cell r="BP1279">
            <v>5.6</v>
          </cell>
          <cell r="BQ1279">
            <v>0</v>
          </cell>
          <cell r="BR1279">
            <v>0</v>
          </cell>
          <cell r="BS1279">
            <v>6.3000000000000003E-4</v>
          </cell>
          <cell r="BT1279">
            <v>5.6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6.3000000000000003E-4</v>
          </cell>
          <cell r="CL1279">
            <v>5.6</v>
          </cell>
          <cell r="CO1279">
            <v>0</v>
          </cell>
          <cell r="CP1279">
            <v>0</v>
          </cell>
          <cell r="CQ1279">
            <v>0</v>
          </cell>
          <cell r="CR1279">
            <v>0</v>
          </cell>
          <cell r="CS1279">
            <v>0</v>
          </cell>
          <cell r="CT1279">
            <v>0</v>
          </cell>
          <cell r="CU1279">
            <v>0</v>
          </cell>
          <cell r="CV1279">
            <v>0</v>
          </cell>
          <cell r="CW1279">
            <v>0</v>
          </cell>
          <cell r="CX1279">
            <v>0</v>
          </cell>
          <cell r="CY1279">
            <v>0</v>
          </cell>
          <cell r="CZ1279">
            <v>0</v>
          </cell>
          <cell r="DA1279">
            <v>0</v>
          </cell>
          <cell r="DB1279">
            <v>0</v>
          </cell>
          <cell r="DC1279">
            <v>0</v>
          </cell>
          <cell r="DD1279">
            <v>0</v>
          </cell>
          <cell r="DE1279">
            <v>0</v>
          </cell>
          <cell r="DF1279">
            <v>0</v>
          </cell>
          <cell r="DG1279">
            <v>0</v>
          </cell>
          <cell r="DH1279">
            <v>0</v>
          </cell>
          <cell r="DI1279">
            <v>0</v>
          </cell>
          <cell r="DJ1279">
            <v>0</v>
          </cell>
          <cell r="DK1279">
            <v>0</v>
          </cell>
          <cell r="DL1279">
            <v>0</v>
          </cell>
          <cell r="DM1279">
            <v>0</v>
          </cell>
          <cell r="DN1279">
            <v>0</v>
          </cell>
          <cell r="DO1279">
            <v>0</v>
          </cell>
          <cell r="DP1279">
            <v>0</v>
          </cell>
          <cell r="DQ1279">
            <v>0</v>
          </cell>
          <cell r="DR1279">
            <v>0</v>
          </cell>
          <cell r="DS1279">
            <v>0</v>
          </cell>
          <cell r="DT1279">
            <v>0</v>
          </cell>
          <cell r="DU1279">
            <v>0</v>
          </cell>
          <cell r="DV1279">
            <v>0</v>
          </cell>
          <cell r="DW1279">
            <v>1.5300000000000001E-3</v>
          </cell>
          <cell r="DX1279">
            <v>13.36</v>
          </cell>
          <cell r="DY1279" t="str">
            <v/>
          </cell>
          <cell r="DZ1279">
            <v>0</v>
          </cell>
          <cell r="EA1279">
            <v>8732.0261437908484</v>
          </cell>
        </row>
        <row r="1280">
          <cell r="B1280">
            <v>386168</v>
          </cell>
          <cell r="C1280" t="str">
            <v>სუხარიკი_FANAT_მწვადის გემოთი_30გ_2ც+1ც</v>
          </cell>
          <cell r="D1280" t="str">
            <v>TON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O1280">
            <v>0</v>
          </cell>
          <cell r="AP1280">
            <v>0</v>
          </cell>
          <cell r="AS1280">
            <v>0</v>
          </cell>
          <cell r="AT1280">
            <v>0</v>
          </cell>
          <cell r="AU1280">
            <v>5.13E-3</v>
          </cell>
          <cell r="AV1280">
            <v>44.74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2.16E-3</v>
          </cell>
          <cell r="BD1280">
            <v>18.72</v>
          </cell>
          <cell r="BE1280">
            <v>2.16E-3</v>
          </cell>
          <cell r="BF1280">
            <v>18.72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6.3000000000000003E-4</v>
          </cell>
          <cell r="BP1280">
            <v>5.6</v>
          </cell>
          <cell r="BQ1280">
            <v>0</v>
          </cell>
          <cell r="BR1280">
            <v>0</v>
          </cell>
          <cell r="BS1280">
            <v>6.3000000000000003E-4</v>
          </cell>
          <cell r="BT1280">
            <v>5.6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6.3000000000000003E-4</v>
          </cell>
          <cell r="CL1280">
            <v>5.6</v>
          </cell>
          <cell r="CO1280">
            <v>0</v>
          </cell>
          <cell r="CP1280">
            <v>0</v>
          </cell>
          <cell r="CQ1280">
            <v>0</v>
          </cell>
          <cell r="CR1280">
            <v>0</v>
          </cell>
          <cell r="CS1280">
            <v>0</v>
          </cell>
          <cell r="CT1280">
            <v>0</v>
          </cell>
          <cell r="CU1280">
            <v>8.9999999999999998E-4</v>
          </cell>
          <cell r="CV1280">
            <v>8</v>
          </cell>
          <cell r="CW1280">
            <v>0</v>
          </cell>
          <cell r="CX1280">
            <v>0</v>
          </cell>
          <cell r="CY1280">
            <v>0</v>
          </cell>
          <cell r="CZ1280">
            <v>0</v>
          </cell>
          <cell r="DA1280">
            <v>0</v>
          </cell>
          <cell r="DB1280">
            <v>0</v>
          </cell>
          <cell r="DC1280">
            <v>0</v>
          </cell>
          <cell r="DD1280">
            <v>0</v>
          </cell>
          <cell r="DE1280">
            <v>0</v>
          </cell>
          <cell r="DF1280">
            <v>0</v>
          </cell>
          <cell r="DG1280">
            <v>0</v>
          </cell>
          <cell r="DH1280">
            <v>0</v>
          </cell>
          <cell r="DI1280">
            <v>0</v>
          </cell>
          <cell r="DJ1280">
            <v>0</v>
          </cell>
          <cell r="DK1280">
            <v>1.4400000000000001E-3</v>
          </cell>
          <cell r="DL1280">
            <v>12.42</v>
          </cell>
          <cell r="DM1280">
            <v>1.4400000000000001E-3</v>
          </cell>
          <cell r="DN1280">
            <v>12.42</v>
          </cell>
          <cell r="DO1280">
            <v>8.9999999999999998E-4</v>
          </cell>
          <cell r="DP1280">
            <v>8</v>
          </cell>
          <cell r="DQ1280">
            <v>0</v>
          </cell>
          <cell r="DR1280">
            <v>0</v>
          </cell>
          <cell r="DS1280">
            <v>0</v>
          </cell>
          <cell r="DT1280">
            <v>0</v>
          </cell>
          <cell r="DU1280">
            <v>8.9999999999999998E-4</v>
          </cell>
          <cell r="DV1280">
            <v>8</v>
          </cell>
          <cell r="DW1280">
            <v>5.13E-3</v>
          </cell>
          <cell r="DX1280">
            <v>44.74</v>
          </cell>
          <cell r="DY1280" t="str">
            <v/>
          </cell>
          <cell r="DZ1280">
            <v>0</v>
          </cell>
          <cell r="EA1280">
            <v>8721.2475633528265</v>
          </cell>
        </row>
        <row r="1281">
          <cell r="B1281">
            <v>386293</v>
          </cell>
          <cell r="C1281" t="str">
            <v>სუხარიკი_FANAT_ხბოს ხორცის და აჯიკის_60გ_2ც+1ც</v>
          </cell>
          <cell r="D1281" t="str">
            <v>TON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O1281">
            <v>0</v>
          </cell>
          <cell r="AP1281">
            <v>0</v>
          </cell>
          <cell r="AS1281">
            <v>0</v>
          </cell>
          <cell r="AT1281">
            <v>0</v>
          </cell>
          <cell r="AU1281">
            <v>8.9999999999999998E-4</v>
          </cell>
          <cell r="AV1281">
            <v>8.3000000000000007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O1281">
            <v>0</v>
          </cell>
          <cell r="CP1281">
            <v>0</v>
          </cell>
          <cell r="CQ1281">
            <v>0</v>
          </cell>
          <cell r="CR1281">
            <v>0</v>
          </cell>
          <cell r="CS1281">
            <v>0</v>
          </cell>
          <cell r="CT1281">
            <v>0</v>
          </cell>
          <cell r="CU1281">
            <v>0</v>
          </cell>
          <cell r="CV1281">
            <v>0</v>
          </cell>
          <cell r="CW1281">
            <v>0</v>
          </cell>
          <cell r="CX1281">
            <v>0</v>
          </cell>
          <cell r="CY1281">
            <v>0</v>
          </cell>
          <cell r="CZ1281">
            <v>0</v>
          </cell>
          <cell r="DA1281">
            <v>0</v>
          </cell>
          <cell r="DB1281">
            <v>0</v>
          </cell>
          <cell r="DC1281">
            <v>0</v>
          </cell>
          <cell r="DD1281">
            <v>0</v>
          </cell>
          <cell r="DE1281">
            <v>0</v>
          </cell>
          <cell r="DF1281">
            <v>0</v>
          </cell>
          <cell r="DG1281">
            <v>0</v>
          </cell>
          <cell r="DH1281">
            <v>0</v>
          </cell>
          <cell r="DI1281">
            <v>0</v>
          </cell>
          <cell r="DJ1281">
            <v>0</v>
          </cell>
          <cell r="DK1281">
            <v>8.9999999999999998E-4</v>
          </cell>
          <cell r="DL1281">
            <v>8.3000000000000007</v>
          </cell>
          <cell r="DM1281">
            <v>8.9999999999999998E-4</v>
          </cell>
          <cell r="DN1281">
            <v>8.3000000000000007</v>
          </cell>
          <cell r="DO1281">
            <v>0</v>
          </cell>
          <cell r="DP1281">
            <v>0</v>
          </cell>
          <cell r="DQ1281">
            <v>0</v>
          </cell>
          <cell r="DR1281">
            <v>0</v>
          </cell>
          <cell r="DS1281">
            <v>0</v>
          </cell>
          <cell r="DT1281">
            <v>0</v>
          </cell>
          <cell r="DU1281">
            <v>0</v>
          </cell>
          <cell r="DV1281">
            <v>0</v>
          </cell>
          <cell r="DW1281">
            <v>8.9999999999999998E-4</v>
          </cell>
          <cell r="DX1281">
            <v>8.3000000000000007</v>
          </cell>
          <cell r="DY1281" t="str">
            <v/>
          </cell>
          <cell r="DZ1281">
            <v>0</v>
          </cell>
          <cell r="EA1281">
            <v>9222.2222222222226</v>
          </cell>
        </row>
        <row r="1282">
          <cell r="B1282">
            <v>386294</v>
          </cell>
          <cell r="C1282" t="str">
            <v>სუხარიკი_FANAT_ცხარე-ტომატის გემოთი_60გ_2ც+1ც</v>
          </cell>
          <cell r="D1282" t="str">
            <v>TON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O1282">
            <v>0</v>
          </cell>
          <cell r="AP1282">
            <v>0</v>
          </cell>
          <cell r="AS1282">
            <v>0</v>
          </cell>
          <cell r="AT1282">
            <v>0</v>
          </cell>
          <cell r="AU1282">
            <v>7.2000000000000005E-4</v>
          </cell>
          <cell r="AV1282">
            <v>6.64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S1282">
            <v>0</v>
          </cell>
          <cell r="CT1282">
            <v>0</v>
          </cell>
          <cell r="CU1282">
            <v>0</v>
          </cell>
          <cell r="CV1282">
            <v>0</v>
          </cell>
          <cell r="CW1282">
            <v>0</v>
          </cell>
          <cell r="CX1282">
            <v>0</v>
          </cell>
          <cell r="CY1282">
            <v>0</v>
          </cell>
          <cell r="CZ1282">
            <v>0</v>
          </cell>
          <cell r="DA1282">
            <v>0</v>
          </cell>
          <cell r="DB1282">
            <v>0</v>
          </cell>
          <cell r="DC1282">
            <v>0</v>
          </cell>
          <cell r="DD1282">
            <v>0</v>
          </cell>
          <cell r="DE1282">
            <v>0</v>
          </cell>
          <cell r="DF1282">
            <v>0</v>
          </cell>
          <cell r="DG1282">
            <v>0</v>
          </cell>
          <cell r="DH1282">
            <v>0</v>
          </cell>
          <cell r="DI1282">
            <v>0</v>
          </cell>
          <cell r="DJ1282">
            <v>0</v>
          </cell>
          <cell r="DK1282">
            <v>7.2000000000000005E-4</v>
          </cell>
          <cell r="DL1282">
            <v>6.64</v>
          </cell>
          <cell r="DM1282">
            <v>7.2000000000000005E-4</v>
          </cell>
          <cell r="DN1282">
            <v>6.64</v>
          </cell>
          <cell r="DO1282">
            <v>0</v>
          </cell>
          <cell r="DP1282">
            <v>0</v>
          </cell>
          <cell r="DQ1282">
            <v>0</v>
          </cell>
          <cell r="DR1282">
            <v>0</v>
          </cell>
          <cell r="DS1282">
            <v>0</v>
          </cell>
          <cell r="DT1282">
            <v>0</v>
          </cell>
          <cell r="DU1282">
            <v>0</v>
          </cell>
          <cell r="DV1282">
            <v>0</v>
          </cell>
          <cell r="DW1282">
            <v>7.2000000000000005E-4</v>
          </cell>
          <cell r="DX1282">
            <v>6.64</v>
          </cell>
          <cell r="DY1282" t="str">
            <v/>
          </cell>
          <cell r="DZ1282">
            <v>0</v>
          </cell>
          <cell r="EA1282">
            <v>9222.2222222222208</v>
          </cell>
        </row>
        <row r="1283">
          <cell r="A1283">
            <v>6.25E-2</v>
          </cell>
          <cell r="B1283">
            <v>390113</v>
          </cell>
          <cell r="C1283" t="str">
            <v>ვოტეტადა_ქათმ.ხორც_45გ_1ყ+10ც სუხარი FANAT 30ც</v>
          </cell>
          <cell r="D1283" t="str">
            <v>TON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2.9999999999999997E-4</v>
          </cell>
          <cell r="T1283">
            <v>38.799999999999997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2.9999999999999997E-4</v>
          </cell>
          <cell r="Z1283">
            <v>38.799999999999997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O1283">
            <v>0</v>
          </cell>
          <cell r="AP1283">
            <v>0</v>
          </cell>
          <cell r="AS1283">
            <v>0</v>
          </cell>
          <cell r="AT1283">
            <v>0</v>
          </cell>
          <cell r="AU1283">
            <v>1.8E-3</v>
          </cell>
          <cell r="AV1283">
            <v>232.8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1.5E-3</v>
          </cell>
          <cell r="BD1283">
            <v>194</v>
          </cell>
          <cell r="BE1283">
            <v>1.5E-3</v>
          </cell>
          <cell r="BF1283">
            <v>194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  <cell r="CL1283">
            <v>0</v>
          </cell>
          <cell r="CO1283">
            <v>0</v>
          </cell>
          <cell r="CP1283">
            <v>0</v>
          </cell>
          <cell r="CQ1283">
            <v>0</v>
          </cell>
          <cell r="CR1283">
            <v>0</v>
          </cell>
          <cell r="CS1283">
            <v>0</v>
          </cell>
          <cell r="CT1283">
            <v>0</v>
          </cell>
          <cell r="CU1283">
            <v>0</v>
          </cell>
          <cell r="CV1283">
            <v>0</v>
          </cell>
          <cell r="CW1283">
            <v>0</v>
          </cell>
          <cell r="CX1283">
            <v>0</v>
          </cell>
          <cell r="CY1283">
            <v>0</v>
          </cell>
          <cell r="CZ1283">
            <v>0</v>
          </cell>
          <cell r="DA1283">
            <v>0</v>
          </cell>
          <cell r="DB1283">
            <v>0</v>
          </cell>
          <cell r="DC1283">
            <v>0</v>
          </cell>
          <cell r="DD1283">
            <v>0</v>
          </cell>
          <cell r="DE1283">
            <v>0</v>
          </cell>
          <cell r="DF1283">
            <v>0</v>
          </cell>
          <cell r="DG1283">
            <v>0</v>
          </cell>
          <cell r="DH1283">
            <v>0</v>
          </cell>
          <cell r="DI1283">
            <v>0</v>
          </cell>
          <cell r="DJ1283">
            <v>0</v>
          </cell>
          <cell r="DK1283">
            <v>0</v>
          </cell>
          <cell r="DL1283">
            <v>0</v>
          </cell>
          <cell r="DM1283">
            <v>0</v>
          </cell>
          <cell r="DN1283">
            <v>0</v>
          </cell>
          <cell r="DO1283">
            <v>0</v>
          </cell>
          <cell r="DP1283">
            <v>0</v>
          </cell>
          <cell r="DQ1283">
            <v>0</v>
          </cell>
          <cell r="DR1283">
            <v>0</v>
          </cell>
          <cell r="DS1283">
            <v>0</v>
          </cell>
          <cell r="DT1283">
            <v>0</v>
          </cell>
          <cell r="DU1283">
            <v>0</v>
          </cell>
          <cell r="DV1283">
            <v>0</v>
          </cell>
          <cell r="DW1283">
            <v>1.8E-3</v>
          </cell>
          <cell r="DX1283">
            <v>232.8</v>
          </cell>
          <cell r="DY1283" t="str">
            <v/>
          </cell>
          <cell r="DZ1283">
            <v>0</v>
          </cell>
          <cell r="EA1283">
            <v>129333.33333333334</v>
          </cell>
        </row>
        <row r="1284">
          <cell r="A1284">
            <v>6.25E-2</v>
          </cell>
          <cell r="B1284">
            <v>387705</v>
          </cell>
          <cell r="C1284" t="str">
            <v>ვოტეტადა_საქ.ხორც_45გ_1ყ+10ც სუხარი FANAT 30გ</v>
          </cell>
          <cell r="D1284" t="str">
            <v>TON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2.9999999999999997E-4</v>
          </cell>
          <cell r="T1284">
            <v>38.799999999999997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2.9999999999999997E-4</v>
          </cell>
          <cell r="Z1284">
            <v>38.799999999999997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O1284">
            <v>0</v>
          </cell>
          <cell r="AP1284">
            <v>0</v>
          </cell>
          <cell r="AS1284">
            <v>0</v>
          </cell>
          <cell r="AT1284">
            <v>0</v>
          </cell>
          <cell r="AU1284">
            <v>5.7000000000000002E-3</v>
          </cell>
          <cell r="AV1284">
            <v>703.2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H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3.3E-3</v>
          </cell>
          <cell r="BN1284">
            <v>391.6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3.3E-3</v>
          </cell>
          <cell r="BT1284">
            <v>391.6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  <cell r="BZ1284">
            <v>0</v>
          </cell>
          <cell r="CA1284">
            <v>0</v>
          </cell>
          <cell r="CB1284">
            <v>0</v>
          </cell>
          <cell r="CC1284">
            <v>0</v>
          </cell>
          <cell r="CD1284">
            <v>0</v>
          </cell>
          <cell r="CE1284">
            <v>0</v>
          </cell>
          <cell r="CF1284">
            <v>0</v>
          </cell>
          <cell r="CG1284">
            <v>0</v>
          </cell>
          <cell r="CH1284">
            <v>0</v>
          </cell>
          <cell r="CI1284">
            <v>0</v>
          </cell>
          <cell r="CJ1284">
            <v>0</v>
          </cell>
          <cell r="CK1284">
            <v>3.3E-3</v>
          </cell>
          <cell r="CL1284">
            <v>391.6</v>
          </cell>
          <cell r="CO1284">
            <v>0</v>
          </cell>
          <cell r="CP1284">
            <v>0</v>
          </cell>
          <cell r="CQ1284">
            <v>0</v>
          </cell>
          <cell r="CR1284">
            <v>0</v>
          </cell>
          <cell r="CS1284">
            <v>0</v>
          </cell>
          <cell r="CT1284">
            <v>0</v>
          </cell>
          <cell r="CU1284">
            <v>2.9999999999999997E-4</v>
          </cell>
          <cell r="CV1284">
            <v>38.799999999999997</v>
          </cell>
          <cell r="CW1284">
            <v>0</v>
          </cell>
          <cell r="CX1284">
            <v>0</v>
          </cell>
          <cell r="CY1284">
            <v>0</v>
          </cell>
          <cell r="CZ1284">
            <v>0</v>
          </cell>
          <cell r="DA1284">
            <v>0</v>
          </cell>
          <cell r="DB1284">
            <v>0</v>
          </cell>
          <cell r="DC1284">
            <v>0</v>
          </cell>
          <cell r="DD1284">
            <v>0</v>
          </cell>
          <cell r="DE1284">
            <v>0</v>
          </cell>
          <cell r="DF1284">
            <v>0</v>
          </cell>
          <cell r="DG1284">
            <v>0</v>
          </cell>
          <cell r="DH1284">
            <v>0</v>
          </cell>
          <cell r="DI1284">
            <v>2.9999999999999997E-4</v>
          </cell>
          <cell r="DJ1284">
            <v>40</v>
          </cell>
          <cell r="DK1284">
            <v>1.5E-3</v>
          </cell>
          <cell r="DL1284">
            <v>194</v>
          </cell>
          <cell r="DM1284">
            <v>1.8E-3</v>
          </cell>
          <cell r="DN1284">
            <v>234</v>
          </cell>
          <cell r="DO1284">
            <v>2.9999999999999997E-4</v>
          </cell>
          <cell r="DP1284">
            <v>38.799999999999997</v>
          </cell>
          <cell r="DQ1284">
            <v>0</v>
          </cell>
          <cell r="DR1284">
            <v>0</v>
          </cell>
          <cell r="DS1284">
            <v>0</v>
          </cell>
          <cell r="DT1284">
            <v>0</v>
          </cell>
          <cell r="DU1284">
            <v>2.9999999999999997E-4</v>
          </cell>
          <cell r="DV1284">
            <v>38.799999999999997</v>
          </cell>
          <cell r="DW1284">
            <v>5.7000000000000002E-3</v>
          </cell>
          <cell r="DX1284">
            <v>703.2</v>
          </cell>
          <cell r="DY1284" t="str">
            <v/>
          </cell>
          <cell r="DZ1284">
            <v>0</v>
          </cell>
          <cell r="EA1284">
            <v>123368.42105263159</v>
          </cell>
        </row>
        <row r="1285">
          <cell r="A1285">
            <v>6.25E-2</v>
          </cell>
          <cell r="B1285">
            <v>387706</v>
          </cell>
          <cell r="C1285" t="str">
            <v>ვოტეტადა_ქათმ.ხორც_45გ_1ყ+5ც სუხარი FANAT 60გ</v>
          </cell>
          <cell r="D1285" t="str">
            <v>TON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O1285">
            <v>0</v>
          </cell>
          <cell r="AP1285">
            <v>0</v>
          </cell>
          <cell r="AS1285">
            <v>0</v>
          </cell>
          <cell r="AT1285">
            <v>0</v>
          </cell>
          <cell r="AU1285">
            <v>4.4999999999999997E-3</v>
          </cell>
          <cell r="AV1285">
            <v>568.4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H1285">
            <v>0</v>
          </cell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1.1999999999999999E-3</v>
          </cell>
          <cell r="BN1285">
            <v>142.4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1.1999999999999999E-3</v>
          </cell>
          <cell r="BT1285">
            <v>142.4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  <cell r="BZ1285">
            <v>0</v>
          </cell>
          <cell r="CA1285">
            <v>0</v>
          </cell>
          <cell r="CB1285">
            <v>0</v>
          </cell>
          <cell r="CC1285">
            <v>0</v>
          </cell>
          <cell r="CD1285">
            <v>0</v>
          </cell>
          <cell r="CE1285">
            <v>0</v>
          </cell>
          <cell r="CF1285">
            <v>0</v>
          </cell>
          <cell r="CG1285">
            <v>0</v>
          </cell>
          <cell r="CH1285">
            <v>0</v>
          </cell>
          <cell r="CI1285">
            <v>0</v>
          </cell>
          <cell r="CJ1285">
            <v>0</v>
          </cell>
          <cell r="CK1285">
            <v>1.1999999999999999E-3</v>
          </cell>
          <cell r="CL1285">
            <v>142.4</v>
          </cell>
          <cell r="CO1285">
            <v>0</v>
          </cell>
          <cell r="CP1285">
            <v>0</v>
          </cell>
          <cell r="CQ1285">
            <v>0</v>
          </cell>
          <cell r="CR1285">
            <v>0</v>
          </cell>
          <cell r="CS1285">
            <v>0</v>
          </cell>
          <cell r="CT1285">
            <v>0</v>
          </cell>
          <cell r="CU1285">
            <v>2.9999999999999997E-4</v>
          </cell>
          <cell r="CV1285">
            <v>38.799999999999997</v>
          </cell>
          <cell r="CW1285">
            <v>0</v>
          </cell>
          <cell r="CX1285">
            <v>0</v>
          </cell>
          <cell r="CY1285">
            <v>0</v>
          </cell>
          <cell r="CZ1285">
            <v>0</v>
          </cell>
          <cell r="DA1285">
            <v>0</v>
          </cell>
          <cell r="DB1285">
            <v>0</v>
          </cell>
          <cell r="DC1285">
            <v>0</v>
          </cell>
          <cell r="DD1285">
            <v>0</v>
          </cell>
          <cell r="DE1285">
            <v>0</v>
          </cell>
          <cell r="DF1285">
            <v>0</v>
          </cell>
          <cell r="DG1285">
            <v>2.7000000000000001E-3</v>
          </cell>
          <cell r="DH1285">
            <v>347.2</v>
          </cell>
          <cell r="DI1285">
            <v>0</v>
          </cell>
          <cell r="DJ1285">
            <v>0</v>
          </cell>
          <cell r="DK1285">
            <v>2.9999999999999997E-4</v>
          </cell>
          <cell r="DL1285">
            <v>40</v>
          </cell>
          <cell r="DM1285">
            <v>3.0000000000000001E-3</v>
          </cell>
          <cell r="DN1285">
            <v>387.2</v>
          </cell>
          <cell r="DO1285">
            <v>2.9999999999999997E-4</v>
          </cell>
          <cell r="DP1285">
            <v>38.799999999999997</v>
          </cell>
          <cell r="DQ1285">
            <v>0</v>
          </cell>
          <cell r="DR1285">
            <v>0</v>
          </cell>
          <cell r="DS1285">
            <v>0</v>
          </cell>
          <cell r="DT1285">
            <v>0</v>
          </cell>
          <cell r="DU1285">
            <v>2.9999999999999997E-4</v>
          </cell>
          <cell r="DV1285">
            <v>38.799999999999997</v>
          </cell>
          <cell r="DW1285">
            <v>4.4999999999999997E-3</v>
          </cell>
          <cell r="DX1285">
            <v>568.4</v>
          </cell>
          <cell r="DY1285" t="str">
            <v/>
          </cell>
          <cell r="DZ1285">
            <v>0</v>
          </cell>
          <cell r="EA1285">
            <v>126311.11111111111</v>
          </cell>
        </row>
        <row r="1286">
          <cell r="B1286">
            <v>374376</v>
          </cell>
          <cell r="C1286" t="str">
            <v>სუხარიკი_FANAT_ყველის გემოთი_60გ*90</v>
          </cell>
          <cell r="D1286" t="str">
            <v>TON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O1286">
            <v>0</v>
          </cell>
          <cell r="AP1286">
            <v>0</v>
          </cell>
          <cell r="AS1286">
            <v>0</v>
          </cell>
          <cell r="AT1286">
            <v>0</v>
          </cell>
          <cell r="AU1286">
            <v>0</v>
          </cell>
          <cell r="AV1286">
            <v>0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  <cell r="BO1286">
            <v>0</v>
          </cell>
          <cell r="BP1286">
            <v>0</v>
          </cell>
          <cell r="BQ1286">
            <v>0</v>
          </cell>
          <cell r="BR1286">
            <v>0</v>
          </cell>
          <cell r="BS1286">
            <v>0</v>
          </cell>
          <cell r="BT1286">
            <v>0</v>
          </cell>
          <cell r="BU1286">
            <v>0</v>
          </cell>
          <cell r="BV1286">
            <v>0</v>
          </cell>
          <cell r="BW1286">
            <v>0</v>
          </cell>
          <cell r="BX1286">
            <v>0</v>
          </cell>
          <cell r="BY1286">
            <v>0</v>
          </cell>
          <cell r="BZ1286">
            <v>0</v>
          </cell>
          <cell r="CA1286">
            <v>0</v>
          </cell>
          <cell r="CB1286">
            <v>0</v>
          </cell>
          <cell r="CC1286">
            <v>0</v>
          </cell>
          <cell r="CD1286">
            <v>0</v>
          </cell>
          <cell r="CE1286">
            <v>0</v>
          </cell>
          <cell r="CF1286">
            <v>0</v>
          </cell>
          <cell r="CG1286">
            <v>0</v>
          </cell>
          <cell r="CH1286">
            <v>0</v>
          </cell>
          <cell r="CI1286">
            <v>0</v>
          </cell>
          <cell r="CJ1286">
            <v>0</v>
          </cell>
          <cell r="CK1286">
            <v>0</v>
          </cell>
          <cell r="CL1286">
            <v>0</v>
          </cell>
          <cell r="CO1286">
            <v>0</v>
          </cell>
          <cell r="CP1286">
            <v>0</v>
          </cell>
          <cell r="CQ1286">
            <v>0</v>
          </cell>
          <cell r="CR1286">
            <v>0</v>
          </cell>
          <cell r="CS1286">
            <v>0</v>
          </cell>
          <cell r="CT1286">
            <v>0</v>
          </cell>
          <cell r="CU1286">
            <v>0</v>
          </cell>
          <cell r="CV1286">
            <v>0</v>
          </cell>
          <cell r="CW1286">
            <v>0</v>
          </cell>
          <cell r="CX1286">
            <v>0</v>
          </cell>
          <cell r="CY1286">
            <v>0</v>
          </cell>
          <cell r="CZ1286">
            <v>0</v>
          </cell>
          <cell r="DA1286">
            <v>0</v>
          </cell>
          <cell r="DB1286">
            <v>0</v>
          </cell>
          <cell r="DC1286">
            <v>0</v>
          </cell>
          <cell r="DD1286">
            <v>0</v>
          </cell>
          <cell r="DE1286">
            <v>0</v>
          </cell>
          <cell r="DF1286">
            <v>0</v>
          </cell>
          <cell r="DG1286">
            <v>0</v>
          </cell>
          <cell r="DH1286">
            <v>0</v>
          </cell>
          <cell r="DI1286">
            <v>0</v>
          </cell>
          <cell r="DJ1286">
            <v>0</v>
          </cell>
          <cell r="DK1286">
            <v>0</v>
          </cell>
          <cell r="DL1286">
            <v>0</v>
          </cell>
          <cell r="DM1286">
            <v>0</v>
          </cell>
          <cell r="DN1286">
            <v>0</v>
          </cell>
          <cell r="DO1286">
            <v>0</v>
          </cell>
          <cell r="DP1286">
            <v>0</v>
          </cell>
          <cell r="DQ1286">
            <v>0</v>
          </cell>
          <cell r="DR1286">
            <v>0</v>
          </cell>
          <cell r="DS1286">
            <v>0</v>
          </cell>
          <cell r="DT1286">
            <v>0</v>
          </cell>
          <cell r="DU1286">
            <v>0</v>
          </cell>
          <cell r="DV1286">
            <v>0</v>
          </cell>
          <cell r="DW1286">
            <v>0</v>
          </cell>
          <cell r="DX1286">
            <v>0</v>
          </cell>
          <cell r="DY1286" t="str">
            <v/>
          </cell>
          <cell r="DZ1286" t="str">
            <v>pasiv</v>
          </cell>
          <cell r="EA1286" t="e">
            <v>#DIV/0!</v>
          </cell>
        </row>
        <row r="1287">
          <cell r="B1287">
            <v>374372</v>
          </cell>
          <cell r="C1287" t="str">
            <v>სუხარიკი_FANAT_ცხარე-ტომატის გემოთი_60გ*90</v>
          </cell>
          <cell r="D1287" t="str">
            <v>TON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O1287">
            <v>0</v>
          </cell>
          <cell r="AP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>
            <v>0</v>
          </cell>
          <cell r="BJ1287">
            <v>0</v>
          </cell>
          <cell r="BK1287">
            <v>0</v>
          </cell>
          <cell r="BL1287">
            <v>0</v>
          </cell>
          <cell r="BM1287">
            <v>0</v>
          </cell>
          <cell r="BN1287">
            <v>0</v>
          </cell>
          <cell r="BO1287">
            <v>0</v>
          </cell>
          <cell r="BP1287">
            <v>0</v>
          </cell>
          <cell r="BQ1287">
            <v>0</v>
          </cell>
          <cell r="BR1287">
            <v>0</v>
          </cell>
          <cell r="BS1287">
            <v>0</v>
          </cell>
          <cell r="BT1287">
            <v>0</v>
          </cell>
          <cell r="BU1287">
            <v>0</v>
          </cell>
          <cell r="BV1287">
            <v>0</v>
          </cell>
          <cell r="BW1287">
            <v>0</v>
          </cell>
          <cell r="BX1287">
            <v>0</v>
          </cell>
          <cell r="BY1287">
            <v>0</v>
          </cell>
          <cell r="BZ1287">
            <v>0</v>
          </cell>
          <cell r="CA1287">
            <v>0</v>
          </cell>
          <cell r="CB1287">
            <v>0</v>
          </cell>
          <cell r="CC1287">
            <v>0</v>
          </cell>
          <cell r="CD1287">
            <v>0</v>
          </cell>
          <cell r="CE1287">
            <v>0</v>
          </cell>
          <cell r="CF1287">
            <v>0</v>
          </cell>
          <cell r="CG1287">
            <v>0</v>
          </cell>
          <cell r="CH1287">
            <v>0</v>
          </cell>
          <cell r="CI1287">
            <v>0</v>
          </cell>
          <cell r="CJ1287">
            <v>0</v>
          </cell>
          <cell r="CK1287">
            <v>0</v>
          </cell>
          <cell r="CL1287">
            <v>0</v>
          </cell>
          <cell r="CO1287">
            <v>0</v>
          </cell>
          <cell r="CP1287">
            <v>0</v>
          </cell>
          <cell r="CQ1287">
            <v>0</v>
          </cell>
          <cell r="CR1287">
            <v>0</v>
          </cell>
          <cell r="CS1287">
            <v>0</v>
          </cell>
          <cell r="CT1287">
            <v>0</v>
          </cell>
          <cell r="CU1287">
            <v>0</v>
          </cell>
          <cell r="CV1287">
            <v>0</v>
          </cell>
          <cell r="CW1287">
            <v>0</v>
          </cell>
          <cell r="CX1287">
            <v>0</v>
          </cell>
          <cell r="CY1287">
            <v>0</v>
          </cell>
          <cell r="CZ1287">
            <v>0</v>
          </cell>
          <cell r="DA1287">
            <v>0</v>
          </cell>
          <cell r="DB1287">
            <v>0</v>
          </cell>
          <cell r="DC1287">
            <v>0</v>
          </cell>
          <cell r="DD1287">
            <v>0</v>
          </cell>
          <cell r="DE1287">
            <v>0</v>
          </cell>
          <cell r="DF1287">
            <v>0</v>
          </cell>
          <cell r="DG1287">
            <v>0</v>
          </cell>
          <cell r="DH1287">
            <v>0</v>
          </cell>
          <cell r="DI1287">
            <v>0</v>
          </cell>
          <cell r="DJ1287">
            <v>0</v>
          </cell>
          <cell r="DK1287">
            <v>0</v>
          </cell>
          <cell r="DL1287">
            <v>0</v>
          </cell>
          <cell r="DM1287">
            <v>0</v>
          </cell>
          <cell r="DN1287">
            <v>0</v>
          </cell>
          <cell r="DO1287">
            <v>0</v>
          </cell>
          <cell r="DP1287">
            <v>0</v>
          </cell>
          <cell r="DQ1287">
            <v>0</v>
          </cell>
          <cell r="DR1287">
            <v>0</v>
          </cell>
          <cell r="DS1287">
            <v>0</v>
          </cell>
          <cell r="DT1287">
            <v>0</v>
          </cell>
          <cell r="DU1287">
            <v>0</v>
          </cell>
          <cell r="DV1287">
            <v>0</v>
          </cell>
          <cell r="DW1287">
            <v>0</v>
          </cell>
          <cell r="DX1287">
            <v>0</v>
          </cell>
          <cell r="DY1287" t="str">
            <v/>
          </cell>
          <cell r="DZ1287" t="str">
            <v>pasiv</v>
          </cell>
          <cell r="EA1287" t="e">
            <v>#DIV/0!</v>
          </cell>
        </row>
        <row r="1288">
          <cell r="B1288">
            <v>374373</v>
          </cell>
          <cell r="C1288" t="str">
            <v>სუხარიკი_FANAT_მწვადის გემოთი_60გ*90</v>
          </cell>
          <cell r="D1288" t="str">
            <v>TON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O1288">
            <v>0</v>
          </cell>
          <cell r="AP1288">
            <v>0</v>
          </cell>
          <cell r="AS1288">
            <v>0</v>
          </cell>
          <cell r="AT1288">
            <v>0</v>
          </cell>
          <cell r="AU1288">
            <v>8.9999999999999998E-4</v>
          </cell>
          <cell r="AV1288">
            <v>13.05</v>
          </cell>
          <cell r="AW1288">
            <v>0</v>
          </cell>
          <cell r="AX1288">
            <v>0</v>
          </cell>
          <cell r="AY1288">
            <v>8.9999999999999998E-4</v>
          </cell>
          <cell r="AZ1288">
            <v>13.05</v>
          </cell>
          <cell r="BA1288">
            <v>0</v>
          </cell>
          <cell r="BB1288">
            <v>0</v>
          </cell>
          <cell r="BC1288">
            <v>0</v>
          </cell>
          <cell r="BD1288">
            <v>0</v>
          </cell>
          <cell r="BE1288">
            <v>8.9999999999999998E-4</v>
          </cell>
          <cell r="BF1288">
            <v>13.05</v>
          </cell>
          <cell r="BG1288">
            <v>0</v>
          </cell>
          <cell r="BH1288">
            <v>0</v>
          </cell>
          <cell r="BI1288">
            <v>0</v>
          </cell>
          <cell r="BJ1288">
            <v>0</v>
          </cell>
          <cell r="BK1288">
            <v>0</v>
          </cell>
          <cell r="BL1288">
            <v>0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>
            <v>0</v>
          </cell>
          <cell r="BR1288">
            <v>0</v>
          </cell>
          <cell r="BS1288">
            <v>0</v>
          </cell>
          <cell r="BT1288">
            <v>0</v>
          </cell>
          <cell r="BU1288">
            <v>0</v>
          </cell>
          <cell r="BV1288">
            <v>0</v>
          </cell>
          <cell r="BW1288">
            <v>0</v>
          </cell>
          <cell r="BX1288">
            <v>0</v>
          </cell>
          <cell r="BY1288">
            <v>0</v>
          </cell>
          <cell r="BZ1288">
            <v>0</v>
          </cell>
          <cell r="CA1288">
            <v>0</v>
          </cell>
          <cell r="CB1288">
            <v>0</v>
          </cell>
          <cell r="CC1288">
            <v>0</v>
          </cell>
          <cell r="CD1288">
            <v>0</v>
          </cell>
          <cell r="CE1288">
            <v>0</v>
          </cell>
          <cell r="CF1288">
            <v>0</v>
          </cell>
          <cell r="CG1288">
            <v>0</v>
          </cell>
          <cell r="CH1288">
            <v>0</v>
          </cell>
          <cell r="CI1288">
            <v>0</v>
          </cell>
          <cell r="CJ1288">
            <v>0</v>
          </cell>
          <cell r="CK1288">
            <v>0</v>
          </cell>
          <cell r="CL1288">
            <v>0</v>
          </cell>
          <cell r="CO1288">
            <v>0</v>
          </cell>
          <cell r="CP1288">
            <v>0</v>
          </cell>
          <cell r="CQ1288">
            <v>0</v>
          </cell>
          <cell r="CR1288">
            <v>0</v>
          </cell>
          <cell r="CS1288">
            <v>0</v>
          </cell>
          <cell r="CT1288">
            <v>0</v>
          </cell>
          <cell r="CU1288">
            <v>0</v>
          </cell>
          <cell r="CV1288">
            <v>0</v>
          </cell>
          <cell r="CW1288">
            <v>0</v>
          </cell>
          <cell r="CX1288">
            <v>0</v>
          </cell>
          <cell r="CY1288">
            <v>0</v>
          </cell>
          <cell r="CZ1288">
            <v>0</v>
          </cell>
          <cell r="DA1288">
            <v>0</v>
          </cell>
          <cell r="DB1288">
            <v>0</v>
          </cell>
          <cell r="DC1288">
            <v>0</v>
          </cell>
          <cell r="DD1288">
            <v>0</v>
          </cell>
          <cell r="DE1288">
            <v>0</v>
          </cell>
          <cell r="DF1288">
            <v>0</v>
          </cell>
          <cell r="DG1288">
            <v>0</v>
          </cell>
          <cell r="DH1288">
            <v>0</v>
          </cell>
          <cell r="DI1288">
            <v>0</v>
          </cell>
          <cell r="DJ1288">
            <v>0</v>
          </cell>
          <cell r="DK1288">
            <v>0</v>
          </cell>
          <cell r="DL1288">
            <v>0</v>
          </cell>
          <cell r="DM1288">
            <v>0</v>
          </cell>
          <cell r="DN1288">
            <v>0</v>
          </cell>
          <cell r="DO1288">
            <v>0</v>
          </cell>
          <cell r="DP1288">
            <v>0</v>
          </cell>
          <cell r="DQ1288">
            <v>0</v>
          </cell>
          <cell r="DR1288">
            <v>0</v>
          </cell>
          <cell r="DS1288">
            <v>0</v>
          </cell>
          <cell r="DT1288">
            <v>0</v>
          </cell>
          <cell r="DU1288">
            <v>0</v>
          </cell>
          <cell r="DV1288">
            <v>0</v>
          </cell>
          <cell r="DW1288">
            <v>8.9999999999999998E-4</v>
          </cell>
          <cell r="DX1288">
            <v>13.05</v>
          </cell>
          <cell r="DY1288" t="str">
            <v/>
          </cell>
          <cell r="DZ1288">
            <v>0</v>
          </cell>
          <cell r="EA1288">
            <v>14500.000000000002</v>
          </cell>
        </row>
        <row r="1289">
          <cell r="B1289">
            <v>374375</v>
          </cell>
          <cell r="C1289" t="str">
            <v>სუხარიკი_FANAT_შებოლილი ძეხვის გემოთი_60გ*90</v>
          </cell>
          <cell r="D1289" t="str">
            <v>TON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O1289">
            <v>0</v>
          </cell>
          <cell r="AP1289">
            <v>0</v>
          </cell>
          <cell r="AS1289">
            <v>0</v>
          </cell>
          <cell r="AT1289">
            <v>0</v>
          </cell>
          <cell r="AU1289">
            <v>1.08E-3</v>
          </cell>
          <cell r="AV1289">
            <v>14.64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H1289">
            <v>0</v>
          </cell>
          <cell r="BI1289">
            <v>-1.2E-4</v>
          </cell>
          <cell r="BJ1289">
            <v>-1.96</v>
          </cell>
          <cell r="BK1289">
            <v>0</v>
          </cell>
          <cell r="BL1289">
            <v>0</v>
          </cell>
          <cell r="BM1289">
            <v>0</v>
          </cell>
          <cell r="BN1289">
            <v>0</v>
          </cell>
          <cell r="BO1289">
            <v>0</v>
          </cell>
          <cell r="BP1289">
            <v>0</v>
          </cell>
          <cell r="BQ1289">
            <v>0</v>
          </cell>
          <cell r="BR1289">
            <v>0</v>
          </cell>
          <cell r="BS1289">
            <v>-1.2E-4</v>
          </cell>
          <cell r="BT1289">
            <v>-1.96</v>
          </cell>
          <cell r="BU1289">
            <v>0</v>
          </cell>
          <cell r="BV1289">
            <v>0</v>
          </cell>
          <cell r="BW1289">
            <v>0</v>
          </cell>
          <cell r="BX1289">
            <v>0</v>
          </cell>
          <cell r="BY1289">
            <v>0</v>
          </cell>
          <cell r="BZ1289">
            <v>0</v>
          </cell>
          <cell r="CA1289">
            <v>0</v>
          </cell>
          <cell r="CB1289">
            <v>0</v>
          </cell>
          <cell r="CC1289">
            <v>0</v>
          </cell>
          <cell r="CD1289">
            <v>0</v>
          </cell>
          <cell r="CE1289">
            <v>0</v>
          </cell>
          <cell r="CF1289">
            <v>0</v>
          </cell>
          <cell r="CG1289">
            <v>0</v>
          </cell>
          <cell r="CH1289">
            <v>0</v>
          </cell>
          <cell r="CI1289">
            <v>0</v>
          </cell>
          <cell r="CJ1289">
            <v>0</v>
          </cell>
          <cell r="CK1289">
            <v>-1.2E-4</v>
          </cell>
          <cell r="CL1289">
            <v>-1.96</v>
          </cell>
          <cell r="CO1289">
            <v>0</v>
          </cell>
          <cell r="CP1289">
            <v>0</v>
          </cell>
          <cell r="CQ1289">
            <v>0</v>
          </cell>
          <cell r="CR1289">
            <v>0</v>
          </cell>
          <cell r="CS1289">
            <v>0</v>
          </cell>
          <cell r="CT1289">
            <v>0</v>
          </cell>
          <cell r="CU1289">
            <v>5.9999999999999995E-4</v>
          </cell>
          <cell r="CV1289">
            <v>8.3000000000000007</v>
          </cell>
          <cell r="CW1289">
            <v>0</v>
          </cell>
          <cell r="CX1289">
            <v>0</v>
          </cell>
          <cell r="CY1289">
            <v>0</v>
          </cell>
          <cell r="CZ1289">
            <v>0</v>
          </cell>
          <cell r="DA1289">
            <v>0</v>
          </cell>
          <cell r="DB1289">
            <v>0</v>
          </cell>
          <cell r="DC1289">
            <v>0</v>
          </cell>
          <cell r="DD1289">
            <v>0</v>
          </cell>
          <cell r="DE1289">
            <v>0</v>
          </cell>
          <cell r="DF1289">
            <v>0</v>
          </cell>
          <cell r="DG1289">
            <v>0</v>
          </cell>
          <cell r="DH1289">
            <v>0</v>
          </cell>
          <cell r="DI1289">
            <v>5.9999999999999995E-4</v>
          </cell>
          <cell r="DJ1289">
            <v>8.3000000000000007</v>
          </cell>
          <cell r="DK1289">
            <v>0</v>
          </cell>
          <cell r="DL1289">
            <v>0</v>
          </cell>
          <cell r="DM1289">
            <v>5.9999999999999995E-4</v>
          </cell>
          <cell r="DN1289">
            <v>8.3000000000000007</v>
          </cell>
          <cell r="DO1289">
            <v>0</v>
          </cell>
          <cell r="DP1289">
            <v>0</v>
          </cell>
          <cell r="DQ1289">
            <v>5.9999999999999995E-4</v>
          </cell>
          <cell r="DR1289">
            <v>8.3000000000000007</v>
          </cell>
          <cell r="DS1289">
            <v>0</v>
          </cell>
          <cell r="DT1289">
            <v>0</v>
          </cell>
          <cell r="DU1289">
            <v>5.9999999999999995E-4</v>
          </cell>
          <cell r="DV1289">
            <v>8.3000000000000007</v>
          </cell>
          <cell r="DW1289">
            <v>1.0799999999999998E-3</v>
          </cell>
          <cell r="DX1289">
            <v>14.64</v>
          </cell>
          <cell r="DY1289" t="str">
            <v/>
          </cell>
          <cell r="DZ1289">
            <v>0</v>
          </cell>
          <cell r="EA1289">
            <v>13555.555555555558</v>
          </cell>
        </row>
        <row r="1290">
          <cell r="B1290">
            <v>374374</v>
          </cell>
          <cell r="C1290" t="str">
            <v>სუხარიკი_FANAT_ხბოს ხორცის და აჯიკის გემოთი_60გ*90</v>
          </cell>
          <cell r="D1290" t="str">
            <v>TON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O1290">
            <v>0</v>
          </cell>
          <cell r="AP1290">
            <v>0</v>
          </cell>
          <cell r="AS1290">
            <v>0</v>
          </cell>
          <cell r="AT1290">
            <v>0</v>
          </cell>
          <cell r="AU1290">
            <v>5.9999999999999995E-4</v>
          </cell>
          <cell r="AV1290">
            <v>8.3000000000000007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  <cell r="BO1290">
            <v>0</v>
          </cell>
          <cell r="BP1290">
            <v>0</v>
          </cell>
          <cell r="BQ1290">
            <v>0</v>
          </cell>
          <cell r="BR1290">
            <v>0</v>
          </cell>
          <cell r="BS1290">
            <v>0</v>
          </cell>
          <cell r="BT1290">
            <v>0</v>
          </cell>
          <cell r="BU1290">
            <v>0</v>
          </cell>
          <cell r="BV1290">
            <v>0</v>
          </cell>
          <cell r="BW1290">
            <v>0</v>
          </cell>
          <cell r="BX1290">
            <v>0</v>
          </cell>
          <cell r="BY1290">
            <v>0</v>
          </cell>
          <cell r="BZ1290">
            <v>0</v>
          </cell>
          <cell r="CA1290">
            <v>0</v>
          </cell>
          <cell r="CB1290">
            <v>0</v>
          </cell>
          <cell r="CC1290">
            <v>0</v>
          </cell>
          <cell r="CD1290">
            <v>0</v>
          </cell>
          <cell r="CE1290">
            <v>0</v>
          </cell>
          <cell r="CF1290">
            <v>0</v>
          </cell>
          <cell r="CG1290">
            <v>0</v>
          </cell>
          <cell r="CH1290">
            <v>0</v>
          </cell>
          <cell r="CI1290">
            <v>0</v>
          </cell>
          <cell r="CJ1290">
            <v>0</v>
          </cell>
          <cell r="CK1290">
            <v>0</v>
          </cell>
          <cell r="CL1290">
            <v>0</v>
          </cell>
          <cell r="CO1290">
            <v>0</v>
          </cell>
          <cell r="CP1290">
            <v>0</v>
          </cell>
          <cell r="CQ1290">
            <v>0</v>
          </cell>
          <cell r="CR1290">
            <v>0</v>
          </cell>
          <cell r="CS1290">
            <v>0</v>
          </cell>
          <cell r="CT1290">
            <v>0</v>
          </cell>
          <cell r="CU1290">
            <v>0</v>
          </cell>
          <cell r="CV1290">
            <v>0</v>
          </cell>
          <cell r="CW1290">
            <v>0</v>
          </cell>
          <cell r="CX1290">
            <v>0</v>
          </cell>
          <cell r="CY1290">
            <v>0</v>
          </cell>
          <cell r="CZ1290">
            <v>0</v>
          </cell>
          <cell r="DA1290">
            <v>0</v>
          </cell>
          <cell r="DB1290">
            <v>0</v>
          </cell>
          <cell r="DC1290">
            <v>0</v>
          </cell>
          <cell r="DD1290">
            <v>0</v>
          </cell>
          <cell r="DE1290">
            <v>0</v>
          </cell>
          <cell r="DF1290">
            <v>0</v>
          </cell>
          <cell r="DG1290">
            <v>0</v>
          </cell>
          <cell r="DH1290">
            <v>0</v>
          </cell>
          <cell r="DI1290">
            <v>5.9999999999999995E-4</v>
          </cell>
          <cell r="DJ1290">
            <v>8.3000000000000007</v>
          </cell>
          <cell r="DK1290">
            <v>0</v>
          </cell>
          <cell r="DL1290">
            <v>0</v>
          </cell>
          <cell r="DM1290">
            <v>5.9999999999999995E-4</v>
          </cell>
          <cell r="DN1290">
            <v>8.3000000000000007</v>
          </cell>
          <cell r="DO1290">
            <v>0</v>
          </cell>
          <cell r="DP1290">
            <v>0</v>
          </cell>
          <cell r="DQ1290">
            <v>0</v>
          </cell>
          <cell r="DR1290">
            <v>0</v>
          </cell>
          <cell r="DS1290">
            <v>0</v>
          </cell>
          <cell r="DT1290">
            <v>0</v>
          </cell>
          <cell r="DU1290">
            <v>0</v>
          </cell>
          <cell r="DV1290">
            <v>0</v>
          </cell>
          <cell r="DW1290">
            <v>5.9999999999999995E-4</v>
          </cell>
          <cell r="DX1290">
            <v>8.3000000000000007</v>
          </cell>
          <cell r="DY1290" t="str">
            <v/>
          </cell>
          <cell r="DZ1290">
            <v>0</v>
          </cell>
          <cell r="EA1290">
            <v>13833.333333333336</v>
          </cell>
        </row>
        <row r="1291">
          <cell r="B1291">
            <v>379551</v>
          </cell>
          <cell r="C1291" t="str">
            <v>სუხარიკი_FANAT_ცხარე-ტომატის გემოთი_30გ_18ც+2ც</v>
          </cell>
          <cell r="D1291" t="str">
            <v>TON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O1291">
            <v>0</v>
          </cell>
          <cell r="AP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>
            <v>0</v>
          </cell>
          <cell r="BR1291">
            <v>0</v>
          </cell>
          <cell r="BS1291">
            <v>0</v>
          </cell>
          <cell r="BT1291">
            <v>0</v>
          </cell>
          <cell r="BU1291">
            <v>0</v>
          </cell>
          <cell r="BV1291">
            <v>0</v>
          </cell>
          <cell r="BW1291">
            <v>0</v>
          </cell>
          <cell r="BX1291">
            <v>0</v>
          </cell>
          <cell r="BY1291">
            <v>0</v>
          </cell>
          <cell r="BZ1291">
            <v>0</v>
          </cell>
          <cell r="CA1291">
            <v>0</v>
          </cell>
          <cell r="CB1291">
            <v>0</v>
          </cell>
          <cell r="CC1291">
            <v>0</v>
          </cell>
          <cell r="CD1291">
            <v>0</v>
          </cell>
          <cell r="CE1291">
            <v>0</v>
          </cell>
          <cell r="CF1291">
            <v>0</v>
          </cell>
          <cell r="CG1291">
            <v>0</v>
          </cell>
          <cell r="CH1291">
            <v>0</v>
          </cell>
          <cell r="CI1291">
            <v>0</v>
          </cell>
          <cell r="CJ1291">
            <v>0</v>
          </cell>
          <cell r="CK1291">
            <v>0</v>
          </cell>
          <cell r="CL1291">
            <v>0</v>
          </cell>
          <cell r="CO1291">
            <v>0</v>
          </cell>
          <cell r="CP1291">
            <v>0</v>
          </cell>
          <cell r="CQ1291">
            <v>0</v>
          </cell>
          <cell r="CR1291">
            <v>0</v>
          </cell>
          <cell r="CS1291">
            <v>0</v>
          </cell>
          <cell r="CT1291">
            <v>0</v>
          </cell>
          <cell r="CU1291">
            <v>0</v>
          </cell>
          <cell r="CV1291">
            <v>0</v>
          </cell>
          <cell r="CW1291">
            <v>0</v>
          </cell>
          <cell r="CX1291">
            <v>0</v>
          </cell>
          <cell r="CY1291">
            <v>0</v>
          </cell>
          <cell r="CZ1291">
            <v>0</v>
          </cell>
          <cell r="DA1291">
            <v>0</v>
          </cell>
          <cell r="DB1291">
            <v>0</v>
          </cell>
          <cell r="DC1291">
            <v>0</v>
          </cell>
          <cell r="DD1291">
            <v>0</v>
          </cell>
          <cell r="DE1291">
            <v>0</v>
          </cell>
          <cell r="DF1291">
            <v>0</v>
          </cell>
          <cell r="DG1291">
            <v>0</v>
          </cell>
          <cell r="DH1291">
            <v>0</v>
          </cell>
          <cell r="DI1291">
            <v>0</v>
          </cell>
          <cell r="DJ1291">
            <v>0</v>
          </cell>
          <cell r="DK1291">
            <v>0</v>
          </cell>
          <cell r="DL1291">
            <v>0</v>
          </cell>
          <cell r="DM1291">
            <v>0</v>
          </cell>
          <cell r="DN1291">
            <v>0</v>
          </cell>
          <cell r="DO1291">
            <v>0</v>
          </cell>
          <cell r="DP1291">
            <v>0</v>
          </cell>
          <cell r="DQ1291">
            <v>0</v>
          </cell>
          <cell r="DR1291">
            <v>0</v>
          </cell>
          <cell r="DS1291">
            <v>0</v>
          </cell>
          <cell r="DT1291">
            <v>0</v>
          </cell>
          <cell r="DU1291">
            <v>0</v>
          </cell>
          <cell r="DV1291">
            <v>0</v>
          </cell>
          <cell r="DW1291">
            <v>0</v>
          </cell>
          <cell r="DX1291">
            <v>0</v>
          </cell>
          <cell r="DY1291" t="str">
            <v/>
          </cell>
          <cell r="DZ1291" t="str">
            <v>pasiv</v>
          </cell>
          <cell r="EA1291" t="e">
            <v>#DIV/0!</v>
          </cell>
        </row>
        <row r="1292">
          <cell r="B1292">
            <v>379552</v>
          </cell>
          <cell r="C1292" t="str">
            <v>სუხარიკი_FANAT_შაურმის გემოთი_30გ_18ც+2ც</v>
          </cell>
          <cell r="D1292" t="str">
            <v>TON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O1292">
            <v>0</v>
          </cell>
          <cell r="AP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>
            <v>0</v>
          </cell>
          <cell r="BR1292">
            <v>0</v>
          </cell>
          <cell r="BS1292">
            <v>0</v>
          </cell>
          <cell r="BT1292">
            <v>0</v>
          </cell>
          <cell r="BU1292">
            <v>0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  <cell r="CA1292">
            <v>0</v>
          </cell>
          <cell r="CB1292">
            <v>0</v>
          </cell>
          <cell r="CC1292">
            <v>0</v>
          </cell>
          <cell r="CD1292">
            <v>0</v>
          </cell>
          <cell r="CE1292">
            <v>0</v>
          </cell>
          <cell r="CF1292">
            <v>0</v>
          </cell>
          <cell r="CG1292">
            <v>0</v>
          </cell>
          <cell r="CH1292">
            <v>0</v>
          </cell>
          <cell r="CI1292">
            <v>0</v>
          </cell>
          <cell r="CJ1292">
            <v>0</v>
          </cell>
          <cell r="CK1292">
            <v>0</v>
          </cell>
          <cell r="CL1292">
            <v>0</v>
          </cell>
          <cell r="CO1292">
            <v>0</v>
          </cell>
          <cell r="CP1292">
            <v>0</v>
          </cell>
          <cell r="CQ1292">
            <v>0</v>
          </cell>
          <cell r="CR1292">
            <v>0</v>
          </cell>
          <cell r="CS1292">
            <v>0</v>
          </cell>
          <cell r="CT1292">
            <v>0</v>
          </cell>
          <cell r="CU1292">
            <v>0</v>
          </cell>
          <cell r="CV1292">
            <v>0</v>
          </cell>
          <cell r="CW1292">
            <v>0</v>
          </cell>
          <cell r="CX1292">
            <v>0</v>
          </cell>
          <cell r="CY1292">
            <v>0</v>
          </cell>
          <cell r="CZ1292">
            <v>0</v>
          </cell>
          <cell r="DA1292">
            <v>0</v>
          </cell>
          <cell r="DB1292">
            <v>0</v>
          </cell>
          <cell r="DC1292">
            <v>0</v>
          </cell>
          <cell r="DD1292">
            <v>0</v>
          </cell>
          <cell r="DE1292">
            <v>0</v>
          </cell>
          <cell r="DF1292">
            <v>0</v>
          </cell>
          <cell r="DG1292">
            <v>0</v>
          </cell>
          <cell r="DH1292">
            <v>0</v>
          </cell>
          <cell r="DI1292">
            <v>0</v>
          </cell>
          <cell r="DJ1292">
            <v>0</v>
          </cell>
          <cell r="DK1292">
            <v>0</v>
          </cell>
          <cell r="DL1292">
            <v>0</v>
          </cell>
          <cell r="DM1292">
            <v>0</v>
          </cell>
          <cell r="DN1292">
            <v>0</v>
          </cell>
          <cell r="DO1292">
            <v>0</v>
          </cell>
          <cell r="DP1292">
            <v>0</v>
          </cell>
          <cell r="DQ1292">
            <v>0</v>
          </cell>
          <cell r="DR1292">
            <v>0</v>
          </cell>
          <cell r="DS1292">
            <v>0</v>
          </cell>
          <cell r="DT1292">
            <v>0</v>
          </cell>
          <cell r="DU1292">
            <v>0</v>
          </cell>
          <cell r="DV1292">
            <v>0</v>
          </cell>
          <cell r="DW1292">
            <v>0</v>
          </cell>
          <cell r="DX1292">
            <v>0</v>
          </cell>
          <cell r="DY1292" t="str">
            <v/>
          </cell>
          <cell r="DZ1292" t="str">
            <v>pasiv</v>
          </cell>
          <cell r="EA1292" t="e">
            <v>#DIV/0!</v>
          </cell>
        </row>
        <row r="1293">
          <cell r="B1293">
            <v>379553</v>
          </cell>
          <cell r="C1293" t="str">
            <v>სუხარიკი_FANAT_მწვადის გემოთი_30გ_18ც+2ც</v>
          </cell>
          <cell r="D1293" t="str">
            <v>TON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O1293">
            <v>0</v>
          </cell>
          <cell r="AP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  <cell r="BO1293">
            <v>0</v>
          </cell>
          <cell r="BP1293">
            <v>0</v>
          </cell>
          <cell r="BQ1293">
            <v>0</v>
          </cell>
          <cell r="BR1293">
            <v>0</v>
          </cell>
          <cell r="BS1293">
            <v>0</v>
          </cell>
          <cell r="BT1293">
            <v>0</v>
          </cell>
          <cell r="BU1293">
            <v>0</v>
          </cell>
          <cell r="BV1293">
            <v>0</v>
          </cell>
          <cell r="BW1293">
            <v>0</v>
          </cell>
          <cell r="BX1293">
            <v>0</v>
          </cell>
          <cell r="BY1293">
            <v>0</v>
          </cell>
          <cell r="BZ1293">
            <v>0</v>
          </cell>
          <cell r="CA1293">
            <v>0</v>
          </cell>
          <cell r="CB1293">
            <v>0</v>
          </cell>
          <cell r="CC1293">
            <v>0</v>
          </cell>
          <cell r="CD1293">
            <v>0</v>
          </cell>
          <cell r="CE1293">
            <v>0</v>
          </cell>
          <cell r="CF1293">
            <v>0</v>
          </cell>
          <cell r="CG1293">
            <v>0</v>
          </cell>
          <cell r="CH1293">
            <v>0</v>
          </cell>
          <cell r="CI1293">
            <v>0</v>
          </cell>
          <cell r="CJ1293">
            <v>0</v>
          </cell>
          <cell r="CK1293">
            <v>0</v>
          </cell>
          <cell r="CL1293">
            <v>0</v>
          </cell>
          <cell r="CO1293">
            <v>0</v>
          </cell>
          <cell r="CP1293">
            <v>0</v>
          </cell>
          <cell r="CQ1293">
            <v>0</v>
          </cell>
          <cell r="CR1293">
            <v>0</v>
          </cell>
          <cell r="CS1293">
            <v>0</v>
          </cell>
          <cell r="CT1293">
            <v>0</v>
          </cell>
          <cell r="CU1293">
            <v>0</v>
          </cell>
          <cell r="CV1293">
            <v>0</v>
          </cell>
          <cell r="CW1293">
            <v>0</v>
          </cell>
          <cell r="CX1293">
            <v>0</v>
          </cell>
          <cell r="CY1293">
            <v>0</v>
          </cell>
          <cell r="CZ1293">
            <v>0</v>
          </cell>
          <cell r="DA1293">
            <v>0</v>
          </cell>
          <cell r="DB1293">
            <v>0</v>
          </cell>
          <cell r="DC1293">
            <v>0</v>
          </cell>
          <cell r="DD1293">
            <v>0</v>
          </cell>
          <cell r="DE1293">
            <v>0</v>
          </cell>
          <cell r="DF1293">
            <v>0</v>
          </cell>
          <cell r="DG1293">
            <v>0</v>
          </cell>
          <cell r="DH1293">
            <v>0</v>
          </cell>
          <cell r="DI1293">
            <v>0</v>
          </cell>
          <cell r="DJ1293">
            <v>0</v>
          </cell>
          <cell r="DK1293">
            <v>0</v>
          </cell>
          <cell r="DL1293">
            <v>0</v>
          </cell>
          <cell r="DM1293">
            <v>0</v>
          </cell>
          <cell r="DN1293">
            <v>0</v>
          </cell>
          <cell r="DO1293">
            <v>0</v>
          </cell>
          <cell r="DP1293">
            <v>0</v>
          </cell>
          <cell r="DQ1293">
            <v>0</v>
          </cell>
          <cell r="DR1293">
            <v>0</v>
          </cell>
          <cell r="DS1293">
            <v>0</v>
          </cell>
          <cell r="DT1293">
            <v>0</v>
          </cell>
          <cell r="DU1293">
            <v>0</v>
          </cell>
          <cell r="DV1293">
            <v>0</v>
          </cell>
          <cell r="DW1293">
            <v>0</v>
          </cell>
          <cell r="DX1293">
            <v>0</v>
          </cell>
          <cell r="DY1293" t="str">
            <v/>
          </cell>
          <cell r="DZ1293" t="str">
            <v>pasiv</v>
          </cell>
          <cell r="EA1293" t="e">
            <v>#DIV/0!</v>
          </cell>
        </row>
        <row r="1294">
          <cell r="B1294">
            <v>379554</v>
          </cell>
          <cell r="C1294" t="str">
            <v>სუხარიკი_FANAT_შებოლილი ძეხვის გემოთი_30გ_18ც+2ც</v>
          </cell>
          <cell r="D1294" t="str">
            <v>TON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O1294">
            <v>0</v>
          </cell>
          <cell r="AP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H1294">
            <v>0</v>
          </cell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>
            <v>0</v>
          </cell>
          <cell r="BN1294">
            <v>0</v>
          </cell>
          <cell r="BO1294">
            <v>0</v>
          </cell>
          <cell r="BP1294">
            <v>0</v>
          </cell>
          <cell r="BQ1294">
            <v>0</v>
          </cell>
          <cell r="BR1294">
            <v>0</v>
          </cell>
          <cell r="BS1294">
            <v>0</v>
          </cell>
          <cell r="BT1294">
            <v>0</v>
          </cell>
          <cell r="BU1294">
            <v>0</v>
          </cell>
          <cell r="BV1294">
            <v>0</v>
          </cell>
          <cell r="BW1294">
            <v>0</v>
          </cell>
          <cell r="BX1294">
            <v>0</v>
          </cell>
          <cell r="BY1294">
            <v>0</v>
          </cell>
          <cell r="BZ1294">
            <v>0</v>
          </cell>
          <cell r="CA1294">
            <v>0</v>
          </cell>
          <cell r="CB1294">
            <v>0</v>
          </cell>
          <cell r="CC1294">
            <v>0</v>
          </cell>
          <cell r="CD1294">
            <v>0</v>
          </cell>
          <cell r="CE1294">
            <v>0</v>
          </cell>
          <cell r="CF1294">
            <v>0</v>
          </cell>
          <cell r="CG1294">
            <v>0</v>
          </cell>
          <cell r="CH1294">
            <v>0</v>
          </cell>
          <cell r="CI1294">
            <v>0</v>
          </cell>
          <cell r="CJ1294">
            <v>0</v>
          </cell>
          <cell r="CK1294">
            <v>0</v>
          </cell>
          <cell r="CL1294">
            <v>0</v>
          </cell>
          <cell r="CO1294">
            <v>0</v>
          </cell>
          <cell r="CP1294">
            <v>0</v>
          </cell>
          <cell r="CQ1294">
            <v>0</v>
          </cell>
          <cell r="CR1294">
            <v>0</v>
          </cell>
          <cell r="CS1294">
            <v>0</v>
          </cell>
          <cell r="CT1294">
            <v>0</v>
          </cell>
          <cell r="CU1294">
            <v>0</v>
          </cell>
          <cell r="CV1294">
            <v>0</v>
          </cell>
          <cell r="CW1294">
            <v>0</v>
          </cell>
          <cell r="CX1294">
            <v>0</v>
          </cell>
          <cell r="CY1294">
            <v>0</v>
          </cell>
          <cell r="CZ1294">
            <v>0</v>
          </cell>
          <cell r="DA1294">
            <v>0</v>
          </cell>
          <cell r="DB1294">
            <v>0</v>
          </cell>
          <cell r="DC1294">
            <v>0</v>
          </cell>
          <cell r="DD1294">
            <v>0</v>
          </cell>
          <cell r="DE1294">
            <v>0</v>
          </cell>
          <cell r="DF1294">
            <v>0</v>
          </cell>
          <cell r="DG1294">
            <v>0</v>
          </cell>
          <cell r="DH1294">
            <v>0</v>
          </cell>
          <cell r="DI1294">
            <v>0</v>
          </cell>
          <cell r="DJ1294">
            <v>0</v>
          </cell>
          <cell r="DK1294">
            <v>0</v>
          </cell>
          <cell r="DL1294">
            <v>0</v>
          </cell>
          <cell r="DM1294">
            <v>0</v>
          </cell>
          <cell r="DN1294">
            <v>0</v>
          </cell>
          <cell r="DO1294">
            <v>0</v>
          </cell>
          <cell r="DP1294">
            <v>0</v>
          </cell>
          <cell r="DQ1294">
            <v>0</v>
          </cell>
          <cell r="DR1294">
            <v>0</v>
          </cell>
          <cell r="DS1294">
            <v>0</v>
          </cell>
          <cell r="DT1294">
            <v>0</v>
          </cell>
          <cell r="DU1294">
            <v>0</v>
          </cell>
          <cell r="DV1294">
            <v>0</v>
          </cell>
          <cell r="DW1294">
            <v>0</v>
          </cell>
          <cell r="DX1294">
            <v>0</v>
          </cell>
          <cell r="DY1294" t="str">
            <v/>
          </cell>
          <cell r="DZ1294" t="str">
            <v>pasiv</v>
          </cell>
          <cell r="EA1294" t="e">
            <v>#DIV/0!</v>
          </cell>
        </row>
        <row r="1295">
          <cell r="B1295">
            <v>379555</v>
          </cell>
          <cell r="C1295" t="str">
            <v>სუხარიკი_FANAT_ხბოს ხორც.აჯიკის გემოთი_30გ_18ც+2ც</v>
          </cell>
          <cell r="D1295" t="str">
            <v>TON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O1295">
            <v>0</v>
          </cell>
          <cell r="AP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0</v>
          </cell>
          <cell r="BJ1295">
            <v>0</v>
          </cell>
          <cell r="BK1295">
            <v>0</v>
          </cell>
          <cell r="BL1295">
            <v>0</v>
          </cell>
          <cell r="BM1295">
            <v>0</v>
          </cell>
          <cell r="BN1295">
            <v>0</v>
          </cell>
          <cell r="BO1295">
            <v>0</v>
          </cell>
          <cell r="BP1295">
            <v>0</v>
          </cell>
          <cell r="BQ1295">
            <v>0</v>
          </cell>
          <cell r="BR1295">
            <v>0</v>
          </cell>
          <cell r="BS1295">
            <v>0</v>
          </cell>
          <cell r="BT1295">
            <v>0</v>
          </cell>
          <cell r="BU1295">
            <v>0</v>
          </cell>
          <cell r="BV1295">
            <v>0</v>
          </cell>
          <cell r="BW1295">
            <v>0</v>
          </cell>
          <cell r="BX1295">
            <v>0</v>
          </cell>
          <cell r="BY1295">
            <v>0</v>
          </cell>
          <cell r="BZ1295">
            <v>0</v>
          </cell>
          <cell r="CA1295">
            <v>0</v>
          </cell>
          <cell r="CB1295">
            <v>0</v>
          </cell>
          <cell r="CC1295">
            <v>0</v>
          </cell>
          <cell r="CD1295">
            <v>0</v>
          </cell>
          <cell r="CE1295">
            <v>0</v>
          </cell>
          <cell r="CF1295">
            <v>0</v>
          </cell>
          <cell r="CG1295">
            <v>0</v>
          </cell>
          <cell r="CH1295">
            <v>0</v>
          </cell>
          <cell r="CI1295">
            <v>0</v>
          </cell>
          <cell r="CJ1295">
            <v>0</v>
          </cell>
          <cell r="CK1295">
            <v>0</v>
          </cell>
          <cell r="CL1295">
            <v>0</v>
          </cell>
          <cell r="CO1295">
            <v>0</v>
          </cell>
          <cell r="CP1295">
            <v>0</v>
          </cell>
          <cell r="CQ1295">
            <v>0</v>
          </cell>
          <cell r="CR1295">
            <v>0</v>
          </cell>
          <cell r="CS1295">
            <v>0</v>
          </cell>
          <cell r="CT1295">
            <v>0</v>
          </cell>
          <cell r="CU1295">
            <v>0</v>
          </cell>
          <cell r="CV1295">
            <v>0</v>
          </cell>
          <cell r="CW1295">
            <v>0</v>
          </cell>
          <cell r="CX1295">
            <v>0</v>
          </cell>
          <cell r="CY1295">
            <v>0</v>
          </cell>
          <cell r="CZ1295">
            <v>0</v>
          </cell>
          <cell r="DA1295">
            <v>0</v>
          </cell>
          <cell r="DB1295">
            <v>0</v>
          </cell>
          <cell r="DC1295">
            <v>0</v>
          </cell>
          <cell r="DD1295">
            <v>0</v>
          </cell>
          <cell r="DE1295">
            <v>0</v>
          </cell>
          <cell r="DF1295">
            <v>0</v>
          </cell>
          <cell r="DG1295">
            <v>0</v>
          </cell>
          <cell r="DH1295">
            <v>0</v>
          </cell>
          <cell r="DI1295">
            <v>0</v>
          </cell>
          <cell r="DJ1295">
            <v>0</v>
          </cell>
          <cell r="DK1295">
            <v>0</v>
          </cell>
          <cell r="DL1295">
            <v>0</v>
          </cell>
          <cell r="DM1295">
            <v>0</v>
          </cell>
          <cell r="DN1295">
            <v>0</v>
          </cell>
          <cell r="DO1295">
            <v>0</v>
          </cell>
          <cell r="DP1295">
            <v>0</v>
          </cell>
          <cell r="DQ1295">
            <v>0</v>
          </cell>
          <cell r="DR1295">
            <v>0</v>
          </cell>
          <cell r="DS1295">
            <v>0</v>
          </cell>
          <cell r="DT1295">
            <v>0</v>
          </cell>
          <cell r="DU1295">
            <v>0</v>
          </cell>
          <cell r="DV1295">
            <v>0</v>
          </cell>
          <cell r="DW1295">
            <v>0</v>
          </cell>
          <cell r="DX1295">
            <v>0</v>
          </cell>
          <cell r="DY1295" t="str">
            <v/>
          </cell>
          <cell r="DZ1295" t="str">
            <v>pasiv</v>
          </cell>
          <cell r="EA1295" t="e">
            <v>#DIV/0!</v>
          </cell>
        </row>
        <row r="1296">
          <cell r="B1296">
            <v>379556</v>
          </cell>
          <cell r="C1296" t="str">
            <v>სუხარიკი_FANAT_ყველის გემოთი_60გ_20ც+2ც</v>
          </cell>
          <cell r="D1296" t="str">
            <v>TON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O1296">
            <v>0</v>
          </cell>
          <cell r="AP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  <cell r="CA1296">
            <v>0</v>
          </cell>
          <cell r="CB1296">
            <v>0</v>
          </cell>
          <cell r="CC1296">
            <v>0</v>
          </cell>
          <cell r="CD1296">
            <v>0</v>
          </cell>
          <cell r="CE1296">
            <v>0</v>
          </cell>
          <cell r="CF1296">
            <v>0</v>
          </cell>
          <cell r="CG1296">
            <v>0</v>
          </cell>
          <cell r="CH1296">
            <v>0</v>
          </cell>
          <cell r="CI1296">
            <v>0</v>
          </cell>
          <cell r="CJ1296">
            <v>0</v>
          </cell>
          <cell r="CK1296">
            <v>0</v>
          </cell>
          <cell r="CL1296">
            <v>0</v>
          </cell>
          <cell r="CO1296">
            <v>0</v>
          </cell>
          <cell r="CP1296">
            <v>0</v>
          </cell>
          <cell r="CQ1296">
            <v>0</v>
          </cell>
          <cell r="CR1296">
            <v>0</v>
          </cell>
          <cell r="CS1296">
            <v>0</v>
          </cell>
          <cell r="CT1296">
            <v>0</v>
          </cell>
          <cell r="CU1296">
            <v>0</v>
          </cell>
          <cell r="CV1296">
            <v>0</v>
          </cell>
          <cell r="CW1296">
            <v>0</v>
          </cell>
          <cell r="CX1296">
            <v>0</v>
          </cell>
          <cell r="CY1296">
            <v>0</v>
          </cell>
          <cell r="CZ1296">
            <v>0</v>
          </cell>
          <cell r="DA1296">
            <v>0</v>
          </cell>
          <cell r="DB1296">
            <v>0</v>
          </cell>
          <cell r="DC1296">
            <v>0</v>
          </cell>
          <cell r="DD1296">
            <v>0</v>
          </cell>
          <cell r="DE1296">
            <v>0</v>
          </cell>
          <cell r="DF1296">
            <v>0</v>
          </cell>
          <cell r="DG1296">
            <v>0</v>
          </cell>
          <cell r="DH1296">
            <v>0</v>
          </cell>
          <cell r="DI1296">
            <v>0</v>
          </cell>
          <cell r="DJ1296">
            <v>0</v>
          </cell>
          <cell r="DK1296">
            <v>0</v>
          </cell>
          <cell r="DL1296">
            <v>0</v>
          </cell>
          <cell r="DM1296">
            <v>0</v>
          </cell>
          <cell r="DN1296">
            <v>0</v>
          </cell>
          <cell r="DO1296">
            <v>0</v>
          </cell>
          <cell r="DP1296">
            <v>0</v>
          </cell>
          <cell r="DQ1296">
            <v>0</v>
          </cell>
          <cell r="DR1296">
            <v>0</v>
          </cell>
          <cell r="DS1296">
            <v>0</v>
          </cell>
          <cell r="DT1296">
            <v>0</v>
          </cell>
          <cell r="DU1296">
            <v>0</v>
          </cell>
          <cell r="DV1296">
            <v>0</v>
          </cell>
          <cell r="DW1296">
            <v>0</v>
          </cell>
          <cell r="DX1296">
            <v>0</v>
          </cell>
          <cell r="DY1296" t="str">
            <v/>
          </cell>
          <cell r="DZ1296" t="str">
            <v>pasiv</v>
          </cell>
          <cell r="EA1296" t="e">
            <v>#DIV/0!</v>
          </cell>
        </row>
        <row r="1297">
          <cell r="B1297">
            <v>379589</v>
          </cell>
          <cell r="C1297" t="str">
            <v>სუხარიკი_FANAT_ცხარე-ტომატის გემოთი_60გ_20ც+2ც</v>
          </cell>
          <cell r="D1297" t="str">
            <v>TON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O1297">
            <v>0</v>
          </cell>
          <cell r="AP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0</v>
          </cell>
          <cell r="BJ1297">
            <v>0</v>
          </cell>
          <cell r="BK1297">
            <v>0</v>
          </cell>
          <cell r="BL1297">
            <v>0</v>
          </cell>
          <cell r="BM1297">
            <v>0</v>
          </cell>
          <cell r="BN1297">
            <v>0</v>
          </cell>
          <cell r="BO1297">
            <v>0</v>
          </cell>
          <cell r="BP1297">
            <v>0</v>
          </cell>
          <cell r="BQ1297">
            <v>0</v>
          </cell>
          <cell r="BR1297">
            <v>0</v>
          </cell>
          <cell r="BS1297">
            <v>0</v>
          </cell>
          <cell r="BT1297">
            <v>0</v>
          </cell>
          <cell r="BU1297">
            <v>0</v>
          </cell>
          <cell r="BV1297">
            <v>0</v>
          </cell>
          <cell r="BW1297">
            <v>0</v>
          </cell>
          <cell r="BX1297">
            <v>0</v>
          </cell>
          <cell r="BY1297">
            <v>0</v>
          </cell>
          <cell r="BZ1297">
            <v>0</v>
          </cell>
          <cell r="CA1297">
            <v>0</v>
          </cell>
          <cell r="CB1297">
            <v>0</v>
          </cell>
          <cell r="CC1297">
            <v>0</v>
          </cell>
          <cell r="CD1297">
            <v>0</v>
          </cell>
          <cell r="CE1297">
            <v>0</v>
          </cell>
          <cell r="CF1297">
            <v>0</v>
          </cell>
          <cell r="CG1297">
            <v>0</v>
          </cell>
          <cell r="CH1297">
            <v>0</v>
          </cell>
          <cell r="CI1297">
            <v>0</v>
          </cell>
          <cell r="CJ1297">
            <v>0</v>
          </cell>
          <cell r="CK1297">
            <v>0</v>
          </cell>
          <cell r="CL1297">
            <v>0</v>
          </cell>
          <cell r="CO1297">
            <v>0</v>
          </cell>
          <cell r="CP1297">
            <v>0</v>
          </cell>
          <cell r="CQ1297">
            <v>0</v>
          </cell>
          <cell r="CR1297">
            <v>0</v>
          </cell>
          <cell r="CS1297">
            <v>0</v>
          </cell>
          <cell r="CT1297">
            <v>0</v>
          </cell>
          <cell r="CU1297">
            <v>0</v>
          </cell>
          <cell r="CV1297">
            <v>0</v>
          </cell>
          <cell r="CW1297">
            <v>0</v>
          </cell>
          <cell r="CX1297">
            <v>0</v>
          </cell>
          <cell r="CY1297">
            <v>0</v>
          </cell>
          <cell r="CZ1297">
            <v>0</v>
          </cell>
          <cell r="DA1297">
            <v>0</v>
          </cell>
          <cell r="DB1297">
            <v>0</v>
          </cell>
          <cell r="DC1297">
            <v>0</v>
          </cell>
          <cell r="DD1297">
            <v>0</v>
          </cell>
          <cell r="DE1297">
            <v>0</v>
          </cell>
          <cell r="DF1297">
            <v>0</v>
          </cell>
          <cell r="DG1297">
            <v>0</v>
          </cell>
          <cell r="DH1297">
            <v>0</v>
          </cell>
          <cell r="DI1297">
            <v>0</v>
          </cell>
          <cell r="DJ1297">
            <v>0</v>
          </cell>
          <cell r="DK1297">
            <v>0</v>
          </cell>
          <cell r="DL1297">
            <v>0</v>
          </cell>
          <cell r="DM1297">
            <v>0</v>
          </cell>
          <cell r="DN1297">
            <v>0</v>
          </cell>
          <cell r="DO1297">
            <v>0</v>
          </cell>
          <cell r="DP1297">
            <v>0</v>
          </cell>
          <cell r="DQ1297">
            <v>0</v>
          </cell>
          <cell r="DR1297">
            <v>0</v>
          </cell>
          <cell r="DS1297">
            <v>0</v>
          </cell>
          <cell r="DT1297">
            <v>0</v>
          </cell>
          <cell r="DU1297">
            <v>0</v>
          </cell>
          <cell r="DV1297">
            <v>0</v>
          </cell>
          <cell r="DW1297">
            <v>0</v>
          </cell>
          <cell r="DX1297">
            <v>0</v>
          </cell>
          <cell r="DY1297" t="str">
            <v/>
          </cell>
          <cell r="DZ1297" t="str">
            <v>pasiv</v>
          </cell>
          <cell r="EA1297" t="e">
            <v>#DIV/0!</v>
          </cell>
        </row>
        <row r="1298">
          <cell r="B1298">
            <v>379590</v>
          </cell>
          <cell r="C1298" t="str">
            <v>სუხარიკი_FANAT_მწვადის გემოთი_60გ_20ც+2ც</v>
          </cell>
          <cell r="D1298" t="str">
            <v>TON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O1298">
            <v>0</v>
          </cell>
          <cell r="AP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0</v>
          </cell>
          <cell r="BL1298">
            <v>0</v>
          </cell>
          <cell r="BM1298">
            <v>0</v>
          </cell>
          <cell r="BN1298">
            <v>0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  <cell r="CA1298">
            <v>0</v>
          </cell>
          <cell r="CB1298">
            <v>0</v>
          </cell>
          <cell r="CC1298">
            <v>0</v>
          </cell>
          <cell r="CD1298">
            <v>0</v>
          </cell>
          <cell r="CE1298">
            <v>0</v>
          </cell>
          <cell r="CF1298">
            <v>0</v>
          </cell>
          <cell r="CG1298">
            <v>0</v>
          </cell>
          <cell r="CH1298">
            <v>0</v>
          </cell>
          <cell r="CI1298">
            <v>0</v>
          </cell>
          <cell r="CJ1298">
            <v>0</v>
          </cell>
          <cell r="CK1298">
            <v>0</v>
          </cell>
          <cell r="CL1298">
            <v>0</v>
          </cell>
          <cell r="CO1298">
            <v>0</v>
          </cell>
          <cell r="CP1298">
            <v>0</v>
          </cell>
          <cell r="CQ1298">
            <v>0</v>
          </cell>
          <cell r="CR1298">
            <v>0</v>
          </cell>
          <cell r="CS1298">
            <v>0</v>
          </cell>
          <cell r="CT1298">
            <v>0</v>
          </cell>
          <cell r="CU1298">
            <v>0</v>
          </cell>
          <cell r="CV1298">
            <v>0</v>
          </cell>
          <cell r="CW1298">
            <v>0</v>
          </cell>
          <cell r="CX1298">
            <v>0</v>
          </cell>
          <cell r="CY1298">
            <v>0</v>
          </cell>
          <cell r="CZ1298">
            <v>0</v>
          </cell>
          <cell r="DA1298">
            <v>0</v>
          </cell>
          <cell r="DB1298">
            <v>0</v>
          </cell>
          <cell r="DC1298">
            <v>0</v>
          </cell>
          <cell r="DD1298">
            <v>0</v>
          </cell>
          <cell r="DE1298">
            <v>0</v>
          </cell>
          <cell r="DF1298">
            <v>0</v>
          </cell>
          <cell r="DG1298">
            <v>0</v>
          </cell>
          <cell r="DH1298">
            <v>0</v>
          </cell>
          <cell r="DI1298">
            <v>0</v>
          </cell>
          <cell r="DJ1298">
            <v>0</v>
          </cell>
          <cell r="DK1298">
            <v>0</v>
          </cell>
          <cell r="DL1298">
            <v>0</v>
          </cell>
          <cell r="DM1298">
            <v>0</v>
          </cell>
          <cell r="DN1298">
            <v>0</v>
          </cell>
          <cell r="DO1298">
            <v>0</v>
          </cell>
          <cell r="DP1298">
            <v>0</v>
          </cell>
          <cell r="DQ1298">
            <v>0</v>
          </cell>
          <cell r="DR1298">
            <v>0</v>
          </cell>
          <cell r="DS1298">
            <v>0</v>
          </cell>
          <cell r="DT1298">
            <v>0</v>
          </cell>
          <cell r="DU1298">
            <v>0</v>
          </cell>
          <cell r="DV1298">
            <v>0</v>
          </cell>
          <cell r="DW1298">
            <v>0</v>
          </cell>
          <cell r="DX1298">
            <v>0</v>
          </cell>
          <cell r="DY1298" t="str">
            <v/>
          </cell>
          <cell r="DZ1298" t="str">
            <v>pasiv</v>
          </cell>
          <cell r="EA1298" t="e">
            <v>#DIV/0!</v>
          </cell>
        </row>
        <row r="1299">
          <cell r="B1299">
            <v>379591</v>
          </cell>
          <cell r="C1299" t="str">
            <v>სუხარიკი_FANAT_შებოლილი ძეხვის გემოთი_60გ_20ც+2ც</v>
          </cell>
          <cell r="D1299" t="str">
            <v>TON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O1299">
            <v>0</v>
          </cell>
          <cell r="AP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0</v>
          </cell>
          <cell r="BJ1299">
            <v>0</v>
          </cell>
          <cell r="BK1299">
            <v>0</v>
          </cell>
          <cell r="BL1299">
            <v>0</v>
          </cell>
          <cell r="BM1299">
            <v>0</v>
          </cell>
          <cell r="BN1299">
            <v>0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0</v>
          </cell>
          <cell r="BV1299">
            <v>0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  <cell r="CA1299">
            <v>0</v>
          </cell>
          <cell r="CB1299">
            <v>0</v>
          </cell>
          <cell r="CC1299">
            <v>0</v>
          </cell>
          <cell r="CD1299">
            <v>0</v>
          </cell>
          <cell r="CE1299">
            <v>0</v>
          </cell>
          <cell r="CF1299">
            <v>0</v>
          </cell>
          <cell r="CG1299">
            <v>0</v>
          </cell>
          <cell r="CH1299">
            <v>0</v>
          </cell>
          <cell r="CI1299">
            <v>0</v>
          </cell>
          <cell r="CJ1299">
            <v>0</v>
          </cell>
          <cell r="CK1299">
            <v>0</v>
          </cell>
          <cell r="CL1299">
            <v>0</v>
          </cell>
          <cell r="CO1299">
            <v>0</v>
          </cell>
          <cell r="CP1299">
            <v>0</v>
          </cell>
          <cell r="CQ1299">
            <v>0</v>
          </cell>
          <cell r="CR1299">
            <v>0</v>
          </cell>
          <cell r="CS1299">
            <v>0</v>
          </cell>
          <cell r="CT1299">
            <v>0</v>
          </cell>
          <cell r="CU1299">
            <v>0</v>
          </cell>
          <cell r="CV1299">
            <v>0</v>
          </cell>
          <cell r="CW1299">
            <v>0</v>
          </cell>
          <cell r="CX1299">
            <v>0</v>
          </cell>
          <cell r="CY1299">
            <v>0</v>
          </cell>
          <cell r="CZ1299">
            <v>0</v>
          </cell>
          <cell r="DA1299">
            <v>0</v>
          </cell>
          <cell r="DB1299">
            <v>0</v>
          </cell>
          <cell r="DC1299">
            <v>0</v>
          </cell>
          <cell r="DD1299">
            <v>0</v>
          </cell>
          <cell r="DE1299">
            <v>0</v>
          </cell>
          <cell r="DF1299">
            <v>0</v>
          </cell>
          <cell r="DG1299">
            <v>0</v>
          </cell>
          <cell r="DH1299">
            <v>0</v>
          </cell>
          <cell r="DI1299">
            <v>0</v>
          </cell>
          <cell r="DJ1299">
            <v>0</v>
          </cell>
          <cell r="DK1299">
            <v>0</v>
          </cell>
          <cell r="DL1299">
            <v>0</v>
          </cell>
          <cell r="DM1299">
            <v>0</v>
          </cell>
          <cell r="DN1299">
            <v>0</v>
          </cell>
          <cell r="DO1299">
            <v>0</v>
          </cell>
          <cell r="DP1299">
            <v>0</v>
          </cell>
          <cell r="DQ1299">
            <v>0</v>
          </cell>
          <cell r="DR1299">
            <v>0</v>
          </cell>
          <cell r="DS1299">
            <v>0</v>
          </cell>
          <cell r="DT1299">
            <v>0</v>
          </cell>
          <cell r="DU1299">
            <v>0</v>
          </cell>
          <cell r="DV1299">
            <v>0</v>
          </cell>
          <cell r="DW1299">
            <v>0</v>
          </cell>
          <cell r="DX1299">
            <v>0</v>
          </cell>
          <cell r="DY1299" t="str">
            <v/>
          </cell>
          <cell r="DZ1299" t="str">
            <v>pasiv</v>
          </cell>
          <cell r="EA1299" t="e">
            <v>#DIV/0!</v>
          </cell>
        </row>
        <row r="1300">
          <cell r="B1300">
            <v>379592</v>
          </cell>
          <cell r="C1300" t="str">
            <v>სუხარიკი_FANAT_ხბოს ხორცის და აჯიკის გემოთი_60გ_20</v>
          </cell>
          <cell r="D1300" t="str">
            <v>TON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O1300">
            <v>0</v>
          </cell>
          <cell r="AP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0</v>
          </cell>
          <cell r="BJ1300">
            <v>0</v>
          </cell>
          <cell r="BK1300">
            <v>0</v>
          </cell>
          <cell r="BL1300">
            <v>0</v>
          </cell>
          <cell r="BM1300">
            <v>0</v>
          </cell>
          <cell r="BN1300">
            <v>0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  <cell r="CA1300">
            <v>0</v>
          </cell>
          <cell r="CB1300">
            <v>0</v>
          </cell>
          <cell r="CC1300">
            <v>0</v>
          </cell>
          <cell r="CD1300">
            <v>0</v>
          </cell>
          <cell r="CE1300">
            <v>0</v>
          </cell>
          <cell r="CF1300">
            <v>0</v>
          </cell>
          <cell r="CG1300">
            <v>0</v>
          </cell>
          <cell r="CH1300">
            <v>0</v>
          </cell>
          <cell r="CI1300">
            <v>0</v>
          </cell>
          <cell r="CJ1300">
            <v>0</v>
          </cell>
          <cell r="CK1300">
            <v>0</v>
          </cell>
          <cell r="CL1300">
            <v>0</v>
          </cell>
          <cell r="CO1300">
            <v>0</v>
          </cell>
          <cell r="CP1300">
            <v>0</v>
          </cell>
          <cell r="CQ1300">
            <v>0</v>
          </cell>
          <cell r="CR1300">
            <v>0</v>
          </cell>
          <cell r="CS1300">
            <v>0</v>
          </cell>
          <cell r="CT1300">
            <v>0</v>
          </cell>
          <cell r="CU1300">
            <v>0</v>
          </cell>
          <cell r="CV1300">
            <v>0</v>
          </cell>
          <cell r="CW1300">
            <v>0</v>
          </cell>
          <cell r="CX1300">
            <v>0</v>
          </cell>
          <cell r="CY1300">
            <v>0</v>
          </cell>
          <cell r="CZ1300">
            <v>0</v>
          </cell>
          <cell r="DA1300">
            <v>0</v>
          </cell>
          <cell r="DB1300">
            <v>0</v>
          </cell>
          <cell r="DC1300">
            <v>0</v>
          </cell>
          <cell r="DD1300">
            <v>0</v>
          </cell>
          <cell r="DE1300">
            <v>0</v>
          </cell>
          <cell r="DF1300">
            <v>0</v>
          </cell>
          <cell r="DG1300">
            <v>0</v>
          </cell>
          <cell r="DH1300">
            <v>0</v>
          </cell>
          <cell r="DI1300">
            <v>0</v>
          </cell>
          <cell r="DJ1300">
            <v>0</v>
          </cell>
          <cell r="DK1300">
            <v>0</v>
          </cell>
          <cell r="DL1300">
            <v>0</v>
          </cell>
          <cell r="DM1300">
            <v>0</v>
          </cell>
          <cell r="DN1300">
            <v>0</v>
          </cell>
          <cell r="DO1300">
            <v>0</v>
          </cell>
          <cell r="DP1300">
            <v>0</v>
          </cell>
          <cell r="DQ1300">
            <v>0</v>
          </cell>
          <cell r="DR1300">
            <v>0</v>
          </cell>
          <cell r="DS1300">
            <v>0</v>
          </cell>
          <cell r="DT1300">
            <v>0</v>
          </cell>
          <cell r="DU1300">
            <v>0</v>
          </cell>
          <cell r="DV1300">
            <v>0</v>
          </cell>
          <cell r="DW1300">
            <v>0</v>
          </cell>
          <cell r="DX1300">
            <v>0</v>
          </cell>
          <cell r="DY1300" t="str">
            <v/>
          </cell>
          <cell r="DZ1300" t="str">
            <v>pasiv</v>
          </cell>
          <cell r="EA1300" t="e">
            <v>#DIV/0!</v>
          </cell>
        </row>
        <row r="1301">
          <cell r="A1301">
            <v>222</v>
          </cell>
          <cell r="C1301" t="str">
            <v>SUXAR URUMLER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5.9999999999999995E-4</v>
          </cell>
          <cell r="T1301">
            <v>77.599999999999994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5.9999999999999995E-4</v>
          </cell>
          <cell r="Z1301">
            <v>77.599999999999994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3.3120000000000004E-2</v>
          </cell>
          <cell r="AV1301">
            <v>1717.5000000000002</v>
          </cell>
          <cell r="AW1301">
            <v>0</v>
          </cell>
          <cell r="AX1301">
            <v>0</v>
          </cell>
          <cell r="AY1301">
            <v>1.8E-3</v>
          </cell>
          <cell r="AZ1301">
            <v>25.65</v>
          </cell>
          <cell r="BA1301">
            <v>0</v>
          </cell>
          <cell r="BB1301">
            <v>0</v>
          </cell>
          <cell r="BC1301">
            <v>5.4599999999999996E-3</v>
          </cell>
          <cell r="BD1301">
            <v>228.24</v>
          </cell>
          <cell r="BE1301">
            <v>7.2599999999999991E-3</v>
          </cell>
          <cell r="BF1301">
            <v>253.89000000000001</v>
          </cell>
          <cell r="BG1301">
            <v>0</v>
          </cell>
          <cell r="BH1301">
            <v>0</v>
          </cell>
          <cell r="BI1301">
            <v>-1.2E-4</v>
          </cell>
          <cell r="BJ1301">
            <v>-1.96</v>
          </cell>
          <cell r="BK1301">
            <v>0</v>
          </cell>
          <cell r="BL1301">
            <v>0</v>
          </cell>
          <cell r="BM1301">
            <v>4.4999999999999997E-3</v>
          </cell>
          <cell r="BN1301">
            <v>534</v>
          </cell>
          <cell r="BO1301">
            <v>1.2600000000000001E-3</v>
          </cell>
          <cell r="BP1301">
            <v>11.2</v>
          </cell>
          <cell r="BQ1301">
            <v>0</v>
          </cell>
          <cell r="BR1301">
            <v>0</v>
          </cell>
          <cell r="BS1301">
            <v>5.6399999999999992E-3</v>
          </cell>
          <cell r="BT1301">
            <v>543.24</v>
          </cell>
          <cell r="BU1301">
            <v>0</v>
          </cell>
          <cell r="BV1301">
            <v>0</v>
          </cell>
          <cell r="BW1301">
            <v>0</v>
          </cell>
          <cell r="BX1301">
            <v>0</v>
          </cell>
          <cell r="BY1301">
            <v>0</v>
          </cell>
          <cell r="BZ1301">
            <v>0</v>
          </cell>
          <cell r="CA1301">
            <v>0</v>
          </cell>
          <cell r="CB1301">
            <v>0</v>
          </cell>
          <cell r="CC1301">
            <v>0</v>
          </cell>
          <cell r="CD1301">
            <v>0</v>
          </cell>
          <cell r="CE1301">
            <v>0</v>
          </cell>
          <cell r="CF1301">
            <v>0</v>
          </cell>
          <cell r="CG1301">
            <v>0</v>
          </cell>
          <cell r="CH1301">
            <v>0</v>
          </cell>
          <cell r="CI1301">
            <v>0</v>
          </cell>
          <cell r="CJ1301">
            <v>0</v>
          </cell>
          <cell r="CK1301">
            <v>5.6399999999999992E-3</v>
          </cell>
          <cell r="CL1301">
            <v>543.24</v>
          </cell>
          <cell r="CM1301">
            <v>0</v>
          </cell>
          <cell r="CN1301">
            <v>0</v>
          </cell>
          <cell r="CO1301">
            <v>0</v>
          </cell>
          <cell r="CP1301">
            <v>0</v>
          </cell>
          <cell r="CQ1301">
            <v>0</v>
          </cell>
          <cell r="CR1301">
            <v>0</v>
          </cell>
          <cell r="CS1301">
            <v>0</v>
          </cell>
          <cell r="CT1301">
            <v>0</v>
          </cell>
          <cell r="CU1301">
            <v>2.0999999999999999E-3</v>
          </cell>
          <cell r="CV1301">
            <v>93.899999999999991</v>
          </cell>
          <cell r="CW1301">
            <v>0</v>
          </cell>
          <cell r="CX1301">
            <v>0</v>
          </cell>
          <cell r="CY1301">
            <v>1.8E-3</v>
          </cell>
          <cell r="CZ1301">
            <v>25.2</v>
          </cell>
          <cell r="DA1301">
            <v>0</v>
          </cell>
          <cell r="DB1301">
            <v>0</v>
          </cell>
          <cell r="DC1301">
            <v>0</v>
          </cell>
          <cell r="DD1301">
            <v>0</v>
          </cell>
          <cell r="DE1301">
            <v>1.8E-3</v>
          </cell>
          <cell r="DF1301">
            <v>25.2</v>
          </cell>
          <cell r="DG1301">
            <v>2.7000000000000001E-3</v>
          </cell>
          <cell r="DH1301">
            <v>347.2</v>
          </cell>
          <cell r="DI1301">
            <v>1.5E-3</v>
          </cell>
          <cell r="DJ1301">
            <v>56.599999999999994</v>
          </cell>
          <cell r="DK1301">
            <v>1.1519999999999999E-2</v>
          </cell>
          <cell r="DL1301">
            <v>319.87</v>
          </cell>
          <cell r="DM1301">
            <v>1.5719999999999998E-2</v>
          </cell>
          <cell r="DN1301">
            <v>723.66999999999985</v>
          </cell>
          <cell r="DO1301">
            <v>1.4999999999999998E-3</v>
          </cell>
          <cell r="DP1301">
            <v>85.6</v>
          </cell>
          <cell r="DQ1301">
            <v>5.9999999999999995E-4</v>
          </cell>
          <cell r="DR1301">
            <v>8.3000000000000007</v>
          </cell>
          <cell r="DS1301">
            <v>0</v>
          </cell>
          <cell r="DT1301">
            <v>0</v>
          </cell>
          <cell r="DU1301">
            <v>2.0999999999999999E-3</v>
          </cell>
          <cell r="DV1301">
            <v>93.899999999999991</v>
          </cell>
          <cell r="DW1301">
            <v>3.3119999999999997E-2</v>
          </cell>
          <cell r="DX1301">
            <v>1717.5000000000002</v>
          </cell>
          <cell r="DZ1301">
            <v>0</v>
          </cell>
          <cell r="EA1301">
            <v>51856.884057971023</v>
          </cell>
        </row>
        <row r="1302">
          <cell r="B1302">
            <v>310717</v>
          </cell>
          <cell r="C1302" t="str">
            <v>ლაფშა კვერცხ_ზოლოტისტაია_ბოსტ.ქათმის არომ_60გ*100</v>
          </cell>
          <cell r="D1302" t="str">
            <v>TON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O1302">
            <v>0</v>
          </cell>
          <cell r="AP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>
            <v>0</v>
          </cell>
          <cell r="BJ1302">
            <v>0</v>
          </cell>
          <cell r="BK1302">
            <v>0</v>
          </cell>
          <cell r="BL1302">
            <v>0</v>
          </cell>
          <cell r="BM1302">
            <v>0</v>
          </cell>
          <cell r="BN1302">
            <v>0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0</v>
          </cell>
          <cell r="BU1302">
            <v>0</v>
          </cell>
          <cell r="BV1302">
            <v>0</v>
          </cell>
          <cell r="BW1302">
            <v>0</v>
          </cell>
          <cell r="BX1302">
            <v>0</v>
          </cell>
          <cell r="BY1302">
            <v>0</v>
          </cell>
          <cell r="BZ1302">
            <v>0</v>
          </cell>
          <cell r="CA1302">
            <v>0</v>
          </cell>
          <cell r="CB1302">
            <v>0</v>
          </cell>
          <cell r="CC1302">
            <v>0</v>
          </cell>
          <cell r="CD1302">
            <v>0</v>
          </cell>
          <cell r="CE1302">
            <v>0</v>
          </cell>
          <cell r="CF1302">
            <v>0</v>
          </cell>
          <cell r="CG1302">
            <v>0</v>
          </cell>
          <cell r="CH1302">
            <v>0</v>
          </cell>
          <cell r="CI1302">
            <v>0</v>
          </cell>
          <cell r="CJ1302">
            <v>0</v>
          </cell>
          <cell r="CK1302">
            <v>0</v>
          </cell>
          <cell r="CL1302">
            <v>0</v>
          </cell>
          <cell r="CO1302">
            <v>0</v>
          </cell>
          <cell r="CP1302">
            <v>0</v>
          </cell>
          <cell r="CQ1302">
            <v>0</v>
          </cell>
          <cell r="CR1302">
            <v>0</v>
          </cell>
          <cell r="CS1302">
            <v>0</v>
          </cell>
          <cell r="CT1302">
            <v>0</v>
          </cell>
          <cell r="CU1302">
            <v>0</v>
          </cell>
          <cell r="CV1302">
            <v>0</v>
          </cell>
          <cell r="CW1302">
            <v>0</v>
          </cell>
          <cell r="CX1302">
            <v>0</v>
          </cell>
          <cell r="CY1302">
            <v>0</v>
          </cell>
          <cell r="CZ1302">
            <v>0</v>
          </cell>
          <cell r="DA1302">
            <v>0</v>
          </cell>
          <cell r="DB1302">
            <v>0</v>
          </cell>
          <cell r="DC1302">
            <v>0</v>
          </cell>
          <cell r="DD1302">
            <v>0</v>
          </cell>
          <cell r="DE1302">
            <v>0</v>
          </cell>
          <cell r="DF1302">
            <v>0</v>
          </cell>
          <cell r="DG1302">
            <v>0</v>
          </cell>
          <cell r="DH1302">
            <v>0</v>
          </cell>
          <cell r="DI1302">
            <v>0</v>
          </cell>
          <cell r="DJ1302">
            <v>0</v>
          </cell>
          <cell r="DK1302">
            <v>0</v>
          </cell>
          <cell r="DL1302">
            <v>0</v>
          </cell>
          <cell r="DM1302">
            <v>0</v>
          </cell>
          <cell r="DN1302">
            <v>0</v>
          </cell>
          <cell r="DO1302">
            <v>0</v>
          </cell>
          <cell r="DP1302">
            <v>0</v>
          </cell>
          <cell r="DQ1302">
            <v>0</v>
          </cell>
          <cell r="DR1302">
            <v>0</v>
          </cell>
          <cell r="DS1302">
            <v>0</v>
          </cell>
          <cell r="DT1302">
            <v>0</v>
          </cell>
          <cell r="DU1302">
            <v>0</v>
          </cell>
          <cell r="DV1302">
            <v>0</v>
          </cell>
          <cell r="DW1302">
            <v>0</v>
          </cell>
          <cell r="DX1302">
            <v>0</v>
          </cell>
          <cell r="DY1302" t="str">
            <v/>
          </cell>
          <cell r="DZ1302" t="str">
            <v>pasiv</v>
          </cell>
          <cell r="EA1302" t="e">
            <v>#DIV/0!</v>
          </cell>
        </row>
        <row r="1303">
          <cell r="B1303">
            <v>310718</v>
          </cell>
          <cell r="C1303" t="str">
            <v>ლაფშა კვერცხ_ზოლოტისტაია_ბოსტ.საქ.ხორცის არომ_60გ*100</v>
          </cell>
          <cell r="D1303" t="str">
            <v>TON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O1303">
            <v>0</v>
          </cell>
          <cell r="AP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0</v>
          </cell>
          <cell r="BJ1303">
            <v>0</v>
          </cell>
          <cell r="BK1303">
            <v>0</v>
          </cell>
          <cell r="BL1303">
            <v>0</v>
          </cell>
          <cell r="BM1303">
            <v>0</v>
          </cell>
          <cell r="BN1303">
            <v>0</v>
          </cell>
          <cell r="BO1303">
            <v>0</v>
          </cell>
          <cell r="BP1303">
            <v>0</v>
          </cell>
          <cell r="BQ1303">
            <v>0</v>
          </cell>
          <cell r="BR1303">
            <v>0</v>
          </cell>
          <cell r="BS1303">
            <v>0</v>
          </cell>
          <cell r="BT1303">
            <v>0</v>
          </cell>
          <cell r="BU1303">
            <v>0</v>
          </cell>
          <cell r="BV1303">
            <v>0</v>
          </cell>
          <cell r="BW1303">
            <v>0</v>
          </cell>
          <cell r="BX1303">
            <v>0</v>
          </cell>
          <cell r="BY1303">
            <v>0</v>
          </cell>
          <cell r="BZ1303">
            <v>0</v>
          </cell>
          <cell r="CA1303">
            <v>0</v>
          </cell>
          <cell r="CB1303">
            <v>0</v>
          </cell>
          <cell r="CC1303">
            <v>0</v>
          </cell>
          <cell r="CD1303">
            <v>0</v>
          </cell>
          <cell r="CE1303">
            <v>0</v>
          </cell>
          <cell r="CF1303">
            <v>0</v>
          </cell>
          <cell r="CG1303">
            <v>0</v>
          </cell>
          <cell r="CH1303">
            <v>0</v>
          </cell>
          <cell r="CI1303">
            <v>0</v>
          </cell>
          <cell r="CJ1303">
            <v>0</v>
          </cell>
          <cell r="CK1303">
            <v>0</v>
          </cell>
          <cell r="CL1303">
            <v>0</v>
          </cell>
          <cell r="CO1303">
            <v>0</v>
          </cell>
          <cell r="CP1303">
            <v>0</v>
          </cell>
          <cell r="CQ1303">
            <v>0</v>
          </cell>
          <cell r="CR1303">
            <v>0</v>
          </cell>
          <cell r="CS1303">
            <v>0</v>
          </cell>
          <cell r="CT1303">
            <v>0</v>
          </cell>
          <cell r="CU1303">
            <v>0</v>
          </cell>
          <cell r="CV1303">
            <v>0</v>
          </cell>
          <cell r="CW1303">
            <v>0</v>
          </cell>
          <cell r="CX1303">
            <v>0</v>
          </cell>
          <cell r="CY1303">
            <v>0</v>
          </cell>
          <cell r="CZ1303">
            <v>0</v>
          </cell>
          <cell r="DA1303">
            <v>0</v>
          </cell>
          <cell r="DB1303">
            <v>0</v>
          </cell>
          <cell r="DC1303">
            <v>0</v>
          </cell>
          <cell r="DD1303">
            <v>0</v>
          </cell>
          <cell r="DE1303">
            <v>0</v>
          </cell>
          <cell r="DF1303">
            <v>0</v>
          </cell>
          <cell r="DG1303">
            <v>0</v>
          </cell>
          <cell r="DH1303">
            <v>0</v>
          </cell>
          <cell r="DI1303">
            <v>0</v>
          </cell>
          <cell r="DJ1303">
            <v>0</v>
          </cell>
          <cell r="DK1303">
            <v>0</v>
          </cell>
          <cell r="DL1303">
            <v>0</v>
          </cell>
          <cell r="DM1303">
            <v>0</v>
          </cell>
          <cell r="DN1303">
            <v>0</v>
          </cell>
          <cell r="DO1303">
            <v>0</v>
          </cell>
          <cell r="DP1303">
            <v>0</v>
          </cell>
          <cell r="DQ1303">
            <v>0</v>
          </cell>
          <cell r="DR1303">
            <v>0</v>
          </cell>
          <cell r="DS1303">
            <v>0</v>
          </cell>
          <cell r="DT1303">
            <v>0</v>
          </cell>
          <cell r="DU1303">
            <v>0</v>
          </cell>
          <cell r="DV1303">
            <v>0</v>
          </cell>
          <cell r="DW1303">
            <v>0</v>
          </cell>
          <cell r="DX1303">
            <v>0</v>
          </cell>
          <cell r="DY1303" t="str">
            <v/>
          </cell>
          <cell r="DZ1303" t="str">
            <v>pasiv</v>
          </cell>
          <cell r="EA1303" t="e">
            <v>#DIV/0!</v>
          </cell>
        </row>
        <row r="1304">
          <cell r="B1304">
            <v>310716</v>
          </cell>
          <cell r="C1304" t="str">
            <v>ლაფშა_ბიგ ლანჩ_ინდაურის ხორცით_110გ*24</v>
          </cell>
          <cell r="D1304" t="str">
            <v>TON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O1304">
            <v>0</v>
          </cell>
          <cell r="AP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>
            <v>0</v>
          </cell>
          <cell r="BJ1304">
            <v>0</v>
          </cell>
          <cell r="BK1304">
            <v>0</v>
          </cell>
          <cell r="BL1304">
            <v>0</v>
          </cell>
          <cell r="BM1304">
            <v>0</v>
          </cell>
          <cell r="BN1304">
            <v>0</v>
          </cell>
          <cell r="BO1304">
            <v>0</v>
          </cell>
          <cell r="BP1304">
            <v>0</v>
          </cell>
          <cell r="BQ1304">
            <v>0</v>
          </cell>
          <cell r="BR1304">
            <v>0</v>
          </cell>
          <cell r="BS1304">
            <v>0</v>
          </cell>
          <cell r="BT1304">
            <v>0</v>
          </cell>
          <cell r="BU1304">
            <v>0</v>
          </cell>
          <cell r="BV1304">
            <v>0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  <cell r="CA1304">
            <v>0</v>
          </cell>
          <cell r="CB1304">
            <v>0</v>
          </cell>
          <cell r="CC1304">
            <v>0</v>
          </cell>
          <cell r="CD1304">
            <v>0</v>
          </cell>
          <cell r="CE1304">
            <v>0</v>
          </cell>
          <cell r="CF1304">
            <v>0</v>
          </cell>
          <cell r="CG1304">
            <v>0</v>
          </cell>
          <cell r="CH1304">
            <v>0</v>
          </cell>
          <cell r="CI1304">
            <v>0</v>
          </cell>
          <cell r="CJ1304">
            <v>0</v>
          </cell>
          <cell r="CK1304">
            <v>0</v>
          </cell>
          <cell r="CL1304">
            <v>0</v>
          </cell>
          <cell r="CO1304">
            <v>0</v>
          </cell>
          <cell r="CP1304">
            <v>0</v>
          </cell>
          <cell r="CQ1304">
            <v>0</v>
          </cell>
          <cell r="CR1304">
            <v>0</v>
          </cell>
          <cell r="CS1304">
            <v>0</v>
          </cell>
          <cell r="CT1304">
            <v>0</v>
          </cell>
          <cell r="CU1304">
            <v>0</v>
          </cell>
          <cell r="CV1304">
            <v>0</v>
          </cell>
          <cell r="CW1304">
            <v>0</v>
          </cell>
          <cell r="CX1304">
            <v>0</v>
          </cell>
          <cell r="CY1304">
            <v>0</v>
          </cell>
          <cell r="CZ1304">
            <v>0</v>
          </cell>
          <cell r="DA1304">
            <v>0</v>
          </cell>
          <cell r="DB1304">
            <v>0</v>
          </cell>
          <cell r="DC1304">
            <v>0</v>
          </cell>
          <cell r="DD1304">
            <v>0</v>
          </cell>
          <cell r="DE1304">
            <v>0</v>
          </cell>
          <cell r="DF1304">
            <v>0</v>
          </cell>
          <cell r="DG1304">
            <v>0</v>
          </cell>
          <cell r="DH1304">
            <v>0</v>
          </cell>
          <cell r="DI1304">
            <v>0</v>
          </cell>
          <cell r="DJ1304">
            <v>0</v>
          </cell>
          <cell r="DK1304">
            <v>0</v>
          </cell>
          <cell r="DL1304">
            <v>0</v>
          </cell>
          <cell r="DM1304">
            <v>0</v>
          </cell>
          <cell r="DN1304">
            <v>0</v>
          </cell>
          <cell r="DO1304">
            <v>0</v>
          </cell>
          <cell r="DP1304">
            <v>0</v>
          </cell>
          <cell r="DQ1304">
            <v>0</v>
          </cell>
          <cell r="DR1304">
            <v>0</v>
          </cell>
          <cell r="DS1304">
            <v>0</v>
          </cell>
          <cell r="DT1304">
            <v>0</v>
          </cell>
          <cell r="DU1304">
            <v>0</v>
          </cell>
          <cell r="DV1304">
            <v>0</v>
          </cell>
          <cell r="DW1304">
            <v>0</v>
          </cell>
          <cell r="DX1304">
            <v>0</v>
          </cell>
          <cell r="DY1304" t="str">
            <v/>
          </cell>
          <cell r="DZ1304" t="str">
            <v>pasiv</v>
          </cell>
          <cell r="EA1304" t="e">
            <v>#DIV/0!</v>
          </cell>
        </row>
        <row r="1305">
          <cell r="B1305">
            <v>310727</v>
          </cell>
          <cell r="C1305" t="str">
            <v>ლაფშა_ბიგ ლანჩ_ქათმის არომ_90გ*24</v>
          </cell>
          <cell r="D1305" t="str">
            <v>TON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1.08E-3</v>
          </cell>
          <cell r="AH1305">
            <v>28.56</v>
          </cell>
          <cell r="AI1305">
            <v>1.98E-3</v>
          </cell>
          <cell r="AJ1305">
            <v>52.36</v>
          </cell>
          <cell r="AK1305">
            <v>8.9999999999999998E-4</v>
          </cell>
          <cell r="AL1305">
            <v>23.8</v>
          </cell>
          <cell r="AO1305">
            <v>3.96E-3</v>
          </cell>
          <cell r="AP1305">
            <v>104.72</v>
          </cell>
          <cell r="AS1305">
            <v>0</v>
          </cell>
          <cell r="AT1305">
            <v>0</v>
          </cell>
          <cell r="AU1305">
            <v>3.0779999999999998E-2</v>
          </cell>
          <cell r="AV1305">
            <v>789.46</v>
          </cell>
          <cell r="AW1305">
            <v>0</v>
          </cell>
          <cell r="AX1305">
            <v>0</v>
          </cell>
          <cell r="AY1305">
            <v>1.08E-3</v>
          </cell>
          <cell r="AZ1305">
            <v>26.15</v>
          </cell>
          <cell r="BA1305">
            <v>0</v>
          </cell>
          <cell r="BB1305">
            <v>0</v>
          </cell>
          <cell r="BC1305">
            <v>1.7099999999999999E-3</v>
          </cell>
          <cell r="BD1305">
            <v>46.51</v>
          </cell>
          <cell r="BE1305">
            <v>2.7899999999999999E-3</v>
          </cell>
          <cell r="BF1305">
            <v>72.66</v>
          </cell>
          <cell r="BG1305">
            <v>0</v>
          </cell>
          <cell r="BH1305">
            <v>0</v>
          </cell>
          <cell r="BI1305">
            <v>2.16E-3</v>
          </cell>
          <cell r="BJ1305">
            <v>57.12</v>
          </cell>
          <cell r="BK1305">
            <v>9.8999999999999999E-4</v>
          </cell>
          <cell r="BL1305">
            <v>26.18</v>
          </cell>
          <cell r="BM1305">
            <v>8.9999999999999998E-4</v>
          </cell>
          <cell r="BN1305">
            <v>23.8</v>
          </cell>
          <cell r="BO1305">
            <v>4.4999999999999999E-4</v>
          </cell>
          <cell r="BP1305">
            <v>11.9</v>
          </cell>
          <cell r="BQ1305">
            <v>0</v>
          </cell>
          <cell r="BR1305">
            <v>0</v>
          </cell>
          <cell r="BS1305">
            <v>4.4999999999999997E-3</v>
          </cell>
          <cell r="BT1305">
            <v>119</v>
          </cell>
          <cell r="BU1305">
            <v>0</v>
          </cell>
          <cell r="BV1305">
            <v>0</v>
          </cell>
          <cell r="BW1305">
            <v>3.2399999999999998E-3</v>
          </cell>
          <cell r="BX1305">
            <v>79.680000000000007</v>
          </cell>
          <cell r="BY1305">
            <v>0</v>
          </cell>
          <cell r="BZ1305">
            <v>0</v>
          </cell>
          <cell r="CA1305">
            <v>2.16E-3</v>
          </cell>
          <cell r="CB1305">
            <v>57.12</v>
          </cell>
          <cell r="CC1305">
            <v>0</v>
          </cell>
          <cell r="CD1305">
            <v>0</v>
          </cell>
          <cell r="CE1305">
            <v>2.16E-3</v>
          </cell>
          <cell r="CF1305">
            <v>54.48</v>
          </cell>
          <cell r="CG1305">
            <v>0</v>
          </cell>
          <cell r="CH1305">
            <v>0</v>
          </cell>
          <cell r="CI1305">
            <v>7.5599999999999999E-3</v>
          </cell>
          <cell r="CJ1305">
            <v>191.28</v>
          </cell>
          <cell r="CK1305">
            <v>1.206E-2</v>
          </cell>
          <cell r="CL1305">
            <v>310.27999999999997</v>
          </cell>
          <cell r="CO1305">
            <v>0</v>
          </cell>
          <cell r="CP1305">
            <v>0</v>
          </cell>
          <cell r="CQ1305">
            <v>0</v>
          </cell>
          <cell r="CR1305">
            <v>0</v>
          </cell>
          <cell r="CS1305">
            <v>0</v>
          </cell>
          <cell r="CT1305">
            <v>0</v>
          </cell>
          <cell r="CU1305">
            <v>0</v>
          </cell>
          <cell r="CV1305">
            <v>0</v>
          </cell>
          <cell r="CW1305">
            <v>0</v>
          </cell>
          <cell r="CX1305">
            <v>0</v>
          </cell>
          <cell r="CY1305">
            <v>6.4799999999999996E-3</v>
          </cell>
          <cell r="CZ1305">
            <v>166.08</v>
          </cell>
          <cell r="DA1305">
            <v>0</v>
          </cell>
          <cell r="DB1305">
            <v>0</v>
          </cell>
          <cell r="DC1305">
            <v>4.6800000000000001E-3</v>
          </cell>
          <cell r="DD1305">
            <v>110.96</v>
          </cell>
          <cell r="DE1305">
            <v>1.116E-2</v>
          </cell>
          <cell r="DF1305">
            <v>277.04000000000002</v>
          </cell>
          <cell r="DG1305">
            <v>2.7E-4</v>
          </cell>
          <cell r="DH1305">
            <v>6.61</v>
          </cell>
          <cell r="DI1305">
            <v>-5.4000000000000001E-4</v>
          </cell>
          <cell r="DJ1305">
            <v>-10.41</v>
          </cell>
          <cell r="DK1305">
            <v>1.08E-3</v>
          </cell>
          <cell r="DL1305">
            <v>28.56</v>
          </cell>
          <cell r="DM1305">
            <v>8.0999999999999996E-4</v>
          </cell>
          <cell r="DN1305">
            <v>24.76</v>
          </cell>
          <cell r="DO1305">
            <v>0</v>
          </cell>
          <cell r="DP1305">
            <v>0</v>
          </cell>
          <cell r="DQ1305">
            <v>0</v>
          </cell>
          <cell r="DR1305">
            <v>0</v>
          </cell>
          <cell r="DS1305">
            <v>0</v>
          </cell>
          <cell r="DT1305">
            <v>0</v>
          </cell>
          <cell r="DU1305">
            <v>0</v>
          </cell>
          <cell r="DV1305">
            <v>0</v>
          </cell>
          <cell r="DW1305">
            <v>3.0780000000000002E-2</v>
          </cell>
          <cell r="DX1305">
            <v>789.45999999999992</v>
          </cell>
          <cell r="DY1305" t="str">
            <v/>
          </cell>
          <cell r="DZ1305">
            <v>0</v>
          </cell>
          <cell r="EA1305">
            <v>25648.473034437942</v>
          </cell>
        </row>
        <row r="1306">
          <cell r="B1306">
            <v>310728</v>
          </cell>
          <cell r="C1306" t="str">
            <v>ლაფშა_ბიგ ლანჩ_საქონლის ხორც.არომ_90გ*24</v>
          </cell>
          <cell r="D1306" t="str">
            <v>TON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2.16E-3</v>
          </cell>
          <cell r="AH1306">
            <v>57.12</v>
          </cell>
          <cell r="AI1306">
            <v>0</v>
          </cell>
          <cell r="AJ1306">
            <v>0</v>
          </cell>
          <cell r="AK1306">
            <v>5.4000000000000001E-4</v>
          </cell>
          <cell r="AL1306">
            <v>14.28</v>
          </cell>
          <cell r="AO1306">
            <v>2.7000000000000001E-3</v>
          </cell>
          <cell r="AP1306">
            <v>71.399999999999991</v>
          </cell>
          <cell r="AS1306">
            <v>0</v>
          </cell>
          <cell r="AT1306">
            <v>0</v>
          </cell>
          <cell r="AU1306">
            <v>2.9250000000000002E-2</v>
          </cell>
          <cell r="AV1306">
            <v>752.03</v>
          </cell>
          <cell r="AW1306">
            <v>0</v>
          </cell>
          <cell r="AX1306">
            <v>0</v>
          </cell>
          <cell r="AY1306">
            <v>1.08E-3</v>
          </cell>
          <cell r="AZ1306">
            <v>26.15</v>
          </cell>
          <cell r="BA1306">
            <v>0</v>
          </cell>
          <cell r="BB1306">
            <v>0</v>
          </cell>
          <cell r="BC1306">
            <v>-1.8000000000000001E-4</v>
          </cell>
          <cell r="BD1306">
            <v>-3.9</v>
          </cell>
          <cell r="BE1306">
            <v>8.9999999999999998E-4</v>
          </cell>
          <cell r="BF1306">
            <v>22.25</v>
          </cell>
          <cell r="BG1306">
            <v>0</v>
          </cell>
          <cell r="BH1306">
            <v>0</v>
          </cell>
          <cell r="BI1306">
            <v>0</v>
          </cell>
          <cell r="BJ1306">
            <v>0</v>
          </cell>
          <cell r="BK1306">
            <v>0</v>
          </cell>
          <cell r="BL1306">
            <v>0</v>
          </cell>
          <cell r="BM1306">
            <v>8.9999999999999998E-4</v>
          </cell>
          <cell r="BN1306">
            <v>23.8</v>
          </cell>
          <cell r="BO1306">
            <v>4.4999999999999999E-4</v>
          </cell>
          <cell r="BP1306">
            <v>11.9</v>
          </cell>
          <cell r="BQ1306">
            <v>0</v>
          </cell>
          <cell r="BR1306">
            <v>0</v>
          </cell>
          <cell r="BS1306">
            <v>1.3500000000000001E-3</v>
          </cell>
          <cell r="BT1306">
            <v>35.700000000000003</v>
          </cell>
          <cell r="BU1306">
            <v>0</v>
          </cell>
          <cell r="BV1306">
            <v>0</v>
          </cell>
          <cell r="BW1306">
            <v>2.7000000000000001E-3</v>
          </cell>
          <cell r="BX1306">
            <v>66.47</v>
          </cell>
          <cell r="BY1306">
            <v>0</v>
          </cell>
          <cell r="BZ1306">
            <v>0</v>
          </cell>
          <cell r="CA1306">
            <v>2.2499999999999998E-3</v>
          </cell>
          <cell r="CB1306">
            <v>59.5</v>
          </cell>
          <cell r="CC1306">
            <v>0</v>
          </cell>
          <cell r="CD1306">
            <v>0</v>
          </cell>
          <cell r="CE1306">
            <v>0</v>
          </cell>
          <cell r="CF1306">
            <v>0</v>
          </cell>
          <cell r="CG1306">
            <v>0</v>
          </cell>
          <cell r="CH1306">
            <v>0</v>
          </cell>
          <cell r="CI1306">
            <v>4.9500000000000004E-3</v>
          </cell>
          <cell r="CJ1306">
            <v>125.97</v>
          </cell>
          <cell r="CK1306">
            <v>6.3E-3</v>
          </cell>
          <cell r="CL1306">
            <v>161.67000000000002</v>
          </cell>
          <cell r="CO1306">
            <v>0</v>
          </cell>
          <cell r="CP1306">
            <v>0</v>
          </cell>
          <cell r="CQ1306">
            <v>0</v>
          </cell>
          <cell r="CR1306">
            <v>0</v>
          </cell>
          <cell r="CS1306">
            <v>0</v>
          </cell>
          <cell r="CT1306">
            <v>0</v>
          </cell>
          <cell r="CU1306">
            <v>3.2399999999999998E-3</v>
          </cell>
          <cell r="CV1306">
            <v>85.68</v>
          </cell>
          <cell r="CW1306">
            <v>0</v>
          </cell>
          <cell r="CX1306">
            <v>0</v>
          </cell>
          <cell r="CY1306">
            <v>8.0999999999999996E-3</v>
          </cell>
          <cell r="CZ1306">
            <v>211.56</v>
          </cell>
          <cell r="DA1306">
            <v>0</v>
          </cell>
          <cell r="DB1306">
            <v>0</v>
          </cell>
          <cell r="DC1306">
            <v>5.13E-3</v>
          </cell>
          <cell r="DD1306">
            <v>123.84</v>
          </cell>
          <cell r="DE1306">
            <v>1.3229999999999999E-2</v>
          </cell>
          <cell r="DF1306">
            <v>335.4</v>
          </cell>
          <cell r="DG1306">
            <v>2.4299999999999999E-3</v>
          </cell>
          <cell r="DH1306">
            <v>63.73</v>
          </cell>
          <cell r="DI1306">
            <v>4.4999999999999999E-4</v>
          </cell>
          <cell r="DJ1306">
            <v>11.9</v>
          </cell>
          <cell r="DK1306">
            <v>0</v>
          </cell>
          <cell r="DL1306">
            <v>0</v>
          </cell>
          <cell r="DM1306">
            <v>2.8800000000000002E-3</v>
          </cell>
          <cell r="DN1306">
            <v>75.63</v>
          </cell>
          <cell r="DO1306">
            <v>0</v>
          </cell>
          <cell r="DP1306">
            <v>0</v>
          </cell>
          <cell r="DQ1306">
            <v>0</v>
          </cell>
          <cell r="DR1306">
            <v>0</v>
          </cell>
          <cell r="DS1306">
            <v>3.2399999999999998E-3</v>
          </cell>
          <cell r="DT1306">
            <v>85.68</v>
          </cell>
          <cell r="DU1306">
            <v>3.2399999999999998E-3</v>
          </cell>
          <cell r="DV1306">
            <v>85.68</v>
          </cell>
          <cell r="DW1306">
            <v>2.9250000000000002E-2</v>
          </cell>
          <cell r="DX1306">
            <v>752.03</v>
          </cell>
          <cell r="DY1306" t="str">
            <v/>
          </cell>
          <cell r="DZ1306">
            <v>0</v>
          </cell>
          <cell r="EA1306">
            <v>25710.427350427348</v>
          </cell>
        </row>
        <row r="1307">
          <cell r="B1307">
            <v>310729</v>
          </cell>
          <cell r="C1307" t="str">
            <v>ლაფშა_ბიგ ლანჩ_ქათმის არომ_75გ*60</v>
          </cell>
          <cell r="D1307" t="str">
            <v>TON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8.9999999999999998E-4</v>
          </cell>
          <cell r="AD1307">
            <v>12.6</v>
          </cell>
          <cell r="AE1307">
            <v>0</v>
          </cell>
          <cell r="AF1307">
            <v>0</v>
          </cell>
          <cell r="AG1307">
            <v>1.5E-3</v>
          </cell>
          <cell r="AH1307">
            <v>21</v>
          </cell>
          <cell r="AI1307">
            <v>0</v>
          </cell>
          <cell r="AJ1307">
            <v>0</v>
          </cell>
          <cell r="AK1307">
            <v>4.4999999999999997E-3</v>
          </cell>
          <cell r="AL1307">
            <v>63</v>
          </cell>
          <cell r="AO1307">
            <v>6.8999999999999999E-3</v>
          </cell>
          <cell r="AP1307">
            <v>96.6</v>
          </cell>
          <cell r="AS1307">
            <v>0</v>
          </cell>
          <cell r="AT1307">
            <v>0</v>
          </cell>
          <cell r="AU1307">
            <v>6.855E-2</v>
          </cell>
          <cell r="AV1307">
            <v>935.45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7.5000000000000002E-4</v>
          </cell>
          <cell r="BD1307">
            <v>10.5</v>
          </cell>
          <cell r="BE1307">
            <v>7.5000000000000002E-4</v>
          </cell>
          <cell r="BF1307">
            <v>10.5</v>
          </cell>
          <cell r="BG1307">
            <v>4.4999999999999997E-3</v>
          </cell>
          <cell r="BH1307">
            <v>63</v>
          </cell>
          <cell r="BI1307">
            <v>2.2499999999999998E-3</v>
          </cell>
          <cell r="BJ1307">
            <v>31.5</v>
          </cell>
          <cell r="BK1307">
            <v>0</v>
          </cell>
          <cell r="BL1307">
            <v>0</v>
          </cell>
          <cell r="BM1307">
            <v>5.1000000000000004E-3</v>
          </cell>
          <cell r="BN1307">
            <v>71.400000000000006</v>
          </cell>
          <cell r="BO1307">
            <v>4.4999999999999997E-3</v>
          </cell>
          <cell r="BP1307">
            <v>63</v>
          </cell>
          <cell r="BQ1307">
            <v>0</v>
          </cell>
          <cell r="BR1307">
            <v>0</v>
          </cell>
          <cell r="BS1307">
            <v>1.635E-2</v>
          </cell>
          <cell r="BT1307">
            <v>228.9</v>
          </cell>
          <cell r="BU1307">
            <v>0</v>
          </cell>
          <cell r="BV1307">
            <v>0</v>
          </cell>
          <cell r="BW1307">
            <v>4.4999999999999997E-3</v>
          </cell>
          <cell r="BX1307">
            <v>59.1</v>
          </cell>
          <cell r="BY1307">
            <v>0</v>
          </cell>
          <cell r="BZ1307">
            <v>0</v>
          </cell>
          <cell r="CA1307">
            <v>3.0000000000000001E-3</v>
          </cell>
          <cell r="CB1307">
            <v>42</v>
          </cell>
          <cell r="CC1307">
            <v>0</v>
          </cell>
          <cell r="CD1307">
            <v>0</v>
          </cell>
          <cell r="CE1307">
            <v>6.9750000000000003E-3</v>
          </cell>
          <cell r="CF1307">
            <v>89.62</v>
          </cell>
          <cell r="CG1307">
            <v>0</v>
          </cell>
          <cell r="CH1307">
            <v>0</v>
          </cell>
          <cell r="CI1307">
            <v>1.4475E-2</v>
          </cell>
          <cell r="CJ1307">
            <v>190.72</v>
          </cell>
          <cell r="CK1307">
            <v>3.0824999999999998E-2</v>
          </cell>
          <cell r="CL1307">
            <v>419.62</v>
          </cell>
          <cell r="CO1307">
            <v>0</v>
          </cell>
          <cell r="CP1307">
            <v>0</v>
          </cell>
          <cell r="CQ1307">
            <v>0</v>
          </cell>
          <cell r="CR1307">
            <v>0</v>
          </cell>
          <cell r="CS1307">
            <v>0</v>
          </cell>
          <cell r="CT1307">
            <v>0</v>
          </cell>
          <cell r="CU1307">
            <v>6.7499999999999999E-3</v>
          </cell>
          <cell r="CV1307">
            <v>93.7</v>
          </cell>
          <cell r="CW1307">
            <v>0</v>
          </cell>
          <cell r="CX1307">
            <v>0</v>
          </cell>
          <cell r="CY1307">
            <v>1.7999999999999999E-2</v>
          </cell>
          <cell r="CZ1307">
            <v>246</v>
          </cell>
          <cell r="DA1307">
            <v>0</v>
          </cell>
          <cell r="DB1307">
            <v>0</v>
          </cell>
          <cell r="DC1307">
            <v>3.5999999999999999E-3</v>
          </cell>
          <cell r="DD1307">
            <v>45.12</v>
          </cell>
          <cell r="DE1307">
            <v>2.1599999999999998E-2</v>
          </cell>
          <cell r="DF1307">
            <v>291.12</v>
          </cell>
          <cell r="DG1307">
            <v>2.2499999999999999E-4</v>
          </cell>
          <cell r="DH1307">
            <v>2.91</v>
          </cell>
          <cell r="DI1307">
            <v>1.5E-3</v>
          </cell>
          <cell r="DJ1307">
            <v>21</v>
          </cell>
          <cell r="DK1307">
            <v>0</v>
          </cell>
          <cell r="DL1307">
            <v>0</v>
          </cell>
          <cell r="DM1307">
            <v>1.725E-3</v>
          </cell>
          <cell r="DN1307">
            <v>23.91</v>
          </cell>
          <cell r="DO1307">
            <v>4.4999999999999997E-3</v>
          </cell>
          <cell r="DP1307">
            <v>63</v>
          </cell>
          <cell r="DQ1307">
            <v>7.5000000000000002E-4</v>
          </cell>
          <cell r="DR1307">
            <v>9.6999999999999993</v>
          </cell>
          <cell r="DS1307">
            <v>1.5E-3</v>
          </cell>
          <cell r="DT1307">
            <v>21</v>
          </cell>
          <cell r="DU1307">
            <v>6.7499999999999999E-3</v>
          </cell>
          <cell r="DV1307">
            <v>93.7</v>
          </cell>
          <cell r="DW1307">
            <v>6.855E-2</v>
          </cell>
          <cell r="DX1307">
            <v>935.45</v>
          </cell>
          <cell r="DY1307" t="str">
            <v/>
          </cell>
          <cell r="DZ1307">
            <v>0</v>
          </cell>
          <cell r="EA1307">
            <v>13646.243617797229</v>
          </cell>
        </row>
        <row r="1308">
          <cell r="B1308">
            <v>312799</v>
          </cell>
          <cell r="C1308" t="str">
            <v>ლაფშა_ბიგ ლანჩ_საქ.ხორც ცხარე სოუსით_90გ*24-ჭიქა</v>
          </cell>
          <cell r="D1308" t="str">
            <v>TON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2.16E-3</v>
          </cell>
          <cell r="AH1308">
            <v>52.56</v>
          </cell>
          <cell r="AI1308">
            <v>3.2399999999999998E-3</v>
          </cell>
          <cell r="AJ1308">
            <v>78.84</v>
          </cell>
          <cell r="AK1308">
            <v>0</v>
          </cell>
          <cell r="AL1308">
            <v>0</v>
          </cell>
          <cell r="AO1308">
            <v>5.4000000000000003E-3</v>
          </cell>
          <cell r="AP1308">
            <v>131.4</v>
          </cell>
          <cell r="AS1308">
            <v>0</v>
          </cell>
          <cell r="AT1308">
            <v>0</v>
          </cell>
          <cell r="AU1308">
            <v>6.5879999999999994E-2</v>
          </cell>
          <cell r="AV1308">
            <v>1540.9</v>
          </cell>
          <cell r="AW1308">
            <v>0</v>
          </cell>
          <cell r="AX1308">
            <v>0</v>
          </cell>
          <cell r="AY1308">
            <v>2.7E-4</v>
          </cell>
          <cell r="AZ1308">
            <v>6.57</v>
          </cell>
          <cell r="BA1308">
            <v>0</v>
          </cell>
          <cell r="BB1308">
            <v>0</v>
          </cell>
          <cell r="BC1308">
            <v>8.9999999999999998E-4</v>
          </cell>
          <cell r="BD1308">
            <v>21.9</v>
          </cell>
          <cell r="BE1308">
            <v>1.17E-3</v>
          </cell>
          <cell r="BF1308">
            <v>28.47</v>
          </cell>
          <cell r="BG1308">
            <v>2.7000000000000001E-3</v>
          </cell>
          <cell r="BH1308">
            <v>65.7</v>
          </cell>
          <cell r="BI1308">
            <v>2.16E-3</v>
          </cell>
          <cell r="BJ1308">
            <v>52.56</v>
          </cell>
          <cell r="BK1308">
            <v>5.4000000000000001E-4</v>
          </cell>
          <cell r="BL1308">
            <v>13.14</v>
          </cell>
          <cell r="BM1308">
            <v>1.3500000000000001E-3</v>
          </cell>
          <cell r="BN1308">
            <v>32.85</v>
          </cell>
          <cell r="BO1308">
            <v>1.5299999999999999E-3</v>
          </cell>
          <cell r="BP1308">
            <v>37.229999999999997</v>
          </cell>
          <cell r="BQ1308">
            <v>0</v>
          </cell>
          <cell r="BR1308">
            <v>0</v>
          </cell>
          <cell r="BS1308">
            <v>8.2799999999999992E-3</v>
          </cell>
          <cell r="BT1308">
            <v>201.48</v>
          </cell>
          <cell r="BU1308">
            <v>0</v>
          </cell>
          <cell r="BV1308">
            <v>0</v>
          </cell>
          <cell r="BW1308">
            <v>3.2399999999999998E-3</v>
          </cell>
          <cell r="BX1308">
            <v>72.989999999999995</v>
          </cell>
          <cell r="BY1308">
            <v>2.16E-3</v>
          </cell>
          <cell r="BZ1308">
            <v>48.66</v>
          </cell>
          <cell r="CA1308">
            <v>2.16E-3</v>
          </cell>
          <cell r="CB1308">
            <v>52.56</v>
          </cell>
          <cell r="CC1308">
            <v>0</v>
          </cell>
          <cell r="CD1308">
            <v>0</v>
          </cell>
          <cell r="CE1308">
            <v>3.2399999999999998E-3</v>
          </cell>
          <cell r="CF1308">
            <v>78.84</v>
          </cell>
          <cell r="CG1308">
            <v>0</v>
          </cell>
          <cell r="CH1308">
            <v>0</v>
          </cell>
          <cell r="CI1308">
            <v>1.0800000000000001E-2</v>
          </cell>
          <cell r="CJ1308">
            <v>253.05</v>
          </cell>
          <cell r="CK1308">
            <v>1.908E-2</v>
          </cell>
          <cell r="CL1308">
            <v>454.53</v>
          </cell>
          <cell r="CO1308">
            <v>0</v>
          </cell>
          <cell r="CP1308">
            <v>0</v>
          </cell>
          <cell r="CQ1308">
            <v>0</v>
          </cell>
          <cell r="CR1308">
            <v>0</v>
          </cell>
          <cell r="CS1308">
            <v>0</v>
          </cell>
          <cell r="CT1308">
            <v>0</v>
          </cell>
          <cell r="CU1308">
            <v>1.8360000000000001E-2</v>
          </cell>
          <cell r="CV1308">
            <v>426.38</v>
          </cell>
          <cell r="CW1308">
            <v>0</v>
          </cell>
          <cell r="CX1308">
            <v>0</v>
          </cell>
          <cell r="CY1308">
            <v>7.0200000000000002E-3</v>
          </cell>
          <cell r="CZ1308">
            <v>170.82</v>
          </cell>
          <cell r="DA1308">
            <v>0</v>
          </cell>
          <cell r="DB1308">
            <v>0</v>
          </cell>
          <cell r="DC1308">
            <v>1.26E-2</v>
          </cell>
          <cell r="DD1308">
            <v>275.04000000000002</v>
          </cell>
          <cell r="DE1308">
            <v>1.9619999999999999E-2</v>
          </cell>
          <cell r="DF1308">
            <v>445.86</v>
          </cell>
          <cell r="DG1308">
            <v>1.3500000000000001E-3</v>
          </cell>
          <cell r="DH1308">
            <v>32.36</v>
          </cell>
          <cell r="DI1308">
            <v>4.4999999999999999E-4</v>
          </cell>
          <cell r="DJ1308">
            <v>10.95</v>
          </cell>
          <cell r="DK1308">
            <v>4.4999999999999999E-4</v>
          </cell>
          <cell r="DL1308">
            <v>10.95</v>
          </cell>
          <cell r="DM1308">
            <v>2.2499999999999998E-3</v>
          </cell>
          <cell r="DN1308">
            <v>54.26</v>
          </cell>
          <cell r="DO1308">
            <v>1.404E-2</v>
          </cell>
          <cell r="DP1308">
            <v>321.26</v>
          </cell>
          <cell r="DQ1308">
            <v>0</v>
          </cell>
          <cell r="DR1308">
            <v>0</v>
          </cell>
          <cell r="DS1308">
            <v>4.3200000000000001E-3</v>
          </cell>
          <cell r="DT1308">
            <v>105.12</v>
          </cell>
          <cell r="DU1308">
            <v>1.8360000000000001E-2</v>
          </cell>
          <cell r="DV1308">
            <v>426.38</v>
          </cell>
          <cell r="DW1308">
            <v>6.5879999999999994E-2</v>
          </cell>
          <cell r="DX1308">
            <v>1540.9</v>
          </cell>
          <cell r="DY1308" t="str">
            <v/>
          </cell>
          <cell r="DZ1308">
            <v>0</v>
          </cell>
          <cell r="EA1308">
            <v>23389.496053430485</v>
          </cell>
        </row>
        <row r="1309">
          <cell r="B1309">
            <v>310730</v>
          </cell>
          <cell r="C1309" t="str">
            <v>ლაფშა_ბიგ ლანჩ_საქონლის ხორც.არომ_75გ*60</v>
          </cell>
          <cell r="D1309" t="str">
            <v>TON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1.65E-3</v>
          </cell>
          <cell r="AD1309">
            <v>23.1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O1309">
            <v>1.65E-3</v>
          </cell>
          <cell r="AP1309">
            <v>23.1</v>
          </cell>
          <cell r="AS1309">
            <v>0</v>
          </cell>
          <cell r="AT1309">
            <v>0</v>
          </cell>
          <cell r="AU1309">
            <v>5.1825000000000003E-2</v>
          </cell>
          <cell r="AV1309">
            <v>715.86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1.1249999999999999E-3</v>
          </cell>
          <cell r="BD1309">
            <v>15.75</v>
          </cell>
          <cell r="BE1309">
            <v>1.1249999999999999E-3</v>
          </cell>
          <cell r="BF1309">
            <v>15.75</v>
          </cell>
          <cell r="BG1309">
            <v>4.4999999999999997E-3</v>
          </cell>
          <cell r="BH1309">
            <v>63</v>
          </cell>
          <cell r="BI1309">
            <v>2.2499999999999998E-3</v>
          </cell>
          <cell r="BJ1309">
            <v>31.5</v>
          </cell>
          <cell r="BK1309">
            <v>2.2499999999999998E-3</v>
          </cell>
          <cell r="BL1309">
            <v>31.5</v>
          </cell>
          <cell r="BM1309">
            <v>4.4999999999999997E-3</v>
          </cell>
          <cell r="BN1309">
            <v>63</v>
          </cell>
          <cell r="BO1309">
            <v>7.5000000000000002E-4</v>
          </cell>
          <cell r="BP1309">
            <v>10.5</v>
          </cell>
          <cell r="BQ1309">
            <v>0</v>
          </cell>
          <cell r="BR1309">
            <v>0</v>
          </cell>
          <cell r="BS1309">
            <v>1.4250000000000001E-2</v>
          </cell>
          <cell r="BT1309">
            <v>199.5</v>
          </cell>
          <cell r="BU1309">
            <v>0</v>
          </cell>
          <cell r="BV1309">
            <v>0</v>
          </cell>
          <cell r="BW1309">
            <v>2.2499999999999998E-3</v>
          </cell>
          <cell r="BX1309">
            <v>30</v>
          </cell>
          <cell r="BY1309">
            <v>0</v>
          </cell>
          <cell r="BZ1309">
            <v>0</v>
          </cell>
          <cell r="CA1309">
            <v>1.5E-3</v>
          </cell>
          <cell r="CB1309">
            <v>21</v>
          </cell>
          <cell r="CC1309">
            <v>4.4999999999999997E-3</v>
          </cell>
          <cell r="CD1309">
            <v>63</v>
          </cell>
          <cell r="CE1309">
            <v>5.1000000000000004E-3</v>
          </cell>
          <cell r="CF1309">
            <v>67.52</v>
          </cell>
          <cell r="CG1309">
            <v>0</v>
          </cell>
          <cell r="CH1309">
            <v>0</v>
          </cell>
          <cell r="CI1309">
            <v>1.3350000000000001E-2</v>
          </cell>
          <cell r="CJ1309">
            <v>181.52</v>
          </cell>
          <cell r="CK1309">
            <v>2.76E-2</v>
          </cell>
          <cell r="CL1309">
            <v>381.02</v>
          </cell>
          <cell r="CO1309">
            <v>0</v>
          </cell>
          <cell r="CP1309">
            <v>0</v>
          </cell>
          <cell r="CQ1309">
            <v>0</v>
          </cell>
          <cell r="CR1309">
            <v>0</v>
          </cell>
          <cell r="CS1309">
            <v>0</v>
          </cell>
          <cell r="CT1309">
            <v>0</v>
          </cell>
          <cell r="CU1309">
            <v>6.7499999999999999E-3</v>
          </cell>
          <cell r="CV1309">
            <v>93.7</v>
          </cell>
          <cell r="CW1309">
            <v>0</v>
          </cell>
          <cell r="CX1309">
            <v>0</v>
          </cell>
          <cell r="CY1309">
            <v>8.2500000000000004E-3</v>
          </cell>
          <cell r="CZ1309">
            <v>115.5</v>
          </cell>
          <cell r="DA1309">
            <v>7.5000000000000002E-4</v>
          </cell>
          <cell r="DB1309">
            <v>10.5</v>
          </cell>
          <cell r="DC1309">
            <v>2.3999999999999998E-3</v>
          </cell>
          <cell r="DD1309">
            <v>30.08</v>
          </cell>
          <cell r="DE1309">
            <v>1.14E-2</v>
          </cell>
          <cell r="DF1309">
            <v>156.07999999999998</v>
          </cell>
          <cell r="DG1309">
            <v>1.1249999999999999E-3</v>
          </cell>
          <cell r="DH1309">
            <v>15.51</v>
          </cell>
          <cell r="DI1309">
            <v>6.7500000000000004E-4</v>
          </cell>
          <cell r="DJ1309">
            <v>9.6999999999999993</v>
          </cell>
          <cell r="DK1309">
            <v>1.5E-3</v>
          </cell>
          <cell r="DL1309">
            <v>21</v>
          </cell>
          <cell r="DM1309">
            <v>3.3E-3</v>
          </cell>
          <cell r="DN1309">
            <v>46.21</v>
          </cell>
          <cell r="DO1309">
            <v>2.2499999999999998E-3</v>
          </cell>
          <cell r="DP1309">
            <v>31.5</v>
          </cell>
          <cell r="DQ1309">
            <v>1.5E-3</v>
          </cell>
          <cell r="DR1309">
            <v>20.2</v>
          </cell>
          <cell r="DS1309">
            <v>3.0000000000000001E-3</v>
          </cell>
          <cell r="DT1309">
            <v>42</v>
          </cell>
          <cell r="DU1309">
            <v>6.7499999999999999E-3</v>
          </cell>
          <cell r="DV1309">
            <v>93.7</v>
          </cell>
          <cell r="DW1309">
            <v>5.1824999999999996E-2</v>
          </cell>
          <cell r="DX1309">
            <v>715.86</v>
          </cell>
          <cell r="DY1309" t="str">
            <v/>
          </cell>
          <cell r="DZ1309">
            <v>0</v>
          </cell>
          <cell r="EA1309">
            <v>13813.024602026051</v>
          </cell>
        </row>
        <row r="1310">
          <cell r="B1310">
            <v>310753</v>
          </cell>
          <cell r="C1310" t="str">
            <v>ლაფშა_ბიგ ლანჩ_ჩაშუშული ქათმით_75გ*60</v>
          </cell>
          <cell r="D1310" t="str">
            <v>TON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7.5000000000000002E-4</v>
          </cell>
          <cell r="AD1310">
            <v>10.5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3.0000000000000001E-3</v>
          </cell>
          <cell r="AJ1310">
            <v>42</v>
          </cell>
          <cell r="AK1310">
            <v>1.1999999999999999E-3</v>
          </cell>
          <cell r="AL1310">
            <v>16.8</v>
          </cell>
          <cell r="AO1310">
            <v>4.9499999999999995E-3</v>
          </cell>
          <cell r="AP1310">
            <v>69.3</v>
          </cell>
          <cell r="AS1310">
            <v>0</v>
          </cell>
          <cell r="AT1310">
            <v>0</v>
          </cell>
          <cell r="AU1310">
            <v>6.0900000000000003E-2</v>
          </cell>
          <cell r="AV1310">
            <v>839.82</v>
          </cell>
          <cell r="AW1310">
            <v>0</v>
          </cell>
          <cell r="AX1310">
            <v>0</v>
          </cell>
          <cell r="AY1310">
            <v>8.9999999999999998E-4</v>
          </cell>
          <cell r="AZ1310">
            <v>12.6</v>
          </cell>
          <cell r="BA1310">
            <v>0</v>
          </cell>
          <cell r="BB1310">
            <v>0</v>
          </cell>
          <cell r="BC1310">
            <v>1.5E-3</v>
          </cell>
          <cell r="BD1310">
            <v>21</v>
          </cell>
          <cell r="BE1310">
            <v>2.4000000000000002E-3</v>
          </cell>
          <cell r="BF1310">
            <v>33.6</v>
          </cell>
          <cell r="BG1310">
            <v>6.0000000000000001E-3</v>
          </cell>
          <cell r="BH1310">
            <v>84</v>
          </cell>
          <cell r="BI1310">
            <v>2.2499999999999998E-3</v>
          </cell>
          <cell r="BJ1310">
            <v>31.5</v>
          </cell>
          <cell r="BK1310">
            <v>1.5E-3</v>
          </cell>
          <cell r="BL1310">
            <v>21</v>
          </cell>
          <cell r="BM1310">
            <v>1.1999999999999999E-3</v>
          </cell>
          <cell r="BN1310">
            <v>16.8</v>
          </cell>
          <cell r="BO1310">
            <v>7.5750000000000001E-3</v>
          </cell>
          <cell r="BP1310">
            <v>106.05</v>
          </cell>
          <cell r="BQ1310">
            <v>0</v>
          </cell>
          <cell r="BR1310">
            <v>0</v>
          </cell>
          <cell r="BS1310">
            <v>1.8525E-2</v>
          </cell>
          <cell r="BT1310">
            <v>259.35000000000002</v>
          </cell>
          <cell r="BU1310">
            <v>0</v>
          </cell>
          <cell r="BV1310">
            <v>0</v>
          </cell>
          <cell r="BW1310">
            <v>0</v>
          </cell>
          <cell r="BX1310">
            <v>0</v>
          </cell>
          <cell r="BY1310">
            <v>0</v>
          </cell>
          <cell r="BZ1310">
            <v>0</v>
          </cell>
          <cell r="CA1310">
            <v>1.5E-3</v>
          </cell>
          <cell r="CB1310">
            <v>21</v>
          </cell>
          <cell r="CC1310">
            <v>0</v>
          </cell>
          <cell r="CD1310">
            <v>0</v>
          </cell>
          <cell r="CE1310">
            <v>6.45E-3</v>
          </cell>
          <cell r="CF1310">
            <v>88.76</v>
          </cell>
          <cell r="CG1310">
            <v>0</v>
          </cell>
          <cell r="CH1310">
            <v>0</v>
          </cell>
          <cell r="CI1310">
            <v>7.9500000000000005E-3</v>
          </cell>
          <cell r="CJ1310">
            <v>109.76</v>
          </cell>
          <cell r="CK1310">
            <v>2.6474999999999999E-2</v>
          </cell>
          <cell r="CL1310">
            <v>369.11</v>
          </cell>
          <cell r="CO1310">
            <v>0</v>
          </cell>
          <cell r="CP1310">
            <v>0</v>
          </cell>
          <cell r="CQ1310">
            <v>0</v>
          </cell>
          <cell r="CR1310">
            <v>0</v>
          </cell>
          <cell r="CS1310">
            <v>0</v>
          </cell>
          <cell r="CT1310">
            <v>0</v>
          </cell>
          <cell r="CU1310">
            <v>3.0000000000000001E-3</v>
          </cell>
          <cell r="CV1310">
            <v>42</v>
          </cell>
          <cell r="CW1310">
            <v>0</v>
          </cell>
          <cell r="CX1310">
            <v>0</v>
          </cell>
          <cell r="CY1310">
            <v>1.35E-2</v>
          </cell>
          <cell r="CZ1310">
            <v>189</v>
          </cell>
          <cell r="DA1310">
            <v>0</v>
          </cell>
          <cell r="DB1310">
            <v>0</v>
          </cell>
          <cell r="DC1310">
            <v>7.8750000000000001E-3</v>
          </cell>
          <cell r="DD1310">
            <v>99.25</v>
          </cell>
          <cell r="DE1310">
            <v>2.1374999999999998E-2</v>
          </cell>
          <cell r="DF1310">
            <v>288.25</v>
          </cell>
          <cell r="DG1310">
            <v>2.2499999999999999E-4</v>
          </cell>
          <cell r="DH1310">
            <v>2.91</v>
          </cell>
          <cell r="DI1310">
            <v>9.7499999999999996E-4</v>
          </cell>
          <cell r="DJ1310">
            <v>13.65</v>
          </cell>
          <cell r="DK1310">
            <v>1.5E-3</v>
          </cell>
          <cell r="DL1310">
            <v>21</v>
          </cell>
          <cell r="DM1310">
            <v>2.7000000000000001E-3</v>
          </cell>
          <cell r="DN1310">
            <v>37.56</v>
          </cell>
          <cell r="DO1310">
            <v>2.2499999999999998E-3</v>
          </cell>
          <cell r="DP1310">
            <v>31.5</v>
          </cell>
          <cell r="DQ1310">
            <v>7.5000000000000002E-4</v>
          </cell>
          <cell r="DR1310">
            <v>10.5</v>
          </cell>
          <cell r="DS1310">
            <v>0</v>
          </cell>
          <cell r="DT1310">
            <v>0</v>
          </cell>
          <cell r="DU1310">
            <v>3.0000000000000001E-3</v>
          </cell>
          <cell r="DV1310">
            <v>42</v>
          </cell>
          <cell r="DW1310">
            <v>6.0899999999999996E-2</v>
          </cell>
          <cell r="DX1310">
            <v>839.82</v>
          </cell>
          <cell r="DY1310" t="str">
            <v/>
          </cell>
          <cell r="DZ1310">
            <v>0</v>
          </cell>
          <cell r="EA1310">
            <v>13790.147783251234</v>
          </cell>
        </row>
        <row r="1311">
          <cell r="B1311">
            <v>348059</v>
          </cell>
          <cell r="C1311" t="str">
            <v>ვერმიშელი-ვოტ ეტა და_საქონლის ხორც_45გ_20ც+2ც</v>
          </cell>
          <cell r="D1311" t="str">
            <v>TON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O1311">
            <v>0</v>
          </cell>
          <cell r="AP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0</v>
          </cell>
          <cell r="BJ1311">
            <v>0</v>
          </cell>
          <cell r="BK1311">
            <v>0</v>
          </cell>
          <cell r="BL1311">
            <v>0</v>
          </cell>
          <cell r="BM1311">
            <v>0</v>
          </cell>
          <cell r="BN1311">
            <v>0</v>
          </cell>
          <cell r="BO1311">
            <v>0</v>
          </cell>
          <cell r="BP1311">
            <v>0</v>
          </cell>
          <cell r="BQ1311">
            <v>0</v>
          </cell>
          <cell r="BR1311">
            <v>0</v>
          </cell>
          <cell r="BS1311">
            <v>0</v>
          </cell>
          <cell r="BT1311">
            <v>0</v>
          </cell>
          <cell r="BU1311">
            <v>0</v>
          </cell>
          <cell r="BV1311">
            <v>0</v>
          </cell>
          <cell r="BW1311">
            <v>0</v>
          </cell>
          <cell r="BX1311">
            <v>0</v>
          </cell>
          <cell r="BY1311">
            <v>0</v>
          </cell>
          <cell r="BZ1311">
            <v>0</v>
          </cell>
          <cell r="CA1311">
            <v>0</v>
          </cell>
          <cell r="CB1311">
            <v>0</v>
          </cell>
          <cell r="CC1311">
            <v>0</v>
          </cell>
          <cell r="CD1311">
            <v>0</v>
          </cell>
          <cell r="CE1311">
            <v>0</v>
          </cell>
          <cell r="CF1311">
            <v>0</v>
          </cell>
          <cell r="CG1311">
            <v>0</v>
          </cell>
          <cell r="CH1311">
            <v>0</v>
          </cell>
          <cell r="CI1311">
            <v>0</v>
          </cell>
          <cell r="CJ1311">
            <v>0</v>
          </cell>
          <cell r="CK1311">
            <v>0</v>
          </cell>
          <cell r="CL1311">
            <v>0</v>
          </cell>
          <cell r="CO1311">
            <v>0</v>
          </cell>
          <cell r="CP1311">
            <v>0</v>
          </cell>
          <cell r="CQ1311">
            <v>0</v>
          </cell>
          <cell r="CR1311">
            <v>0</v>
          </cell>
          <cell r="CS1311">
            <v>0</v>
          </cell>
          <cell r="CT1311">
            <v>0</v>
          </cell>
          <cell r="CU1311">
            <v>0</v>
          </cell>
          <cell r="CV1311">
            <v>0</v>
          </cell>
          <cell r="CW1311">
            <v>0</v>
          </cell>
          <cell r="CX1311">
            <v>0</v>
          </cell>
          <cell r="CY1311">
            <v>0</v>
          </cell>
          <cell r="CZ1311">
            <v>0</v>
          </cell>
          <cell r="DA1311">
            <v>0</v>
          </cell>
          <cell r="DB1311">
            <v>0</v>
          </cell>
          <cell r="DC1311">
            <v>0</v>
          </cell>
          <cell r="DD1311">
            <v>0</v>
          </cell>
          <cell r="DE1311">
            <v>0</v>
          </cell>
          <cell r="DF1311">
            <v>0</v>
          </cell>
          <cell r="DG1311">
            <v>0</v>
          </cell>
          <cell r="DH1311">
            <v>0</v>
          </cell>
          <cell r="DI1311">
            <v>0</v>
          </cell>
          <cell r="DJ1311">
            <v>0</v>
          </cell>
          <cell r="DK1311">
            <v>0</v>
          </cell>
          <cell r="DL1311">
            <v>0</v>
          </cell>
          <cell r="DM1311">
            <v>0</v>
          </cell>
          <cell r="DN1311">
            <v>0</v>
          </cell>
          <cell r="DO1311">
            <v>0</v>
          </cell>
          <cell r="DP1311">
            <v>0</v>
          </cell>
          <cell r="DQ1311">
            <v>0</v>
          </cell>
          <cell r="DR1311">
            <v>0</v>
          </cell>
          <cell r="DS1311">
            <v>0</v>
          </cell>
          <cell r="DT1311">
            <v>0</v>
          </cell>
          <cell r="DU1311">
            <v>0</v>
          </cell>
          <cell r="DV1311">
            <v>0</v>
          </cell>
          <cell r="DW1311">
            <v>0</v>
          </cell>
          <cell r="DX1311">
            <v>0</v>
          </cell>
          <cell r="DY1311" t="str">
            <v/>
          </cell>
          <cell r="DZ1311" t="str">
            <v>pasiv</v>
          </cell>
          <cell r="EA1311" t="e">
            <v>#DIV/0!</v>
          </cell>
        </row>
        <row r="1312">
          <cell r="B1312">
            <v>348060</v>
          </cell>
          <cell r="C1312" t="str">
            <v>ვერმიშელი-ვოტ ეტა და_ქათმის ხორც_45გ_20ც+2ც</v>
          </cell>
          <cell r="D1312" t="str">
            <v>TON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O1312">
            <v>0</v>
          </cell>
          <cell r="AP1312">
            <v>0</v>
          </cell>
          <cell r="AS1312">
            <v>0</v>
          </cell>
          <cell r="AT1312">
            <v>0</v>
          </cell>
          <cell r="AU1312">
            <v>2.9700000000000001E-2</v>
          </cell>
          <cell r="AV1312">
            <v>254.13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1.584E-2</v>
          </cell>
          <cell r="BD1312">
            <v>133.72999999999999</v>
          </cell>
          <cell r="BE1312">
            <v>1.584E-2</v>
          </cell>
          <cell r="BF1312">
            <v>133.72999999999999</v>
          </cell>
          <cell r="BG1312">
            <v>0</v>
          </cell>
          <cell r="BH1312">
            <v>0</v>
          </cell>
          <cell r="BI1312">
            <v>0</v>
          </cell>
          <cell r="BJ1312">
            <v>0</v>
          </cell>
          <cell r="BK1312">
            <v>0</v>
          </cell>
          <cell r="BL1312">
            <v>0</v>
          </cell>
          <cell r="BM1312">
            <v>0</v>
          </cell>
          <cell r="BN1312">
            <v>0</v>
          </cell>
          <cell r="BO1312">
            <v>0</v>
          </cell>
          <cell r="BP1312">
            <v>0</v>
          </cell>
          <cell r="BQ1312">
            <v>0</v>
          </cell>
          <cell r="BR1312">
            <v>0</v>
          </cell>
          <cell r="BS1312">
            <v>0</v>
          </cell>
          <cell r="BT1312">
            <v>0</v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1.3860000000000001E-2</v>
          </cell>
          <cell r="BZ1312">
            <v>120.4</v>
          </cell>
          <cell r="CA1312">
            <v>0</v>
          </cell>
          <cell r="CB1312">
            <v>0</v>
          </cell>
          <cell r="CC1312">
            <v>0</v>
          </cell>
          <cell r="CD1312">
            <v>0</v>
          </cell>
          <cell r="CE1312">
            <v>0</v>
          </cell>
          <cell r="CF1312">
            <v>0</v>
          </cell>
          <cell r="CG1312">
            <v>0</v>
          </cell>
          <cell r="CH1312">
            <v>0</v>
          </cell>
          <cell r="CI1312">
            <v>1.3860000000000001E-2</v>
          </cell>
          <cell r="CJ1312">
            <v>120.4</v>
          </cell>
          <cell r="CK1312">
            <v>1.3860000000000001E-2</v>
          </cell>
          <cell r="CL1312">
            <v>120.4</v>
          </cell>
          <cell r="CO1312">
            <v>0</v>
          </cell>
          <cell r="CP1312">
            <v>0</v>
          </cell>
          <cell r="CQ1312">
            <v>0</v>
          </cell>
          <cell r="CR1312">
            <v>0</v>
          </cell>
          <cell r="CS1312">
            <v>0</v>
          </cell>
          <cell r="CT1312">
            <v>0</v>
          </cell>
          <cell r="CU1312">
            <v>0</v>
          </cell>
          <cell r="CV1312">
            <v>0</v>
          </cell>
          <cell r="CW1312">
            <v>0</v>
          </cell>
          <cell r="CX1312">
            <v>0</v>
          </cell>
          <cell r="CY1312">
            <v>0</v>
          </cell>
          <cell r="CZ1312">
            <v>0</v>
          </cell>
          <cell r="DA1312">
            <v>0</v>
          </cell>
          <cell r="DB1312">
            <v>0</v>
          </cell>
          <cell r="DC1312">
            <v>0</v>
          </cell>
          <cell r="DD1312">
            <v>0</v>
          </cell>
          <cell r="DE1312">
            <v>0</v>
          </cell>
          <cell r="DF1312">
            <v>0</v>
          </cell>
          <cell r="DG1312">
            <v>0</v>
          </cell>
          <cell r="DH1312">
            <v>0</v>
          </cell>
          <cell r="DI1312">
            <v>0</v>
          </cell>
          <cell r="DJ1312">
            <v>0</v>
          </cell>
          <cell r="DK1312">
            <v>0</v>
          </cell>
          <cell r="DL1312">
            <v>0</v>
          </cell>
          <cell r="DM1312">
            <v>0</v>
          </cell>
          <cell r="DN1312">
            <v>0</v>
          </cell>
          <cell r="DO1312">
            <v>0</v>
          </cell>
          <cell r="DP1312">
            <v>0</v>
          </cell>
          <cell r="DQ1312">
            <v>0</v>
          </cell>
          <cell r="DR1312">
            <v>0</v>
          </cell>
          <cell r="DS1312">
            <v>0</v>
          </cell>
          <cell r="DT1312">
            <v>0</v>
          </cell>
          <cell r="DU1312">
            <v>0</v>
          </cell>
          <cell r="DV1312">
            <v>0</v>
          </cell>
          <cell r="DW1312">
            <v>2.9700000000000001E-2</v>
          </cell>
          <cell r="DX1312">
            <v>254.13</v>
          </cell>
          <cell r="DY1312" t="str">
            <v/>
          </cell>
          <cell r="DZ1312">
            <v>0</v>
          </cell>
          <cell r="EA1312">
            <v>8556.5656565656554</v>
          </cell>
        </row>
        <row r="1313">
          <cell r="B1313">
            <v>384001</v>
          </cell>
          <cell r="C1313" t="str">
            <v>კარტ.პიურე კრუტონებით_ბიგ ლანჩ_50გ*24_ ქათმის არომ</v>
          </cell>
          <cell r="D1313" t="str">
            <v>TON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5.9999999999999995E-4</v>
          </cell>
          <cell r="AH1313">
            <v>20.16</v>
          </cell>
          <cell r="AI1313">
            <v>1E-3</v>
          </cell>
          <cell r="AJ1313">
            <v>33.6</v>
          </cell>
          <cell r="AK1313">
            <v>2.5000000000000001E-4</v>
          </cell>
          <cell r="AL1313">
            <v>8.4</v>
          </cell>
          <cell r="AO1313">
            <v>1.8499999999999999E-3</v>
          </cell>
          <cell r="AP1313">
            <v>62.160000000000004</v>
          </cell>
          <cell r="AS1313">
            <v>0</v>
          </cell>
          <cell r="AT1313">
            <v>0</v>
          </cell>
          <cell r="AU1313">
            <v>1.1599999999999999E-2</v>
          </cell>
          <cell r="AV1313">
            <v>371.34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2.4499999999999999E-3</v>
          </cell>
          <cell r="BD1313">
            <v>77.97</v>
          </cell>
          <cell r="BE1313">
            <v>2.4499999999999999E-3</v>
          </cell>
          <cell r="BF1313">
            <v>77.97</v>
          </cell>
          <cell r="BG1313">
            <v>0</v>
          </cell>
          <cell r="BH1313">
            <v>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9.5E-4</v>
          </cell>
          <cell r="BN1313">
            <v>31.92</v>
          </cell>
          <cell r="BO1313">
            <v>1.5E-3</v>
          </cell>
          <cell r="BP1313">
            <v>50.4</v>
          </cell>
          <cell r="BQ1313">
            <v>0</v>
          </cell>
          <cell r="BR1313">
            <v>0</v>
          </cell>
          <cell r="BS1313">
            <v>2.4499999999999999E-3</v>
          </cell>
          <cell r="BT1313">
            <v>82.32</v>
          </cell>
          <cell r="BU1313">
            <v>0</v>
          </cell>
          <cell r="BV1313">
            <v>0</v>
          </cell>
          <cell r="BW1313">
            <v>5.9999999999999995E-4</v>
          </cell>
          <cell r="BX1313">
            <v>18.62</v>
          </cell>
          <cell r="BY1313">
            <v>0</v>
          </cell>
          <cell r="BZ1313">
            <v>0</v>
          </cell>
          <cell r="CA1313">
            <v>0</v>
          </cell>
          <cell r="CB1313">
            <v>0</v>
          </cell>
          <cell r="CC1313">
            <v>0</v>
          </cell>
          <cell r="CD1313">
            <v>0</v>
          </cell>
          <cell r="CE1313">
            <v>0</v>
          </cell>
          <cell r="CF1313">
            <v>0</v>
          </cell>
          <cell r="CG1313">
            <v>0</v>
          </cell>
          <cell r="CH1313">
            <v>0</v>
          </cell>
          <cell r="CI1313">
            <v>5.9999999999999995E-4</v>
          </cell>
          <cell r="CJ1313">
            <v>18.62</v>
          </cell>
          <cell r="CK1313">
            <v>3.0499999999999998E-3</v>
          </cell>
          <cell r="CL1313">
            <v>100.94</v>
          </cell>
          <cell r="CO1313">
            <v>0</v>
          </cell>
          <cell r="CP1313">
            <v>0</v>
          </cell>
          <cell r="CQ1313">
            <v>0</v>
          </cell>
          <cell r="CR1313">
            <v>0</v>
          </cell>
          <cell r="CS1313">
            <v>0</v>
          </cell>
          <cell r="CT1313">
            <v>0</v>
          </cell>
          <cell r="CU1313">
            <v>2.9999999999999997E-4</v>
          </cell>
          <cell r="CV1313">
            <v>10.08</v>
          </cell>
          <cell r="CW1313">
            <v>0</v>
          </cell>
          <cell r="CX1313">
            <v>0</v>
          </cell>
          <cell r="CY1313">
            <v>0</v>
          </cell>
          <cell r="CZ1313">
            <v>0</v>
          </cell>
          <cell r="DA1313">
            <v>0</v>
          </cell>
          <cell r="DB1313">
            <v>0</v>
          </cell>
          <cell r="DC1313">
            <v>3.4499999999999999E-3</v>
          </cell>
          <cell r="DD1313">
            <v>103.77</v>
          </cell>
          <cell r="DE1313">
            <v>3.4499999999999999E-3</v>
          </cell>
          <cell r="DF1313">
            <v>103.77</v>
          </cell>
          <cell r="DG1313">
            <v>1.4999999999999999E-4</v>
          </cell>
          <cell r="DH1313">
            <v>4.66</v>
          </cell>
          <cell r="DI1313">
            <v>0</v>
          </cell>
          <cell r="DJ1313">
            <v>0</v>
          </cell>
          <cell r="DK1313">
            <v>2.9999999999999997E-4</v>
          </cell>
          <cell r="DL1313">
            <v>10.08</v>
          </cell>
          <cell r="DM1313">
            <v>4.4999999999999999E-4</v>
          </cell>
          <cell r="DN1313">
            <v>14.74</v>
          </cell>
          <cell r="DO1313">
            <v>0</v>
          </cell>
          <cell r="DP1313">
            <v>0</v>
          </cell>
          <cell r="DQ1313">
            <v>0</v>
          </cell>
          <cell r="DR1313">
            <v>0</v>
          </cell>
          <cell r="DS1313">
            <v>2.9999999999999997E-4</v>
          </cell>
          <cell r="DT1313">
            <v>10.08</v>
          </cell>
          <cell r="DU1313">
            <v>2.9999999999999997E-4</v>
          </cell>
          <cell r="DV1313">
            <v>10.08</v>
          </cell>
          <cell r="DW1313">
            <v>1.155E-2</v>
          </cell>
          <cell r="DX1313">
            <v>369.66</v>
          </cell>
          <cell r="DY1313" t="str">
            <v/>
          </cell>
          <cell r="DZ1313">
            <v>0</v>
          </cell>
          <cell r="EA1313">
            <v>32005.194805194809</v>
          </cell>
        </row>
        <row r="1314">
          <cell r="A1314">
            <v>0.9375</v>
          </cell>
          <cell r="B1314">
            <v>390113</v>
          </cell>
          <cell r="C1314" t="str">
            <v>ვოტეტადა_ქათმ.ხორც_45გ_1ყ+10ც სუხარი FANAT 30ც</v>
          </cell>
          <cell r="D1314" t="str">
            <v>TON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4.4999999999999997E-3</v>
          </cell>
          <cell r="T1314">
            <v>38.799999999999997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4.4999999999999997E-3</v>
          </cell>
          <cell r="Z1314">
            <v>38.799999999999997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O1314">
            <v>0</v>
          </cell>
          <cell r="AP1314">
            <v>0</v>
          </cell>
          <cell r="AS1314">
            <v>0</v>
          </cell>
          <cell r="AT1314">
            <v>0</v>
          </cell>
          <cell r="AU1314">
            <v>2.7E-2</v>
          </cell>
          <cell r="AV1314">
            <v>232.8</v>
          </cell>
          <cell r="AW1314">
            <v>0</v>
          </cell>
          <cell r="AX1314">
            <v>0</v>
          </cell>
          <cell r="AY1314">
            <v>0</v>
          </cell>
          <cell r="AZ1314">
            <v>0</v>
          </cell>
          <cell r="BA1314">
            <v>0</v>
          </cell>
          <cell r="BB1314">
            <v>0</v>
          </cell>
          <cell r="BC1314">
            <v>2.2499999999999999E-2</v>
          </cell>
          <cell r="BD1314">
            <v>194</v>
          </cell>
          <cell r="BE1314">
            <v>2.2499999999999999E-2</v>
          </cell>
          <cell r="BF1314">
            <v>194</v>
          </cell>
          <cell r="BG1314">
            <v>0</v>
          </cell>
          <cell r="BH1314">
            <v>0</v>
          </cell>
          <cell r="BI1314">
            <v>0</v>
          </cell>
          <cell r="BJ1314">
            <v>0</v>
          </cell>
          <cell r="BK1314">
            <v>0</v>
          </cell>
          <cell r="BL1314">
            <v>0</v>
          </cell>
          <cell r="BM1314">
            <v>0</v>
          </cell>
          <cell r="BN1314">
            <v>0</v>
          </cell>
          <cell r="BO1314">
            <v>0</v>
          </cell>
          <cell r="BP1314">
            <v>0</v>
          </cell>
          <cell r="BQ1314">
            <v>0</v>
          </cell>
          <cell r="BR1314">
            <v>0</v>
          </cell>
          <cell r="BS1314">
            <v>0</v>
          </cell>
          <cell r="BT1314">
            <v>0</v>
          </cell>
          <cell r="BU1314">
            <v>0</v>
          </cell>
          <cell r="BV1314">
            <v>0</v>
          </cell>
          <cell r="BW1314">
            <v>0</v>
          </cell>
          <cell r="BX1314">
            <v>0</v>
          </cell>
          <cell r="BY1314">
            <v>0</v>
          </cell>
          <cell r="BZ1314">
            <v>0</v>
          </cell>
          <cell r="CA1314">
            <v>0</v>
          </cell>
          <cell r="CB1314">
            <v>0</v>
          </cell>
          <cell r="CC1314">
            <v>0</v>
          </cell>
          <cell r="CD1314">
            <v>0</v>
          </cell>
          <cell r="CE1314">
            <v>0</v>
          </cell>
          <cell r="CF1314">
            <v>0</v>
          </cell>
          <cell r="CG1314">
            <v>0</v>
          </cell>
          <cell r="CH1314">
            <v>0</v>
          </cell>
          <cell r="CI1314">
            <v>0</v>
          </cell>
          <cell r="CJ1314">
            <v>0</v>
          </cell>
          <cell r="CK1314">
            <v>0</v>
          </cell>
          <cell r="CL1314">
            <v>0</v>
          </cell>
          <cell r="CO1314">
            <v>0</v>
          </cell>
          <cell r="CP1314">
            <v>0</v>
          </cell>
          <cell r="CQ1314">
            <v>0</v>
          </cell>
          <cell r="CR1314">
            <v>0</v>
          </cell>
          <cell r="CS1314">
            <v>0</v>
          </cell>
          <cell r="CT1314">
            <v>0</v>
          </cell>
          <cell r="CU1314">
            <v>0</v>
          </cell>
          <cell r="CV1314">
            <v>0</v>
          </cell>
          <cell r="CW1314">
            <v>0</v>
          </cell>
          <cell r="CX1314">
            <v>0</v>
          </cell>
          <cell r="CY1314">
            <v>0</v>
          </cell>
          <cell r="CZ1314">
            <v>0</v>
          </cell>
          <cell r="DA1314">
            <v>0</v>
          </cell>
          <cell r="DB1314">
            <v>0</v>
          </cell>
          <cell r="DC1314">
            <v>0</v>
          </cell>
          <cell r="DD1314">
            <v>0</v>
          </cell>
          <cell r="DE1314">
            <v>0</v>
          </cell>
          <cell r="DF1314">
            <v>0</v>
          </cell>
          <cell r="DG1314">
            <v>0</v>
          </cell>
          <cell r="DH1314">
            <v>0</v>
          </cell>
          <cell r="DI1314">
            <v>0</v>
          </cell>
          <cell r="DJ1314">
            <v>0</v>
          </cell>
          <cell r="DK1314">
            <v>0</v>
          </cell>
          <cell r="DL1314">
            <v>0</v>
          </cell>
          <cell r="DM1314">
            <v>0</v>
          </cell>
          <cell r="DN1314">
            <v>0</v>
          </cell>
          <cell r="DO1314">
            <v>0</v>
          </cell>
          <cell r="DP1314">
            <v>0</v>
          </cell>
          <cell r="DQ1314">
            <v>0</v>
          </cell>
          <cell r="DR1314">
            <v>0</v>
          </cell>
          <cell r="DS1314">
            <v>0</v>
          </cell>
          <cell r="DT1314">
            <v>0</v>
          </cell>
          <cell r="DU1314">
            <v>0</v>
          </cell>
          <cell r="DV1314">
            <v>0</v>
          </cell>
          <cell r="DW1314">
            <v>2.7E-2</v>
          </cell>
          <cell r="DX1314">
            <v>232.8</v>
          </cell>
          <cell r="DY1314" t="str">
            <v/>
          </cell>
          <cell r="DZ1314">
            <v>0</v>
          </cell>
          <cell r="EA1314">
            <v>8622.2222222222226</v>
          </cell>
        </row>
        <row r="1315">
          <cell r="A1315">
            <v>0.9375</v>
          </cell>
          <cell r="B1315">
            <v>387705</v>
          </cell>
          <cell r="C1315" t="str">
            <v>ვოტეტადა_საქ.ხორც_45გ_1ყ+10ც სუხარი FANAT 30გ</v>
          </cell>
          <cell r="D1315" t="str">
            <v>TON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4.4999999999999997E-3</v>
          </cell>
          <cell r="T1315">
            <v>38.799999999999997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4.4999999999999997E-3</v>
          </cell>
          <cell r="Z1315">
            <v>38.799999999999997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O1315">
            <v>0</v>
          </cell>
          <cell r="AP1315">
            <v>0</v>
          </cell>
          <cell r="AS1315">
            <v>0</v>
          </cell>
          <cell r="AT1315">
            <v>0</v>
          </cell>
          <cell r="AU1315">
            <v>8.5500000000000007E-2</v>
          </cell>
          <cell r="AV1315">
            <v>703.2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>
            <v>0</v>
          </cell>
          <cell r="BF1315">
            <v>0</v>
          </cell>
          <cell r="BG1315">
            <v>0</v>
          </cell>
          <cell r="BH1315">
            <v>0</v>
          </cell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4.9500000000000002E-2</v>
          </cell>
          <cell r="BN1315">
            <v>391.6</v>
          </cell>
          <cell r="BO1315">
            <v>0</v>
          </cell>
          <cell r="BP1315">
            <v>0</v>
          </cell>
          <cell r="BQ1315">
            <v>0</v>
          </cell>
          <cell r="BR1315">
            <v>0</v>
          </cell>
          <cell r="BS1315">
            <v>4.9500000000000002E-2</v>
          </cell>
          <cell r="BT1315">
            <v>391.6</v>
          </cell>
          <cell r="BU1315">
            <v>0</v>
          </cell>
          <cell r="BV1315">
            <v>0</v>
          </cell>
          <cell r="BW1315">
            <v>0</v>
          </cell>
          <cell r="BX1315">
            <v>0</v>
          </cell>
          <cell r="BY1315">
            <v>0</v>
          </cell>
          <cell r="BZ1315">
            <v>0</v>
          </cell>
          <cell r="CA1315">
            <v>0</v>
          </cell>
          <cell r="CB1315">
            <v>0</v>
          </cell>
          <cell r="CC1315">
            <v>0</v>
          </cell>
          <cell r="CD1315">
            <v>0</v>
          </cell>
          <cell r="CE1315">
            <v>0</v>
          </cell>
          <cell r="CF1315">
            <v>0</v>
          </cell>
          <cell r="CG1315">
            <v>0</v>
          </cell>
          <cell r="CH1315">
            <v>0</v>
          </cell>
          <cell r="CI1315">
            <v>0</v>
          </cell>
          <cell r="CJ1315">
            <v>0</v>
          </cell>
          <cell r="CK1315">
            <v>4.9500000000000002E-2</v>
          </cell>
          <cell r="CL1315">
            <v>391.6</v>
          </cell>
          <cell r="CO1315">
            <v>0</v>
          </cell>
          <cell r="CP1315">
            <v>0</v>
          </cell>
          <cell r="CQ1315">
            <v>0</v>
          </cell>
          <cell r="CR1315">
            <v>0</v>
          </cell>
          <cell r="CS1315">
            <v>0</v>
          </cell>
          <cell r="CT1315">
            <v>0</v>
          </cell>
          <cell r="CU1315">
            <v>4.4999999999999997E-3</v>
          </cell>
          <cell r="CV1315">
            <v>38.799999999999997</v>
          </cell>
          <cell r="CW1315">
            <v>0</v>
          </cell>
          <cell r="CX1315">
            <v>0</v>
          </cell>
          <cell r="CY1315">
            <v>0</v>
          </cell>
          <cell r="CZ1315">
            <v>0</v>
          </cell>
          <cell r="DA1315">
            <v>0</v>
          </cell>
          <cell r="DB1315">
            <v>0</v>
          </cell>
          <cell r="DC1315">
            <v>0</v>
          </cell>
          <cell r="DD1315">
            <v>0</v>
          </cell>
          <cell r="DE1315">
            <v>0</v>
          </cell>
          <cell r="DF1315">
            <v>0</v>
          </cell>
          <cell r="DG1315">
            <v>0</v>
          </cell>
          <cell r="DH1315">
            <v>0</v>
          </cell>
          <cell r="DI1315">
            <v>4.4999999999999997E-3</v>
          </cell>
          <cell r="DJ1315">
            <v>40</v>
          </cell>
          <cell r="DK1315">
            <v>2.2499999999999999E-2</v>
          </cell>
          <cell r="DL1315">
            <v>194</v>
          </cell>
          <cell r="DM1315">
            <v>2.7E-2</v>
          </cell>
          <cell r="DN1315">
            <v>234</v>
          </cell>
          <cell r="DO1315">
            <v>4.4999999999999997E-3</v>
          </cell>
          <cell r="DP1315">
            <v>38.799999999999997</v>
          </cell>
          <cell r="DQ1315">
            <v>0</v>
          </cell>
          <cell r="DR1315">
            <v>0</v>
          </cell>
          <cell r="DS1315">
            <v>0</v>
          </cell>
          <cell r="DT1315">
            <v>0</v>
          </cell>
          <cell r="DU1315">
            <v>4.4999999999999997E-3</v>
          </cell>
          <cell r="DV1315">
            <v>38.799999999999997</v>
          </cell>
          <cell r="DW1315">
            <v>8.5500000000000007E-2</v>
          </cell>
          <cell r="DX1315">
            <v>703.2</v>
          </cell>
          <cell r="DY1315" t="str">
            <v/>
          </cell>
          <cell r="DZ1315">
            <v>0</v>
          </cell>
          <cell r="EA1315">
            <v>8224.561403508771</v>
          </cell>
        </row>
        <row r="1316">
          <cell r="A1316">
            <v>0.9375</v>
          </cell>
          <cell r="B1316">
            <v>387706</v>
          </cell>
          <cell r="C1316" t="str">
            <v>ვოტეტადა_ქათმ.ხორც_45გ_1ყ+5ც სუხარი FANAT 60გ</v>
          </cell>
          <cell r="D1316" t="str">
            <v>TON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0</v>
          </cell>
          <cell r="AO1316">
            <v>0</v>
          </cell>
          <cell r="AP1316">
            <v>0</v>
          </cell>
          <cell r="AS1316">
            <v>0</v>
          </cell>
          <cell r="AT1316">
            <v>0</v>
          </cell>
          <cell r="AU1316">
            <v>6.7499999999999991E-2</v>
          </cell>
          <cell r="AV1316">
            <v>568.4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0</v>
          </cell>
          <cell r="BG1316">
            <v>0</v>
          </cell>
          <cell r="BH1316">
            <v>0</v>
          </cell>
          <cell r="BI1316">
            <v>0</v>
          </cell>
          <cell r="BJ1316">
            <v>0</v>
          </cell>
          <cell r="BK1316">
            <v>0</v>
          </cell>
          <cell r="BL1316">
            <v>0</v>
          </cell>
          <cell r="BM1316">
            <v>1.7999999999999999E-2</v>
          </cell>
          <cell r="BN1316">
            <v>142.4</v>
          </cell>
          <cell r="BO1316">
            <v>0</v>
          </cell>
          <cell r="BP1316">
            <v>0</v>
          </cell>
          <cell r="BQ1316">
            <v>0</v>
          </cell>
          <cell r="BR1316">
            <v>0</v>
          </cell>
          <cell r="BS1316">
            <v>1.7999999999999999E-2</v>
          </cell>
          <cell r="BT1316">
            <v>142.4</v>
          </cell>
          <cell r="BU1316">
            <v>0</v>
          </cell>
          <cell r="BV1316">
            <v>0</v>
          </cell>
          <cell r="BW1316">
            <v>0</v>
          </cell>
          <cell r="BX1316">
            <v>0</v>
          </cell>
          <cell r="BY1316">
            <v>0</v>
          </cell>
          <cell r="BZ1316">
            <v>0</v>
          </cell>
          <cell r="CA1316">
            <v>0</v>
          </cell>
          <cell r="CB1316">
            <v>0</v>
          </cell>
          <cell r="CC1316">
            <v>0</v>
          </cell>
          <cell r="CD1316">
            <v>0</v>
          </cell>
          <cell r="CE1316">
            <v>0</v>
          </cell>
          <cell r="CF1316">
            <v>0</v>
          </cell>
          <cell r="CG1316">
            <v>0</v>
          </cell>
          <cell r="CH1316">
            <v>0</v>
          </cell>
          <cell r="CI1316">
            <v>0</v>
          </cell>
          <cell r="CJ1316">
            <v>0</v>
          </cell>
          <cell r="CK1316">
            <v>1.7999999999999999E-2</v>
          </cell>
          <cell r="CL1316">
            <v>142.4</v>
          </cell>
          <cell r="CO1316">
            <v>0</v>
          </cell>
          <cell r="CP1316">
            <v>0</v>
          </cell>
          <cell r="CQ1316">
            <v>0</v>
          </cell>
          <cell r="CR1316">
            <v>0</v>
          </cell>
          <cell r="CS1316">
            <v>0</v>
          </cell>
          <cell r="CT1316">
            <v>0</v>
          </cell>
          <cell r="CU1316">
            <v>4.4999999999999997E-3</v>
          </cell>
          <cell r="CV1316">
            <v>38.799999999999997</v>
          </cell>
          <cell r="CW1316">
            <v>0</v>
          </cell>
          <cell r="CX1316">
            <v>0</v>
          </cell>
          <cell r="CY1316">
            <v>0</v>
          </cell>
          <cell r="CZ1316">
            <v>0</v>
          </cell>
          <cell r="DA1316">
            <v>0</v>
          </cell>
          <cell r="DB1316">
            <v>0</v>
          </cell>
          <cell r="DC1316">
            <v>0</v>
          </cell>
          <cell r="DD1316">
            <v>0</v>
          </cell>
          <cell r="DE1316">
            <v>0</v>
          </cell>
          <cell r="DF1316">
            <v>0</v>
          </cell>
          <cell r="DG1316">
            <v>4.0500000000000001E-2</v>
          </cell>
          <cell r="DH1316">
            <v>347.2</v>
          </cell>
          <cell r="DI1316">
            <v>0</v>
          </cell>
          <cell r="DJ1316">
            <v>0</v>
          </cell>
          <cell r="DK1316">
            <v>4.4999999999999997E-3</v>
          </cell>
          <cell r="DL1316">
            <v>40</v>
          </cell>
          <cell r="DM1316">
            <v>4.4999999999999998E-2</v>
          </cell>
          <cell r="DN1316">
            <v>387.2</v>
          </cell>
          <cell r="DO1316">
            <v>4.4999999999999997E-3</v>
          </cell>
          <cell r="DP1316">
            <v>38.799999999999997</v>
          </cell>
          <cell r="DQ1316">
            <v>0</v>
          </cell>
          <cell r="DR1316">
            <v>0</v>
          </cell>
          <cell r="DS1316">
            <v>0</v>
          </cell>
          <cell r="DT1316">
            <v>0</v>
          </cell>
          <cell r="DU1316">
            <v>4.4999999999999997E-3</v>
          </cell>
          <cell r="DV1316">
            <v>38.799999999999997</v>
          </cell>
          <cell r="DW1316">
            <v>6.7499999999999991E-2</v>
          </cell>
          <cell r="DX1316">
            <v>568.4</v>
          </cell>
          <cell r="DY1316" t="str">
            <v/>
          </cell>
          <cell r="DZ1316">
            <v>0</v>
          </cell>
          <cell r="EA1316">
            <v>8420.7407407407409</v>
          </cell>
        </row>
        <row r="1317">
          <cell r="B1317">
            <v>312800</v>
          </cell>
          <cell r="C1317" t="str">
            <v>ლაფშა_ბიგ ლანჩ_კორეულად-ბოსტნ.ქათმის-90გ*24-ფირფიტ</v>
          </cell>
          <cell r="D1317" t="str">
            <v>TON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1.3500000000000001E-3</v>
          </cell>
          <cell r="AH1317">
            <v>38.549999999999997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O1317">
            <v>1.3500000000000001E-3</v>
          </cell>
          <cell r="AP1317">
            <v>38.549999999999997</v>
          </cell>
          <cell r="AS1317">
            <v>0</v>
          </cell>
          <cell r="AT1317">
            <v>0</v>
          </cell>
          <cell r="AU1317">
            <v>1.6289999999999999E-2</v>
          </cell>
          <cell r="AV1317">
            <v>456.37</v>
          </cell>
          <cell r="AW1317">
            <v>0</v>
          </cell>
          <cell r="AX1317">
            <v>0</v>
          </cell>
          <cell r="AY1317">
            <v>5.6699999999999997E-3</v>
          </cell>
          <cell r="AZ1317">
            <v>159.29</v>
          </cell>
          <cell r="BA1317">
            <v>0</v>
          </cell>
          <cell r="BB1317">
            <v>0</v>
          </cell>
          <cell r="BC1317">
            <v>5.4000000000000001E-4</v>
          </cell>
          <cell r="BD1317">
            <v>15.42</v>
          </cell>
          <cell r="BE1317">
            <v>6.2099999999999994E-3</v>
          </cell>
          <cell r="BF1317">
            <v>174.70999999999998</v>
          </cell>
          <cell r="BG1317">
            <v>0</v>
          </cell>
          <cell r="BH1317">
            <v>0</v>
          </cell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>
            <v>1.2600000000000001E-3</v>
          </cell>
          <cell r="BN1317">
            <v>35.979999999999997</v>
          </cell>
          <cell r="BO1317">
            <v>0</v>
          </cell>
          <cell r="BP1317">
            <v>0</v>
          </cell>
          <cell r="BQ1317">
            <v>0</v>
          </cell>
          <cell r="BR1317">
            <v>0</v>
          </cell>
          <cell r="BS1317">
            <v>1.2600000000000001E-3</v>
          </cell>
          <cell r="BT1317">
            <v>35.979999999999997</v>
          </cell>
          <cell r="BU1317">
            <v>0</v>
          </cell>
          <cell r="BV1317">
            <v>0</v>
          </cell>
          <cell r="BW1317">
            <v>0</v>
          </cell>
          <cell r="BX1317">
            <v>0</v>
          </cell>
          <cell r="BY1317">
            <v>0</v>
          </cell>
          <cell r="BZ1317">
            <v>0</v>
          </cell>
          <cell r="CA1317">
            <v>2.8800000000000002E-3</v>
          </cell>
          <cell r="CB1317">
            <v>82.24</v>
          </cell>
          <cell r="CC1317">
            <v>0</v>
          </cell>
          <cell r="CD1317">
            <v>0</v>
          </cell>
          <cell r="CE1317">
            <v>0</v>
          </cell>
          <cell r="CF1317">
            <v>0</v>
          </cell>
          <cell r="CG1317">
            <v>0</v>
          </cell>
          <cell r="CH1317">
            <v>0</v>
          </cell>
          <cell r="CI1317">
            <v>2.8800000000000002E-3</v>
          </cell>
          <cell r="CJ1317">
            <v>82.24</v>
          </cell>
          <cell r="CK1317">
            <v>4.1400000000000005E-3</v>
          </cell>
          <cell r="CL1317">
            <v>118.22</v>
          </cell>
          <cell r="CO1317">
            <v>0</v>
          </cell>
          <cell r="CP1317">
            <v>0</v>
          </cell>
          <cell r="CQ1317">
            <v>0</v>
          </cell>
          <cell r="CR1317">
            <v>0</v>
          </cell>
          <cell r="CS1317">
            <v>0</v>
          </cell>
          <cell r="CT1317">
            <v>0</v>
          </cell>
          <cell r="CU1317">
            <v>1.08E-3</v>
          </cell>
          <cell r="CV1317">
            <v>30.84</v>
          </cell>
          <cell r="CW1317">
            <v>0</v>
          </cell>
          <cell r="CX1317">
            <v>0</v>
          </cell>
          <cell r="CY1317">
            <v>5.4000000000000001E-4</v>
          </cell>
          <cell r="CZ1317">
            <v>15.42</v>
          </cell>
          <cell r="DA1317">
            <v>0</v>
          </cell>
          <cell r="DB1317">
            <v>0</v>
          </cell>
          <cell r="DC1317">
            <v>1.89E-3</v>
          </cell>
          <cell r="DD1317">
            <v>48.37</v>
          </cell>
          <cell r="DE1317">
            <v>2.4299999999999999E-3</v>
          </cell>
          <cell r="DF1317">
            <v>63.79</v>
          </cell>
          <cell r="DG1317">
            <v>5.4000000000000001E-4</v>
          </cell>
          <cell r="DH1317">
            <v>14.84</v>
          </cell>
          <cell r="DI1317">
            <v>0</v>
          </cell>
          <cell r="DJ1317">
            <v>0</v>
          </cell>
          <cell r="DK1317">
            <v>5.4000000000000001E-4</v>
          </cell>
          <cell r="DL1317">
            <v>15.42</v>
          </cell>
          <cell r="DM1317">
            <v>1.08E-3</v>
          </cell>
          <cell r="DN1317">
            <v>30.26</v>
          </cell>
          <cell r="DO1317">
            <v>1.08E-3</v>
          </cell>
          <cell r="DP1317">
            <v>30.84</v>
          </cell>
          <cell r="DQ1317">
            <v>0</v>
          </cell>
          <cell r="DR1317">
            <v>0</v>
          </cell>
          <cell r="DS1317">
            <v>0</v>
          </cell>
          <cell r="DT1317">
            <v>0</v>
          </cell>
          <cell r="DU1317">
            <v>1.08E-3</v>
          </cell>
          <cell r="DV1317">
            <v>30.84</v>
          </cell>
          <cell r="DW1317">
            <v>1.6290000000000002E-2</v>
          </cell>
          <cell r="DX1317">
            <v>456.37</v>
          </cell>
          <cell r="DY1317" t="str">
            <v/>
          </cell>
          <cell r="DZ1317">
            <v>0</v>
          </cell>
          <cell r="EA1317">
            <v>28015.346838551253</v>
          </cell>
        </row>
        <row r="1318">
          <cell r="B1318">
            <v>312801</v>
          </cell>
          <cell r="C1318" t="str">
            <v>ლაფშა_ბიგ ლანჩ_კორეულად-ბოსტნ.საქ.ხორც_90გ*24-ფირფ</v>
          </cell>
          <cell r="D1318" t="str">
            <v>TON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2.16E-3</v>
          </cell>
          <cell r="AH1318">
            <v>61.68</v>
          </cell>
          <cell r="AI1318">
            <v>1.98E-3</v>
          </cell>
          <cell r="AJ1318">
            <v>56.54</v>
          </cell>
          <cell r="AK1318">
            <v>5.4000000000000001E-4</v>
          </cell>
          <cell r="AL1318">
            <v>15.42</v>
          </cell>
          <cell r="AO1318">
            <v>4.6799999999999993E-3</v>
          </cell>
          <cell r="AP1318">
            <v>133.63999999999999</v>
          </cell>
          <cell r="AS1318">
            <v>0</v>
          </cell>
          <cell r="AT1318">
            <v>0</v>
          </cell>
          <cell r="AU1318">
            <v>2.0789999999999999E-2</v>
          </cell>
          <cell r="AV1318">
            <v>569.22</v>
          </cell>
          <cell r="AW1318">
            <v>0</v>
          </cell>
          <cell r="AX1318">
            <v>0</v>
          </cell>
          <cell r="AY1318">
            <v>1.08E-3</v>
          </cell>
          <cell r="AZ1318">
            <v>28.22</v>
          </cell>
          <cell r="BA1318">
            <v>0</v>
          </cell>
          <cell r="BB1318">
            <v>0</v>
          </cell>
          <cell r="BC1318">
            <v>1.08E-3</v>
          </cell>
          <cell r="BD1318">
            <v>30.84</v>
          </cell>
          <cell r="BE1318">
            <v>2.16E-3</v>
          </cell>
          <cell r="BF1318">
            <v>59.06</v>
          </cell>
          <cell r="BG1318">
            <v>0</v>
          </cell>
          <cell r="BH1318">
            <v>0</v>
          </cell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1.3500000000000001E-3</v>
          </cell>
          <cell r="BN1318">
            <v>38.549999999999997</v>
          </cell>
          <cell r="BO1318">
            <v>0</v>
          </cell>
          <cell r="BP1318">
            <v>0</v>
          </cell>
          <cell r="BQ1318">
            <v>0</v>
          </cell>
          <cell r="BR1318">
            <v>0</v>
          </cell>
          <cell r="BS1318">
            <v>1.3500000000000001E-3</v>
          </cell>
          <cell r="BT1318">
            <v>38.549999999999997</v>
          </cell>
          <cell r="BU1318">
            <v>0</v>
          </cell>
          <cell r="BV1318">
            <v>0</v>
          </cell>
          <cell r="BW1318">
            <v>0</v>
          </cell>
          <cell r="BX1318">
            <v>0</v>
          </cell>
          <cell r="BY1318">
            <v>0</v>
          </cell>
          <cell r="BZ1318">
            <v>0</v>
          </cell>
          <cell r="CA1318">
            <v>2.5200000000000001E-3</v>
          </cell>
          <cell r="CB1318">
            <v>71.959999999999994</v>
          </cell>
          <cell r="CC1318">
            <v>0</v>
          </cell>
          <cell r="CD1318">
            <v>0</v>
          </cell>
          <cell r="CE1318">
            <v>0</v>
          </cell>
          <cell r="CF1318">
            <v>0</v>
          </cell>
          <cell r="CG1318">
            <v>0</v>
          </cell>
          <cell r="CH1318">
            <v>0</v>
          </cell>
          <cell r="CI1318">
            <v>2.5200000000000001E-3</v>
          </cell>
          <cell r="CJ1318">
            <v>71.959999999999994</v>
          </cell>
          <cell r="CK1318">
            <v>3.8700000000000002E-3</v>
          </cell>
          <cell r="CL1318">
            <v>110.50999999999999</v>
          </cell>
          <cell r="CO1318">
            <v>0</v>
          </cell>
          <cell r="CP1318">
            <v>0</v>
          </cell>
          <cell r="CQ1318">
            <v>0</v>
          </cell>
          <cell r="CR1318">
            <v>0</v>
          </cell>
          <cell r="CS1318">
            <v>0</v>
          </cell>
          <cell r="CT1318">
            <v>0</v>
          </cell>
          <cell r="CU1318">
            <v>2.16E-3</v>
          </cell>
          <cell r="CV1318">
            <v>61.68</v>
          </cell>
          <cell r="CW1318">
            <v>0</v>
          </cell>
          <cell r="CX1318">
            <v>0</v>
          </cell>
          <cell r="CY1318">
            <v>5.4000000000000001E-4</v>
          </cell>
          <cell r="CZ1318">
            <v>15.42</v>
          </cell>
          <cell r="DA1318">
            <v>0</v>
          </cell>
          <cell r="DB1318">
            <v>0</v>
          </cell>
          <cell r="DC1318">
            <v>7.2899999999999996E-3</v>
          </cell>
          <cell r="DD1318">
            <v>186.55</v>
          </cell>
          <cell r="DE1318">
            <v>7.8300000000000002E-3</v>
          </cell>
          <cell r="DF1318">
            <v>201.97</v>
          </cell>
          <cell r="DG1318">
            <v>6.3000000000000003E-4</v>
          </cell>
          <cell r="DH1318">
            <v>17.41</v>
          </cell>
          <cell r="DI1318">
            <v>-3.6000000000000002E-4</v>
          </cell>
          <cell r="DJ1318">
            <v>-10.08</v>
          </cell>
          <cell r="DK1318">
            <v>-1.8000000000000001E-4</v>
          </cell>
          <cell r="DL1318">
            <v>-4.97</v>
          </cell>
          <cell r="DM1318">
            <v>9.0000000000000006E-5</v>
          </cell>
          <cell r="DN1318">
            <v>2.36</v>
          </cell>
          <cell r="DO1318">
            <v>1.08E-3</v>
          </cell>
          <cell r="DP1318">
            <v>30.84</v>
          </cell>
          <cell r="DQ1318">
            <v>0</v>
          </cell>
          <cell r="DR1318">
            <v>0</v>
          </cell>
          <cell r="DS1318">
            <v>1.08E-3</v>
          </cell>
          <cell r="DT1318">
            <v>30.84</v>
          </cell>
          <cell r="DU1318">
            <v>2.16E-3</v>
          </cell>
          <cell r="DV1318">
            <v>61.68</v>
          </cell>
          <cell r="DW1318">
            <v>2.0789999999999999E-2</v>
          </cell>
          <cell r="DX1318">
            <v>569.22</v>
          </cell>
          <cell r="DY1318" t="str">
            <v/>
          </cell>
          <cell r="DZ1318">
            <v>0</v>
          </cell>
          <cell r="EA1318">
            <v>27379.509379509382</v>
          </cell>
        </row>
        <row r="1319">
          <cell r="B1319">
            <v>310731</v>
          </cell>
          <cell r="C1319" t="str">
            <v>ლაფშა_ბიგ ლანჩ_საქ.ხორც.სოკოთი და მწვანილით_75გ*60</v>
          </cell>
          <cell r="D1319" t="str">
            <v>TON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7.5000000000000002E-4</v>
          </cell>
          <cell r="AD1319">
            <v>10.5</v>
          </cell>
          <cell r="AE1319">
            <v>0</v>
          </cell>
          <cell r="AF1319">
            <v>0</v>
          </cell>
          <cell r="AG1319">
            <v>0</v>
          </cell>
          <cell r="AH1319">
            <v>0</v>
          </cell>
          <cell r="AI1319">
            <v>4.1999999999999997E-3</v>
          </cell>
          <cell r="AJ1319">
            <v>58.8</v>
          </cell>
          <cell r="AK1319">
            <v>2.2499999999999998E-3</v>
          </cell>
          <cell r="AL1319">
            <v>31.5</v>
          </cell>
          <cell r="AO1319">
            <v>7.1999999999999998E-3</v>
          </cell>
          <cell r="AP1319">
            <v>100.8</v>
          </cell>
          <cell r="AS1319">
            <v>0</v>
          </cell>
          <cell r="AT1319">
            <v>0</v>
          </cell>
          <cell r="AU1319">
            <v>7.4175000000000005E-2</v>
          </cell>
          <cell r="AV1319">
            <v>1015.15</v>
          </cell>
          <cell r="AW1319">
            <v>0</v>
          </cell>
          <cell r="AX1319">
            <v>0</v>
          </cell>
          <cell r="AY1319">
            <v>6.7499999999999999E-3</v>
          </cell>
          <cell r="AZ1319">
            <v>94.5</v>
          </cell>
          <cell r="BA1319">
            <v>0</v>
          </cell>
          <cell r="BB1319">
            <v>0</v>
          </cell>
          <cell r="BC1319">
            <v>0</v>
          </cell>
          <cell r="BD1319">
            <v>0</v>
          </cell>
          <cell r="BE1319">
            <v>6.7499999999999999E-3</v>
          </cell>
          <cell r="BF1319">
            <v>94.5</v>
          </cell>
          <cell r="BG1319">
            <v>0</v>
          </cell>
          <cell r="BH1319">
            <v>0</v>
          </cell>
          <cell r="BI1319">
            <v>2.2499999999999998E-3</v>
          </cell>
          <cell r="BJ1319">
            <v>31.5</v>
          </cell>
          <cell r="BK1319">
            <v>3.0000000000000001E-3</v>
          </cell>
          <cell r="BL1319">
            <v>42</v>
          </cell>
          <cell r="BM1319">
            <v>3.0000000000000001E-3</v>
          </cell>
          <cell r="BN1319">
            <v>42</v>
          </cell>
          <cell r="BO1319">
            <v>2.7000000000000001E-3</v>
          </cell>
          <cell r="BP1319">
            <v>37.799999999999997</v>
          </cell>
          <cell r="BQ1319">
            <v>0</v>
          </cell>
          <cell r="BR1319">
            <v>0</v>
          </cell>
          <cell r="BS1319">
            <v>1.095E-2</v>
          </cell>
          <cell r="BT1319">
            <v>153.30000000000001</v>
          </cell>
          <cell r="BU1319">
            <v>0</v>
          </cell>
          <cell r="BV1319">
            <v>0</v>
          </cell>
          <cell r="BW1319">
            <v>3.7499999999999999E-3</v>
          </cell>
          <cell r="BX1319">
            <v>48.5</v>
          </cell>
          <cell r="BY1319">
            <v>0</v>
          </cell>
          <cell r="BZ1319">
            <v>0</v>
          </cell>
          <cell r="CA1319">
            <v>3.0000000000000001E-3</v>
          </cell>
          <cell r="CB1319">
            <v>42</v>
          </cell>
          <cell r="CC1319">
            <v>0</v>
          </cell>
          <cell r="CD1319">
            <v>0</v>
          </cell>
          <cell r="CE1319">
            <v>1.89E-2</v>
          </cell>
          <cell r="CF1319">
            <v>253.68</v>
          </cell>
          <cell r="CG1319">
            <v>0</v>
          </cell>
          <cell r="CH1319">
            <v>0</v>
          </cell>
          <cell r="CI1319">
            <v>2.5649999999999999E-2</v>
          </cell>
          <cell r="CJ1319">
            <v>344.18</v>
          </cell>
          <cell r="CK1319">
            <v>3.6600000000000001E-2</v>
          </cell>
          <cell r="CL1319">
            <v>497.48</v>
          </cell>
          <cell r="CO1319">
            <v>0</v>
          </cell>
          <cell r="CP1319">
            <v>0</v>
          </cell>
          <cell r="CQ1319">
            <v>0</v>
          </cell>
          <cell r="CR1319">
            <v>0</v>
          </cell>
          <cell r="CS1319">
            <v>0</v>
          </cell>
          <cell r="CT1319">
            <v>0</v>
          </cell>
          <cell r="CU1319">
            <v>5.2500000000000003E-3</v>
          </cell>
          <cell r="CV1319">
            <v>73.5</v>
          </cell>
          <cell r="CW1319">
            <v>0</v>
          </cell>
          <cell r="CX1319">
            <v>0</v>
          </cell>
          <cell r="CY1319">
            <v>9.75E-3</v>
          </cell>
          <cell r="CZ1319">
            <v>136.5</v>
          </cell>
          <cell r="DA1319">
            <v>0</v>
          </cell>
          <cell r="DB1319">
            <v>0</v>
          </cell>
          <cell r="DC1319">
            <v>6.45E-3</v>
          </cell>
          <cell r="DD1319">
            <v>82.16</v>
          </cell>
          <cell r="DE1319">
            <v>1.6199999999999999E-2</v>
          </cell>
          <cell r="DF1319">
            <v>218.66</v>
          </cell>
          <cell r="DG1319">
            <v>2.2499999999999999E-4</v>
          </cell>
          <cell r="DH1319">
            <v>2.91</v>
          </cell>
          <cell r="DI1319">
            <v>7.5000000000000002E-4</v>
          </cell>
          <cell r="DJ1319">
            <v>10.5</v>
          </cell>
          <cell r="DK1319">
            <v>1.1999999999999999E-3</v>
          </cell>
          <cell r="DL1319">
            <v>16.8</v>
          </cell>
          <cell r="DM1319">
            <v>2.1749999999999999E-3</v>
          </cell>
          <cell r="DN1319">
            <v>30.21</v>
          </cell>
          <cell r="DO1319">
            <v>2.2499999999999998E-3</v>
          </cell>
          <cell r="DP1319">
            <v>31.5</v>
          </cell>
          <cell r="DQ1319">
            <v>0</v>
          </cell>
          <cell r="DR1319">
            <v>0</v>
          </cell>
          <cell r="DS1319">
            <v>3.0000000000000001E-3</v>
          </cell>
          <cell r="DT1319">
            <v>42</v>
          </cell>
          <cell r="DU1319">
            <v>5.2500000000000003E-3</v>
          </cell>
          <cell r="DV1319">
            <v>73.5</v>
          </cell>
          <cell r="DW1319">
            <v>7.4175000000000005E-2</v>
          </cell>
          <cell r="DX1319">
            <v>1015.15</v>
          </cell>
          <cell r="DY1319" t="str">
            <v/>
          </cell>
          <cell r="DZ1319">
            <v>0</v>
          </cell>
          <cell r="EA1319">
            <v>13685.877991236939</v>
          </cell>
        </row>
        <row r="1320">
          <cell r="B1320">
            <v>310732</v>
          </cell>
          <cell r="C1320" t="str">
            <v>ლაფშა_ბიგ ლანჩ_საქ.ხორც.ცხარე სოუსით_75გ*60</v>
          </cell>
          <cell r="D1320" t="str">
            <v>TON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8.9999999999999998E-4</v>
          </cell>
          <cell r="AD1320">
            <v>12.6</v>
          </cell>
          <cell r="AE1320">
            <v>0</v>
          </cell>
          <cell r="AF1320">
            <v>0</v>
          </cell>
          <cell r="AG1320">
            <v>1.1249999999999999E-3</v>
          </cell>
          <cell r="AH1320">
            <v>15.75</v>
          </cell>
          <cell r="AI1320">
            <v>1.1999999999999999E-3</v>
          </cell>
          <cell r="AJ1320">
            <v>16.8</v>
          </cell>
          <cell r="AK1320">
            <v>1.8749999999999999E-3</v>
          </cell>
          <cell r="AL1320">
            <v>26.25</v>
          </cell>
          <cell r="AO1320">
            <v>5.0999999999999995E-3</v>
          </cell>
          <cell r="AP1320">
            <v>71.400000000000006</v>
          </cell>
          <cell r="AS1320">
            <v>0</v>
          </cell>
          <cell r="AT1320">
            <v>0</v>
          </cell>
          <cell r="AU1320">
            <v>9.6149999999999999E-2</v>
          </cell>
          <cell r="AV1320">
            <v>1319.59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  <cell r="BC1320">
            <v>1.575E-3</v>
          </cell>
          <cell r="BD1320">
            <v>22.05</v>
          </cell>
          <cell r="BE1320">
            <v>1.575E-3</v>
          </cell>
          <cell r="BF1320">
            <v>22.05</v>
          </cell>
          <cell r="BG1320">
            <v>0</v>
          </cell>
          <cell r="BH1320">
            <v>0</v>
          </cell>
          <cell r="BI1320">
            <v>2.2499999999999998E-3</v>
          </cell>
          <cell r="BJ1320">
            <v>31.5</v>
          </cell>
          <cell r="BK1320">
            <v>2.2499999999999998E-3</v>
          </cell>
          <cell r="BL1320">
            <v>31.5</v>
          </cell>
          <cell r="BM1320">
            <v>5.6249999999999998E-3</v>
          </cell>
          <cell r="BN1320">
            <v>78.75</v>
          </cell>
          <cell r="BO1320">
            <v>3.0000000000000001E-3</v>
          </cell>
          <cell r="BP1320">
            <v>42</v>
          </cell>
          <cell r="BQ1320">
            <v>0</v>
          </cell>
          <cell r="BR1320">
            <v>0</v>
          </cell>
          <cell r="BS1320">
            <v>1.3125E-2</v>
          </cell>
          <cell r="BT1320">
            <v>183.75</v>
          </cell>
          <cell r="BU1320">
            <v>0</v>
          </cell>
          <cell r="BV1320">
            <v>0</v>
          </cell>
          <cell r="BW1320">
            <v>1.5E-3</v>
          </cell>
          <cell r="BX1320">
            <v>19.399999999999999</v>
          </cell>
          <cell r="BY1320">
            <v>0</v>
          </cell>
          <cell r="BZ1320">
            <v>0</v>
          </cell>
          <cell r="CA1320">
            <v>1.5E-3</v>
          </cell>
          <cell r="CB1320">
            <v>21</v>
          </cell>
          <cell r="CC1320">
            <v>0</v>
          </cell>
          <cell r="CD1320">
            <v>0</v>
          </cell>
          <cell r="CE1320">
            <v>1.635E-2</v>
          </cell>
          <cell r="CF1320">
            <v>216.44</v>
          </cell>
          <cell r="CG1320">
            <v>0</v>
          </cell>
          <cell r="CH1320">
            <v>0</v>
          </cell>
          <cell r="CI1320">
            <v>1.9349999999999999E-2</v>
          </cell>
          <cell r="CJ1320">
            <v>256.83999999999997</v>
          </cell>
          <cell r="CK1320">
            <v>3.2474999999999997E-2</v>
          </cell>
          <cell r="CL1320">
            <v>440.59</v>
          </cell>
          <cell r="CO1320">
            <v>0</v>
          </cell>
          <cell r="CP1320">
            <v>0</v>
          </cell>
          <cell r="CQ1320">
            <v>0</v>
          </cell>
          <cell r="CR1320">
            <v>0</v>
          </cell>
          <cell r="CS1320">
            <v>0</v>
          </cell>
          <cell r="CT1320">
            <v>0</v>
          </cell>
          <cell r="CU1320">
            <v>1.35E-2</v>
          </cell>
          <cell r="CV1320">
            <v>189</v>
          </cell>
          <cell r="CW1320">
            <v>0</v>
          </cell>
          <cell r="CX1320">
            <v>0</v>
          </cell>
          <cell r="CY1320">
            <v>3.2399999999999998E-2</v>
          </cell>
          <cell r="CZ1320">
            <v>453.6</v>
          </cell>
          <cell r="DA1320">
            <v>0</v>
          </cell>
          <cell r="DB1320">
            <v>0</v>
          </cell>
          <cell r="DC1320">
            <v>8.3250000000000008E-3</v>
          </cell>
          <cell r="DD1320">
            <v>104.34</v>
          </cell>
          <cell r="DE1320">
            <v>4.0724999999999997E-2</v>
          </cell>
          <cell r="DF1320">
            <v>557.94000000000005</v>
          </cell>
          <cell r="DG1320">
            <v>2.2499999999999999E-4</v>
          </cell>
          <cell r="DH1320">
            <v>2.91</v>
          </cell>
          <cell r="DI1320">
            <v>1.3500000000000001E-3</v>
          </cell>
          <cell r="DJ1320">
            <v>18.899999999999999</v>
          </cell>
          <cell r="DK1320">
            <v>1.1999999999999999E-3</v>
          </cell>
          <cell r="DL1320">
            <v>16.8</v>
          </cell>
          <cell r="DM1320">
            <v>2.7750000000000001E-3</v>
          </cell>
          <cell r="DN1320">
            <v>38.61</v>
          </cell>
          <cell r="DO1320">
            <v>7.4999999999999997E-3</v>
          </cell>
          <cell r="DP1320">
            <v>105</v>
          </cell>
          <cell r="DQ1320">
            <v>0</v>
          </cell>
          <cell r="DR1320">
            <v>0</v>
          </cell>
          <cell r="DS1320">
            <v>6.0000000000000001E-3</v>
          </cell>
          <cell r="DT1320">
            <v>84</v>
          </cell>
          <cell r="DU1320">
            <v>1.35E-2</v>
          </cell>
          <cell r="DV1320">
            <v>189</v>
          </cell>
          <cell r="DW1320">
            <v>9.6149999999999985E-2</v>
          </cell>
          <cell r="DX1320">
            <v>1319.5900000000001</v>
          </cell>
          <cell r="DY1320" t="str">
            <v/>
          </cell>
          <cell r="DZ1320">
            <v>0</v>
          </cell>
          <cell r="EA1320">
            <v>13724.28497139886</v>
          </cell>
        </row>
        <row r="1321">
          <cell r="B1321">
            <v>310733</v>
          </cell>
          <cell r="C1321" t="str">
            <v>ლაფშა_ბიგ ლანჩ_ჩაშუშული ქათმით_90გ*24</v>
          </cell>
          <cell r="D1321" t="str">
            <v>TON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1.3500000000000001E-3</v>
          </cell>
          <cell r="AH1321">
            <v>32.85</v>
          </cell>
          <cell r="AI1321">
            <v>2.3400000000000001E-3</v>
          </cell>
          <cell r="AJ1321">
            <v>56.94</v>
          </cell>
          <cell r="AK1321">
            <v>9.8999999999999999E-4</v>
          </cell>
          <cell r="AL1321">
            <v>23.49</v>
          </cell>
          <cell r="AO1321">
            <v>4.6800000000000001E-3</v>
          </cell>
          <cell r="AP1321">
            <v>113.27999999999999</v>
          </cell>
          <cell r="AS1321">
            <v>0</v>
          </cell>
          <cell r="AT1321">
            <v>0</v>
          </cell>
          <cell r="AU1321">
            <v>6.003E-2</v>
          </cell>
          <cell r="AV1321">
            <v>1418.85</v>
          </cell>
          <cell r="AW1321">
            <v>0</v>
          </cell>
          <cell r="AX1321">
            <v>0</v>
          </cell>
          <cell r="AY1321">
            <v>5.4000000000000001E-4</v>
          </cell>
          <cell r="AZ1321">
            <v>13.14</v>
          </cell>
          <cell r="BA1321">
            <v>0</v>
          </cell>
          <cell r="BB1321">
            <v>0</v>
          </cell>
          <cell r="BC1321">
            <v>1.98E-3</v>
          </cell>
          <cell r="BD1321">
            <v>46.55</v>
          </cell>
          <cell r="BE1321">
            <v>2.5200000000000001E-3</v>
          </cell>
          <cell r="BF1321">
            <v>59.69</v>
          </cell>
          <cell r="BG1321">
            <v>2.16E-3</v>
          </cell>
          <cell r="BH1321">
            <v>52.56</v>
          </cell>
          <cell r="BI1321">
            <v>8.9999999999999998E-4</v>
          </cell>
          <cell r="BJ1321">
            <v>21.9</v>
          </cell>
          <cell r="BK1321">
            <v>5.4000000000000001E-4</v>
          </cell>
          <cell r="BL1321">
            <v>13.14</v>
          </cell>
          <cell r="BM1321">
            <v>5.4000000000000001E-4</v>
          </cell>
          <cell r="BN1321">
            <v>13.14</v>
          </cell>
          <cell r="BO1321">
            <v>1.08E-3</v>
          </cell>
          <cell r="BP1321">
            <v>26.28</v>
          </cell>
          <cell r="BQ1321">
            <v>0</v>
          </cell>
          <cell r="BR1321">
            <v>0</v>
          </cell>
          <cell r="BS1321">
            <v>5.2199999999999998E-3</v>
          </cell>
          <cell r="BT1321">
            <v>127.02</v>
          </cell>
          <cell r="BU1321">
            <v>3.6000000000000002E-4</v>
          </cell>
          <cell r="BV1321">
            <v>8.11</v>
          </cell>
          <cell r="BW1321">
            <v>1.188E-2</v>
          </cell>
          <cell r="BX1321">
            <v>273.63</v>
          </cell>
          <cell r="BY1321">
            <v>0</v>
          </cell>
          <cell r="BZ1321">
            <v>0</v>
          </cell>
          <cell r="CA1321">
            <v>3.15E-3</v>
          </cell>
          <cell r="CB1321">
            <v>76.05</v>
          </cell>
          <cell r="CC1321">
            <v>0</v>
          </cell>
          <cell r="CD1321">
            <v>0</v>
          </cell>
          <cell r="CE1321">
            <v>2.16E-3</v>
          </cell>
          <cell r="CF1321">
            <v>52.56</v>
          </cell>
          <cell r="CG1321">
            <v>0</v>
          </cell>
          <cell r="CH1321">
            <v>0</v>
          </cell>
          <cell r="CI1321">
            <v>1.755E-2</v>
          </cell>
          <cell r="CJ1321">
            <v>410.35</v>
          </cell>
          <cell r="CK1321">
            <v>2.2769999999999999E-2</v>
          </cell>
          <cell r="CL1321">
            <v>537.37</v>
          </cell>
          <cell r="CO1321">
            <v>0</v>
          </cell>
          <cell r="CP1321">
            <v>0</v>
          </cell>
          <cell r="CQ1321">
            <v>0</v>
          </cell>
          <cell r="CR1321">
            <v>0</v>
          </cell>
          <cell r="CS1321">
            <v>0</v>
          </cell>
          <cell r="CT1321">
            <v>0</v>
          </cell>
          <cell r="CU1321">
            <v>4.8599999999999997E-3</v>
          </cell>
          <cell r="CV1321">
            <v>118.26</v>
          </cell>
          <cell r="CW1321">
            <v>0</v>
          </cell>
          <cell r="CX1321">
            <v>0</v>
          </cell>
          <cell r="CY1321">
            <v>1.404E-2</v>
          </cell>
          <cell r="CZ1321">
            <v>339.24</v>
          </cell>
          <cell r="DA1321">
            <v>0</v>
          </cell>
          <cell r="DB1321">
            <v>0</v>
          </cell>
          <cell r="DC1321">
            <v>8.0099999999999998E-3</v>
          </cell>
          <cell r="DD1321">
            <v>174.85</v>
          </cell>
          <cell r="DE1321">
            <v>2.205E-2</v>
          </cell>
          <cell r="DF1321">
            <v>514.09</v>
          </cell>
          <cell r="DG1321">
            <v>2.2499999999999998E-3</v>
          </cell>
          <cell r="DH1321">
            <v>54.26</v>
          </cell>
          <cell r="DI1321">
            <v>4.4999999999999999E-4</v>
          </cell>
          <cell r="DJ1321">
            <v>10.95</v>
          </cell>
          <cell r="DK1321">
            <v>4.4999999999999999E-4</v>
          </cell>
          <cell r="DL1321">
            <v>10.95</v>
          </cell>
          <cell r="DM1321">
            <v>3.15E-3</v>
          </cell>
          <cell r="DN1321">
            <v>76.16</v>
          </cell>
          <cell r="DO1321">
            <v>2.7000000000000001E-3</v>
          </cell>
          <cell r="DP1321">
            <v>65.7</v>
          </cell>
          <cell r="DQ1321">
            <v>0</v>
          </cell>
          <cell r="DR1321">
            <v>0</v>
          </cell>
          <cell r="DS1321">
            <v>2.16E-3</v>
          </cell>
          <cell r="DT1321">
            <v>52.56</v>
          </cell>
          <cell r="DU1321">
            <v>4.8599999999999997E-3</v>
          </cell>
          <cell r="DV1321">
            <v>118.26</v>
          </cell>
          <cell r="DW1321">
            <v>6.003E-2</v>
          </cell>
          <cell r="DX1321">
            <v>1418.8500000000001</v>
          </cell>
          <cell r="DY1321" t="str">
            <v/>
          </cell>
          <cell r="DZ1321">
            <v>0</v>
          </cell>
          <cell r="EA1321">
            <v>23635.682158920543</v>
          </cell>
        </row>
        <row r="1322">
          <cell r="B1322">
            <v>310734</v>
          </cell>
          <cell r="C1322" t="str">
            <v>ლაფშა_ბიგ ლანჩ_საქ.ხორც.სოკოთი და მწვანილით_90გ*24</v>
          </cell>
          <cell r="D1322" t="str">
            <v>TON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4.3200000000000001E-3</v>
          </cell>
          <cell r="AH1322">
            <v>105.12</v>
          </cell>
          <cell r="AI1322">
            <v>8.9999999999999998E-4</v>
          </cell>
          <cell r="AJ1322">
            <v>21.9</v>
          </cell>
          <cell r="AK1322">
            <v>4.7699999999999999E-3</v>
          </cell>
          <cell r="AL1322">
            <v>111.57</v>
          </cell>
          <cell r="AO1322">
            <v>9.9899999999999989E-3</v>
          </cell>
          <cell r="AP1322">
            <v>238.59</v>
          </cell>
          <cell r="AS1322">
            <v>0</v>
          </cell>
          <cell r="AT1322">
            <v>0</v>
          </cell>
          <cell r="AU1322">
            <v>5.7959999999999998E-2</v>
          </cell>
          <cell r="AV1322">
            <v>1370.41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  <cell r="BC1322">
            <v>3.0599999999999998E-3</v>
          </cell>
          <cell r="BD1322">
            <v>72.83</v>
          </cell>
          <cell r="BE1322">
            <v>3.0599999999999998E-3</v>
          </cell>
          <cell r="BF1322">
            <v>72.83</v>
          </cell>
          <cell r="BG1322">
            <v>5.4000000000000001E-4</v>
          </cell>
          <cell r="BH1322">
            <v>13.14</v>
          </cell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2.8800000000000002E-3</v>
          </cell>
          <cell r="BN1322">
            <v>70.08</v>
          </cell>
          <cell r="BO1322">
            <v>4.4999999999999999E-4</v>
          </cell>
          <cell r="BP1322">
            <v>10.95</v>
          </cell>
          <cell r="BQ1322">
            <v>0</v>
          </cell>
          <cell r="BR1322">
            <v>0</v>
          </cell>
          <cell r="BS1322">
            <v>3.8700000000000002E-3</v>
          </cell>
          <cell r="BT1322">
            <v>94.17</v>
          </cell>
          <cell r="BU1322">
            <v>0</v>
          </cell>
          <cell r="BV1322">
            <v>0</v>
          </cell>
          <cell r="BW1322">
            <v>3.2399999999999998E-3</v>
          </cell>
          <cell r="BX1322">
            <v>72.989999999999995</v>
          </cell>
          <cell r="BY1322">
            <v>1.08E-3</v>
          </cell>
          <cell r="BZ1322">
            <v>23.58</v>
          </cell>
          <cell r="CA1322">
            <v>2.7000000000000001E-3</v>
          </cell>
          <cell r="CB1322">
            <v>65.099999999999994</v>
          </cell>
          <cell r="CC1322">
            <v>0</v>
          </cell>
          <cell r="CD1322">
            <v>0</v>
          </cell>
          <cell r="CE1322">
            <v>2.16E-3</v>
          </cell>
          <cell r="CF1322">
            <v>52.56</v>
          </cell>
          <cell r="CG1322">
            <v>0</v>
          </cell>
          <cell r="CH1322">
            <v>0</v>
          </cell>
          <cell r="CI1322">
            <v>1.1339999999999999E-2</v>
          </cell>
          <cell r="CJ1322">
            <v>264.39</v>
          </cell>
          <cell r="CK1322">
            <v>1.521E-2</v>
          </cell>
          <cell r="CL1322">
            <v>358.56</v>
          </cell>
          <cell r="CO1322">
            <v>0</v>
          </cell>
          <cell r="CP1322">
            <v>0</v>
          </cell>
          <cell r="CQ1322">
            <v>0</v>
          </cell>
          <cell r="CR1322">
            <v>0</v>
          </cell>
          <cell r="CS1322">
            <v>0</v>
          </cell>
          <cell r="CT1322">
            <v>0</v>
          </cell>
          <cell r="CU1322">
            <v>6.4799999999999996E-3</v>
          </cell>
          <cell r="CV1322">
            <v>155.72999999999999</v>
          </cell>
          <cell r="CW1322">
            <v>0</v>
          </cell>
          <cell r="CX1322">
            <v>0</v>
          </cell>
          <cell r="CY1322">
            <v>1.2959999999999999E-2</v>
          </cell>
          <cell r="CZ1322">
            <v>315.36</v>
          </cell>
          <cell r="DA1322">
            <v>0</v>
          </cell>
          <cell r="DB1322">
            <v>0</v>
          </cell>
          <cell r="DC1322">
            <v>7.92E-3</v>
          </cell>
          <cell r="DD1322">
            <v>172.89</v>
          </cell>
          <cell r="DE1322">
            <v>2.0879999999999999E-2</v>
          </cell>
          <cell r="DF1322">
            <v>488.25</v>
          </cell>
          <cell r="DG1322">
            <v>1.3500000000000001E-3</v>
          </cell>
          <cell r="DH1322">
            <v>32.36</v>
          </cell>
          <cell r="DI1322">
            <v>1.8000000000000001E-4</v>
          </cell>
          <cell r="DJ1322">
            <v>4.38</v>
          </cell>
          <cell r="DK1322">
            <v>8.0999999999999996E-4</v>
          </cell>
          <cell r="DL1322">
            <v>19.71</v>
          </cell>
          <cell r="DM1322">
            <v>2.3400000000000001E-3</v>
          </cell>
          <cell r="DN1322">
            <v>56.45</v>
          </cell>
          <cell r="DO1322">
            <v>5.4000000000000003E-3</v>
          </cell>
          <cell r="DP1322">
            <v>129.44999999999999</v>
          </cell>
          <cell r="DQ1322">
            <v>0</v>
          </cell>
          <cell r="DR1322">
            <v>0</v>
          </cell>
          <cell r="DS1322">
            <v>1.08E-3</v>
          </cell>
          <cell r="DT1322">
            <v>26.28</v>
          </cell>
          <cell r="DU1322">
            <v>6.4799999999999996E-3</v>
          </cell>
          <cell r="DV1322">
            <v>155.72999999999999</v>
          </cell>
          <cell r="DW1322">
            <v>5.7959999999999998E-2</v>
          </cell>
          <cell r="DX1322">
            <v>1370.4099999999999</v>
          </cell>
          <cell r="DY1322" t="str">
            <v/>
          </cell>
          <cell r="DZ1322">
            <v>0</v>
          </cell>
          <cell r="EA1322">
            <v>23644.06487232574</v>
          </cell>
        </row>
        <row r="1323">
          <cell r="B1323">
            <v>310735</v>
          </cell>
          <cell r="C1323" t="str">
            <v>ლაფშა_ბიგ ლანჩ_ჩაშუშული ქათმით_65გ*24</v>
          </cell>
          <cell r="D1323" t="str">
            <v>TON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7.7999999999999999E-4</v>
          </cell>
          <cell r="AD1323">
            <v>20.64</v>
          </cell>
          <cell r="AE1323">
            <v>0</v>
          </cell>
          <cell r="AF1323">
            <v>0</v>
          </cell>
          <cell r="AG1323">
            <v>9.7499999999999996E-4</v>
          </cell>
          <cell r="AH1323">
            <v>25.8</v>
          </cell>
          <cell r="AI1323">
            <v>0</v>
          </cell>
          <cell r="AJ1323">
            <v>0</v>
          </cell>
          <cell r="AK1323">
            <v>6.4999999999999997E-4</v>
          </cell>
          <cell r="AL1323">
            <v>17.2</v>
          </cell>
          <cell r="AO1323">
            <v>2.405E-3</v>
          </cell>
          <cell r="AP1323">
            <v>63.64</v>
          </cell>
          <cell r="AS1323">
            <v>0</v>
          </cell>
          <cell r="AT1323">
            <v>0</v>
          </cell>
          <cell r="AU1323">
            <v>2.0799999999999999E-2</v>
          </cell>
          <cell r="AV1323">
            <v>534.46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  <cell r="BC1323">
            <v>6.4999999999999997E-4</v>
          </cell>
          <cell r="BD1323">
            <v>17.2</v>
          </cell>
          <cell r="BE1323">
            <v>6.4999999999999997E-4</v>
          </cell>
          <cell r="BF1323">
            <v>17.2</v>
          </cell>
          <cell r="BG1323">
            <v>1.56E-3</v>
          </cell>
          <cell r="BH1323">
            <v>41.28</v>
          </cell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>
            <v>1.4300000000000001E-3</v>
          </cell>
          <cell r="BN1323">
            <v>37.840000000000003</v>
          </cell>
          <cell r="BO1323">
            <v>0</v>
          </cell>
          <cell r="BP1323">
            <v>0</v>
          </cell>
          <cell r="BQ1323">
            <v>0</v>
          </cell>
          <cell r="BR1323">
            <v>0</v>
          </cell>
          <cell r="BS1323">
            <v>2.99E-3</v>
          </cell>
          <cell r="BT1323">
            <v>79.12</v>
          </cell>
          <cell r="BU1323">
            <v>0</v>
          </cell>
          <cell r="BV1323">
            <v>0</v>
          </cell>
          <cell r="BW1323">
            <v>2.5349999999999999E-3</v>
          </cell>
          <cell r="BX1323">
            <v>62.78</v>
          </cell>
          <cell r="BY1323">
            <v>0</v>
          </cell>
          <cell r="BZ1323">
            <v>0</v>
          </cell>
          <cell r="CA1323">
            <v>0</v>
          </cell>
          <cell r="CB1323">
            <v>0</v>
          </cell>
          <cell r="CC1323">
            <v>1.56E-3</v>
          </cell>
          <cell r="CD1323">
            <v>41.28</v>
          </cell>
          <cell r="CE1323">
            <v>4.9399999999999999E-3</v>
          </cell>
          <cell r="CF1323">
            <v>128.09</v>
          </cell>
          <cell r="CG1323">
            <v>0</v>
          </cell>
          <cell r="CH1323">
            <v>0</v>
          </cell>
          <cell r="CI1323">
            <v>9.0349999999999996E-3</v>
          </cell>
          <cell r="CJ1323">
            <v>232.15</v>
          </cell>
          <cell r="CK1323">
            <v>1.2024999999999999E-2</v>
          </cell>
          <cell r="CL1323">
            <v>311.27</v>
          </cell>
          <cell r="CO1323">
            <v>0</v>
          </cell>
          <cell r="CP1323">
            <v>0</v>
          </cell>
          <cell r="CQ1323">
            <v>0</v>
          </cell>
          <cell r="CR1323">
            <v>0</v>
          </cell>
          <cell r="CS1323">
            <v>0</v>
          </cell>
          <cell r="CT1323">
            <v>0</v>
          </cell>
          <cell r="CU1323">
            <v>0</v>
          </cell>
          <cell r="CV1323">
            <v>0</v>
          </cell>
          <cell r="CW1323">
            <v>0</v>
          </cell>
          <cell r="CX1323">
            <v>0</v>
          </cell>
          <cell r="CY1323">
            <v>1.56E-3</v>
          </cell>
          <cell r="CZ1323">
            <v>41.28</v>
          </cell>
          <cell r="DA1323">
            <v>0</v>
          </cell>
          <cell r="DB1323">
            <v>0</v>
          </cell>
          <cell r="DC1323">
            <v>3.3800000000000002E-3</v>
          </cell>
          <cell r="DD1323">
            <v>80.150000000000006</v>
          </cell>
          <cell r="DE1323">
            <v>4.9399999999999999E-3</v>
          </cell>
          <cell r="DF1323">
            <v>121.43</v>
          </cell>
          <cell r="DG1323">
            <v>9.7499999999999996E-4</v>
          </cell>
          <cell r="DH1323">
            <v>25.41</v>
          </cell>
          <cell r="DI1323">
            <v>-1.2999999999999999E-4</v>
          </cell>
          <cell r="DJ1323">
            <v>-2.8</v>
          </cell>
          <cell r="DK1323">
            <v>-6.4999999999999994E-5</v>
          </cell>
          <cell r="DL1323">
            <v>-1.69</v>
          </cell>
          <cell r="DM1323">
            <v>7.7999999999999999E-4</v>
          </cell>
          <cell r="DN1323">
            <v>20.92</v>
          </cell>
          <cell r="DO1323">
            <v>0</v>
          </cell>
          <cell r="DP1323">
            <v>0</v>
          </cell>
          <cell r="DQ1323">
            <v>0</v>
          </cell>
          <cell r="DR1323">
            <v>0</v>
          </cell>
          <cell r="DS1323">
            <v>0</v>
          </cell>
          <cell r="DT1323">
            <v>0</v>
          </cell>
          <cell r="DU1323">
            <v>0</v>
          </cell>
          <cell r="DV1323">
            <v>0</v>
          </cell>
          <cell r="DW1323">
            <v>2.0800000000000003E-2</v>
          </cell>
          <cell r="DX1323">
            <v>534.46</v>
          </cell>
          <cell r="DY1323" t="str">
            <v/>
          </cell>
          <cell r="DZ1323">
            <v>0</v>
          </cell>
          <cell r="EA1323">
            <v>25695.192307692305</v>
          </cell>
        </row>
        <row r="1324">
          <cell r="B1324">
            <v>310736</v>
          </cell>
          <cell r="C1324" t="str">
            <v>ლაფშა_ბიგ ლანჩ_საქ.ხორც.სოკოთი და მწვანილით_65გ*24</v>
          </cell>
          <cell r="D1324" t="str">
            <v>TON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3.2499999999999999E-4</v>
          </cell>
          <cell r="AD1324">
            <v>8.6</v>
          </cell>
          <cell r="AE1324">
            <v>0</v>
          </cell>
          <cell r="AF1324">
            <v>0</v>
          </cell>
          <cell r="AG1324">
            <v>0</v>
          </cell>
          <cell r="AH1324">
            <v>0</v>
          </cell>
          <cell r="AI1324">
            <v>7.7999999999999999E-4</v>
          </cell>
          <cell r="AJ1324">
            <v>20.64</v>
          </cell>
          <cell r="AK1324">
            <v>5.1999999999999995E-4</v>
          </cell>
          <cell r="AL1324">
            <v>13.76</v>
          </cell>
          <cell r="AO1324">
            <v>1.6250000000000001E-3</v>
          </cell>
          <cell r="AP1324">
            <v>43</v>
          </cell>
          <cell r="AS1324">
            <v>0</v>
          </cell>
          <cell r="AT1324">
            <v>0</v>
          </cell>
          <cell r="AU1324">
            <v>2.5935E-2</v>
          </cell>
          <cell r="AV1324">
            <v>666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  <cell r="BC1324">
            <v>3.2499999999999999E-4</v>
          </cell>
          <cell r="BD1324">
            <v>9.25</v>
          </cell>
          <cell r="BE1324">
            <v>3.2499999999999999E-4</v>
          </cell>
          <cell r="BF1324">
            <v>9.25</v>
          </cell>
          <cell r="BG1324">
            <v>3.8999999999999999E-4</v>
          </cell>
          <cell r="BH1324">
            <v>10.32</v>
          </cell>
          <cell r="BI1324">
            <v>0</v>
          </cell>
          <cell r="BJ1324">
            <v>0</v>
          </cell>
          <cell r="BK1324">
            <v>3.2499999999999999E-4</v>
          </cell>
          <cell r="BL1324">
            <v>8.6</v>
          </cell>
          <cell r="BM1324">
            <v>1.9499999999999999E-3</v>
          </cell>
          <cell r="BN1324">
            <v>51.6</v>
          </cell>
          <cell r="BO1324">
            <v>0</v>
          </cell>
          <cell r="BP1324">
            <v>0</v>
          </cell>
          <cell r="BQ1324">
            <v>0</v>
          </cell>
          <cell r="BR1324">
            <v>0</v>
          </cell>
          <cell r="BS1324">
            <v>2.6649999999999998E-3</v>
          </cell>
          <cell r="BT1324">
            <v>70.52</v>
          </cell>
          <cell r="BU1324">
            <v>0</v>
          </cell>
          <cell r="BV1324">
            <v>0</v>
          </cell>
          <cell r="BW1324">
            <v>3.7699999999999999E-3</v>
          </cell>
          <cell r="BX1324">
            <v>93.94</v>
          </cell>
          <cell r="BY1324">
            <v>0</v>
          </cell>
          <cell r="BZ1324">
            <v>0</v>
          </cell>
          <cell r="CA1324">
            <v>0</v>
          </cell>
          <cell r="CB1324">
            <v>0</v>
          </cell>
          <cell r="CC1324">
            <v>0</v>
          </cell>
          <cell r="CD1324">
            <v>0</v>
          </cell>
          <cell r="CE1324">
            <v>3.2499999999999999E-3</v>
          </cell>
          <cell r="CF1324">
            <v>83.72</v>
          </cell>
          <cell r="CG1324">
            <v>0</v>
          </cell>
          <cell r="CH1324">
            <v>0</v>
          </cell>
          <cell r="CI1324">
            <v>7.0200000000000002E-3</v>
          </cell>
          <cell r="CJ1324">
            <v>177.66</v>
          </cell>
          <cell r="CK1324">
            <v>9.6849999999999992E-3</v>
          </cell>
          <cell r="CL1324">
            <v>248.18</v>
          </cell>
          <cell r="CO1324">
            <v>0</v>
          </cell>
          <cell r="CP1324">
            <v>0</v>
          </cell>
          <cell r="CQ1324">
            <v>0</v>
          </cell>
          <cell r="CR1324">
            <v>0</v>
          </cell>
          <cell r="CS1324">
            <v>0</v>
          </cell>
          <cell r="CT1324">
            <v>0</v>
          </cell>
          <cell r="CU1324">
            <v>3.7699999999999999E-3</v>
          </cell>
          <cell r="CV1324">
            <v>99.76</v>
          </cell>
          <cell r="CW1324">
            <v>0</v>
          </cell>
          <cell r="CX1324">
            <v>0</v>
          </cell>
          <cell r="CY1324">
            <v>5.4599999999999996E-3</v>
          </cell>
          <cell r="CZ1324">
            <v>142.56</v>
          </cell>
          <cell r="DA1324">
            <v>6.4999999999999997E-4</v>
          </cell>
          <cell r="DB1324">
            <v>17.2</v>
          </cell>
          <cell r="DC1324">
            <v>3.8349999999999999E-3</v>
          </cell>
          <cell r="DD1324">
            <v>90.96</v>
          </cell>
          <cell r="DE1324">
            <v>9.944999999999999E-3</v>
          </cell>
          <cell r="DF1324">
            <v>250.71999999999997</v>
          </cell>
          <cell r="DG1324">
            <v>1.95E-4</v>
          </cell>
          <cell r="DH1324">
            <v>4.7699999999999996</v>
          </cell>
          <cell r="DI1324">
            <v>0</v>
          </cell>
          <cell r="DJ1324">
            <v>0</v>
          </cell>
          <cell r="DK1324">
            <v>3.8999999999999999E-4</v>
          </cell>
          <cell r="DL1324">
            <v>10.32</v>
          </cell>
          <cell r="DM1324">
            <v>5.8500000000000002E-4</v>
          </cell>
          <cell r="DN1324">
            <v>15.09</v>
          </cell>
          <cell r="DO1324">
            <v>1.56E-3</v>
          </cell>
          <cell r="DP1324">
            <v>41.28</v>
          </cell>
          <cell r="DQ1324">
            <v>6.4999999999999997E-4</v>
          </cell>
          <cell r="DR1324">
            <v>17.2</v>
          </cell>
          <cell r="DS1324">
            <v>1.56E-3</v>
          </cell>
          <cell r="DT1324">
            <v>41.28</v>
          </cell>
          <cell r="DU1324">
            <v>3.7699999999999999E-3</v>
          </cell>
          <cell r="DV1324">
            <v>99.76</v>
          </cell>
          <cell r="DW1324">
            <v>2.5935E-2</v>
          </cell>
          <cell r="DX1324">
            <v>666</v>
          </cell>
          <cell r="DY1324" t="str">
            <v/>
          </cell>
          <cell r="DZ1324">
            <v>0</v>
          </cell>
          <cell r="EA1324">
            <v>25679.583574320415</v>
          </cell>
        </row>
        <row r="1325">
          <cell r="B1325">
            <v>310764</v>
          </cell>
          <cell r="C1325" t="str">
            <v>ვერმიშელი-ვოტ ეტა და_საქონლის ხორცით_45გ*100</v>
          </cell>
          <cell r="D1325" t="str">
            <v>TON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0</v>
          </cell>
          <cell r="AH1325">
            <v>0</v>
          </cell>
          <cell r="AI1325">
            <v>8.9999999999999998E-4</v>
          </cell>
          <cell r="AJ1325">
            <v>9</v>
          </cell>
          <cell r="AK1325">
            <v>5.6249999999999998E-3</v>
          </cell>
          <cell r="AL1325">
            <v>54.25</v>
          </cell>
          <cell r="AO1325">
            <v>6.5249999999999996E-3</v>
          </cell>
          <cell r="AP1325">
            <v>63.25</v>
          </cell>
          <cell r="AS1325">
            <v>0</v>
          </cell>
          <cell r="AT1325">
            <v>0</v>
          </cell>
          <cell r="AU1325">
            <v>7.7085000000000001E-2</v>
          </cell>
          <cell r="AV1325">
            <v>764.06</v>
          </cell>
          <cell r="AW1325">
            <v>0</v>
          </cell>
          <cell r="AX1325">
            <v>0</v>
          </cell>
          <cell r="AY1325">
            <v>8.9999999999999998E-4</v>
          </cell>
          <cell r="AZ1325">
            <v>9</v>
          </cell>
          <cell r="BA1325">
            <v>0</v>
          </cell>
          <cell r="BB1325">
            <v>0</v>
          </cell>
          <cell r="BC1325">
            <v>1.4400000000000001E-3</v>
          </cell>
          <cell r="BD1325">
            <v>14.4</v>
          </cell>
          <cell r="BE1325">
            <v>2.3400000000000001E-3</v>
          </cell>
          <cell r="BF1325">
            <v>23.4</v>
          </cell>
          <cell r="BG1325">
            <v>4.4999999999999999E-4</v>
          </cell>
          <cell r="BH1325">
            <v>4.5</v>
          </cell>
          <cell r="BI1325">
            <v>0</v>
          </cell>
          <cell r="BJ1325">
            <v>0</v>
          </cell>
          <cell r="BK1325">
            <v>2.385E-3</v>
          </cell>
          <cell r="BL1325">
            <v>23.85</v>
          </cell>
          <cell r="BM1325">
            <v>3.5999999999999999E-3</v>
          </cell>
          <cell r="BN1325">
            <v>36</v>
          </cell>
          <cell r="BO1325">
            <v>1.0619999999999999E-2</v>
          </cell>
          <cell r="BP1325">
            <v>106.2</v>
          </cell>
          <cell r="BQ1325">
            <v>0</v>
          </cell>
          <cell r="BR1325">
            <v>0</v>
          </cell>
          <cell r="BS1325">
            <v>1.7055000000000001E-2</v>
          </cell>
          <cell r="BT1325">
            <v>170.55</v>
          </cell>
          <cell r="BU1325">
            <v>0</v>
          </cell>
          <cell r="BV1325">
            <v>0</v>
          </cell>
          <cell r="BW1325">
            <v>0</v>
          </cell>
          <cell r="BX1325">
            <v>0</v>
          </cell>
          <cell r="BY1325">
            <v>5.1749999999999999E-3</v>
          </cell>
          <cell r="BZ1325">
            <v>47.17</v>
          </cell>
          <cell r="CA1325">
            <v>4.4099999999999999E-3</v>
          </cell>
          <cell r="CB1325">
            <v>44.1</v>
          </cell>
          <cell r="CC1325">
            <v>3.2399999999999998E-3</v>
          </cell>
          <cell r="CD1325">
            <v>30.32</v>
          </cell>
          <cell r="CE1325">
            <v>4.4999999999999997E-3</v>
          </cell>
          <cell r="CF1325">
            <v>45</v>
          </cell>
          <cell r="CG1325">
            <v>0</v>
          </cell>
          <cell r="CH1325">
            <v>0</v>
          </cell>
          <cell r="CI1325">
            <v>1.7325E-2</v>
          </cell>
          <cell r="CJ1325">
            <v>166.59</v>
          </cell>
          <cell r="CK1325">
            <v>3.4380000000000001E-2</v>
          </cell>
          <cell r="CL1325">
            <v>337.14</v>
          </cell>
          <cell r="CO1325">
            <v>0</v>
          </cell>
          <cell r="CP1325">
            <v>0</v>
          </cell>
          <cell r="CQ1325">
            <v>0</v>
          </cell>
          <cell r="CR1325">
            <v>0</v>
          </cell>
          <cell r="CS1325">
            <v>0</v>
          </cell>
          <cell r="CT1325">
            <v>0</v>
          </cell>
          <cell r="CU1325">
            <v>1.2375000000000001E-2</v>
          </cell>
          <cell r="CV1325">
            <v>123.75</v>
          </cell>
          <cell r="CW1325">
            <v>0</v>
          </cell>
          <cell r="CX1325">
            <v>0</v>
          </cell>
          <cell r="CY1325">
            <v>8.9999999999999993E-3</v>
          </cell>
          <cell r="CZ1325">
            <v>90</v>
          </cell>
          <cell r="DA1325">
            <v>0</v>
          </cell>
          <cell r="DB1325">
            <v>0</v>
          </cell>
          <cell r="DC1325">
            <v>4.8149999999999998E-3</v>
          </cell>
          <cell r="DD1325">
            <v>53.31</v>
          </cell>
          <cell r="DE1325">
            <v>1.3814999999999999E-2</v>
          </cell>
          <cell r="DF1325">
            <v>143.31</v>
          </cell>
          <cell r="DG1325">
            <v>4.4999999999999997E-3</v>
          </cell>
          <cell r="DH1325">
            <v>41.71</v>
          </cell>
          <cell r="DI1325">
            <v>8.9999999999999998E-4</v>
          </cell>
          <cell r="DJ1325">
            <v>9</v>
          </cell>
          <cell r="DK1325">
            <v>2.2499999999999998E-3</v>
          </cell>
          <cell r="DL1325">
            <v>22.5</v>
          </cell>
          <cell r="DM1325">
            <v>7.6499999999999997E-3</v>
          </cell>
          <cell r="DN1325">
            <v>73.209999999999994</v>
          </cell>
          <cell r="DO1325">
            <v>9.9000000000000008E-3</v>
          </cell>
          <cell r="DP1325">
            <v>99</v>
          </cell>
          <cell r="DQ1325">
            <v>0</v>
          </cell>
          <cell r="DR1325">
            <v>0</v>
          </cell>
          <cell r="DS1325">
            <v>2.4750000000000002E-3</v>
          </cell>
          <cell r="DT1325">
            <v>24.75</v>
          </cell>
          <cell r="DU1325">
            <v>1.2375000000000001E-2</v>
          </cell>
          <cell r="DV1325">
            <v>123.75</v>
          </cell>
          <cell r="DW1325">
            <v>7.7085000000000001E-2</v>
          </cell>
          <cell r="DX1325">
            <v>764.06</v>
          </cell>
          <cell r="DY1325" t="str">
            <v/>
          </cell>
          <cell r="DZ1325">
            <v>0</v>
          </cell>
          <cell r="EA1325">
            <v>9911.915418045015</v>
          </cell>
        </row>
        <row r="1326">
          <cell r="B1326">
            <v>310765</v>
          </cell>
          <cell r="C1326" t="str">
            <v>ვერმიშელი-ვოტ ეტა და_ქათმის ხორცით_45გ*100</v>
          </cell>
          <cell r="D1326" t="str">
            <v>TON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4.5000000000000003E-5</v>
          </cell>
          <cell r="AF1326">
            <v>0.4</v>
          </cell>
          <cell r="AG1326">
            <v>0</v>
          </cell>
          <cell r="AH1326">
            <v>0</v>
          </cell>
          <cell r="AI1326">
            <v>3.15E-3</v>
          </cell>
          <cell r="AJ1326">
            <v>31.5</v>
          </cell>
          <cell r="AK1326">
            <v>4.7699999999999999E-3</v>
          </cell>
          <cell r="AL1326">
            <v>45.7</v>
          </cell>
          <cell r="AO1326">
            <v>7.9649999999999999E-3</v>
          </cell>
          <cell r="AP1326">
            <v>77.599999999999994</v>
          </cell>
          <cell r="AS1326">
            <v>0</v>
          </cell>
          <cell r="AT1326">
            <v>0</v>
          </cell>
          <cell r="AU1326">
            <v>0.14121</v>
          </cell>
          <cell r="AV1326">
            <v>1348.48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  <cell r="BC1326">
            <v>1.89E-3</v>
          </cell>
          <cell r="BD1326">
            <v>18.899999999999999</v>
          </cell>
          <cell r="BE1326">
            <v>1.89E-3</v>
          </cell>
          <cell r="BF1326">
            <v>18.899999999999999</v>
          </cell>
          <cell r="BG1326">
            <v>9.9000000000000008E-3</v>
          </cell>
          <cell r="BH1326">
            <v>99</v>
          </cell>
          <cell r="BI1326">
            <v>0</v>
          </cell>
          <cell r="BJ1326">
            <v>0</v>
          </cell>
          <cell r="BK1326">
            <v>6.1920000000000003E-2</v>
          </cell>
          <cell r="BL1326">
            <v>571.70000000000005</v>
          </cell>
          <cell r="BM1326">
            <v>2.7000000000000001E-3</v>
          </cell>
          <cell r="BN1326">
            <v>26.6</v>
          </cell>
          <cell r="BO1326">
            <v>1.0845E-2</v>
          </cell>
          <cell r="BP1326">
            <v>108.45</v>
          </cell>
          <cell r="BQ1326">
            <v>0</v>
          </cell>
          <cell r="BR1326">
            <v>0</v>
          </cell>
          <cell r="BS1326">
            <v>8.5364999999999996E-2</v>
          </cell>
          <cell r="BT1326">
            <v>805.75</v>
          </cell>
          <cell r="BU1326">
            <v>0</v>
          </cell>
          <cell r="BV1326">
            <v>0</v>
          </cell>
          <cell r="BW1326">
            <v>0</v>
          </cell>
          <cell r="BX1326">
            <v>0</v>
          </cell>
          <cell r="BY1326">
            <v>5.1749999999999999E-3</v>
          </cell>
          <cell r="BZ1326">
            <v>47.17</v>
          </cell>
          <cell r="CA1326">
            <v>2.2499999999999998E-3</v>
          </cell>
          <cell r="CB1326">
            <v>22.5</v>
          </cell>
          <cell r="CC1326">
            <v>2.2499999999999998E-3</v>
          </cell>
          <cell r="CD1326">
            <v>20.86</v>
          </cell>
          <cell r="CE1326">
            <v>6.8849999999999996E-3</v>
          </cell>
          <cell r="CF1326">
            <v>66.42</v>
          </cell>
          <cell r="CG1326">
            <v>0</v>
          </cell>
          <cell r="CH1326">
            <v>0</v>
          </cell>
          <cell r="CI1326">
            <v>1.6559999999999998E-2</v>
          </cell>
          <cell r="CJ1326">
            <v>156.94999999999999</v>
          </cell>
          <cell r="CK1326">
            <v>0.10192499999999999</v>
          </cell>
          <cell r="CL1326">
            <v>962.7</v>
          </cell>
          <cell r="CO1326">
            <v>0</v>
          </cell>
          <cell r="CP1326">
            <v>0</v>
          </cell>
          <cell r="CQ1326">
            <v>0</v>
          </cell>
          <cell r="CR1326">
            <v>0</v>
          </cell>
          <cell r="CS1326">
            <v>0</v>
          </cell>
          <cell r="CT1326">
            <v>0</v>
          </cell>
          <cell r="CU1326">
            <v>5.8500000000000002E-3</v>
          </cell>
          <cell r="CV1326">
            <v>58.5</v>
          </cell>
          <cell r="CW1326">
            <v>0</v>
          </cell>
          <cell r="CX1326">
            <v>0</v>
          </cell>
          <cell r="CY1326">
            <v>4.4999999999999999E-4</v>
          </cell>
          <cell r="CZ1326">
            <v>4.5</v>
          </cell>
          <cell r="DA1326">
            <v>0</v>
          </cell>
          <cell r="DB1326">
            <v>0</v>
          </cell>
          <cell r="DC1326">
            <v>5.5799999999999999E-3</v>
          </cell>
          <cell r="DD1326">
            <v>60.65</v>
          </cell>
          <cell r="DE1326">
            <v>6.0299999999999998E-3</v>
          </cell>
          <cell r="DF1326">
            <v>65.150000000000006</v>
          </cell>
          <cell r="DG1326">
            <v>1.35E-2</v>
          </cell>
          <cell r="DH1326">
            <v>125.13</v>
          </cell>
          <cell r="DI1326">
            <v>1.8E-3</v>
          </cell>
          <cell r="DJ1326">
            <v>18</v>
          </cell>
          <cell r="DK1326">
            <v>2.2499999999999998E-3</v>
          </cell>
          <cell r="DL1326">
            <v>22.5</v>
          </cell>
          <cell r="DM1326">
            <v>1.755E-2</v>
          </cell>
          <cell r="DN1326">
            <v>165.63</v>
          </cell>
          <cell r="DO1326">
            <v>3.375E-3</v>
          </cell>
          <cell r="DP1326">
            <v>33.75</v>
          </cell>
          <cell r="DQ1326">
            <v>0</v>
          </cell>
          <cell r="DR1326">
            <v>0</v>
          </cell>
          <cell r="DS1326">
            <v>2.4750000000000002E-3</v>
          </cell>
          <cell r="DT1326">
            <v>24.75</v>
          </cell>
          <cell r="DU1326">
            <v>5.8500000000000002E-3</v>
          </cell>
          <cell r="DV1326">
            <v>58.5</v>
          </cell>
          <cell r="DW1326">
            <v>0.14121</v>
          </cell>
          <cell r="DX1326">
            <v>1348.48</v>
          </cell>
          <cell r="DY1326" t="str">
            <v/>
          </cell>
          <cell r="DZ1326">
            <v>0</v>
          </cell>
          <cell r="EA1326">
            <v>9549.4653353161957</v>
          </cell>
        </row>
        <row r="1327">
          <cell r="B1327">
            <v>310778</v>
          </cell>
          <cell r="C1327" t="str">
            <v>კარტ.პიურე კრუტონებით_ზოლოტისტოე_40გ*24_ ქათმის არომ.</v>
          </cell>
          <cell r="D1327" t="str">
            <v>TON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O1327">
            <v>0</v>
          </cell>
          <cell r="AP1327">
            <v>0</v>
          </cell>
          <cell r="AS1327">
            <v>0</v>
          </cell>
          <cell r="AT1327">
            <v>0</v>
          </cell>
          <cell r="AU1327">
            <v>0</v>
          </cell>
          <cell r="AV1327">
            <v>0</v>
          </cell>
          <cell r="AW1327">
            <v>0</v>
          </cell>
          <cell r="AX1327">
            <v>0</v>
          </cell>
          <cell r="AY1327">
            <v>0</v>
          </cell>
          <cell r="AZ1327">
            <v>0</v>
          </cell>
          <cell r="BA1327">
            <v>0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H1327">
            <v>0</v>
          </cell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N1327">
            <v>0</v>
          </cell>
          <cell r="BO1327">
            <v>0</v>
          </cell>
          <cell r="BP1327">
            <v>0</v>
          </cell>
          <cell r="BQ1327">
            <v>0</v>
          </cell>
          <cell r="BR1327">
            <v>0</v>
          </cell>
          <cell r="BS1327">
            <v>0</v>
          </cell>
          <cell r="BT1327">
            <v>0</v>
          </cell>
          <cell r="BU1327">
            <v>0</v>
          </cell>
          <cell r="BV1327">
            <v>0</v>
          </cell>
          <cell r="BW1327">
            <v>0</v>
          </cell>
          <cell r="BX1327">
            <v>0</v>
          </cell>
          <cell r="BY1327">
            <v>0</v>
          </cell>
          <cell r="BZ1327">
            <v>0</v>
          </cell>
          <cell r="CA1327">
            <v>0</v>
          </cell>
          <cell r="CB1327">
            <v>0</v>
          </cell>
          <cell r="CC1327">
            <v>0</v>
          </cell>
          <cell r="CD1327">
            <v>0</v>
          </cell>
          <cell r="CE1327">
            <v>0</v>
          </cell>
          <cell r="CF1327">
            <v>0</v>
          </cell>
          <cell r="CG1327">
            <v>0</v>
          </cell>
          <cell r="CH1327">
            <v>0</v>
          </cell>
          <cell r="CI1327">
            <v>0</v>
          </cell>
          <cell r="CJ1327">
            <v>0</v>
          </cell>
          <cell r="CK1327">
            <v>0</v>
          </cell>
          <cell r="CL1327">
            <v>0</v>
          </cell>
          <cell r="CO1327">
            <v>0</v>
          </cell>
          <cell r="CP1327">
            <v>0</v>
          </cell>
          <cell r="CQ1327">
            <v>0</v>
          </cell>
          <cell r="CR1327">
            <v>0</v>
          </cell>
          <cell r="CS1327">
            <v>0</v>
          </cell>
          <cell r="CT1327">
            <v>0</v>
          </cell>
          <cell r="CU1327">
            <v>0</v>
          </cell>
          <cell r="CV1327">
            <v>0</v>
          </cell>
          <cell r="CW1327">
            <v>0</v>
          </cell>
          <cell r="CX1327">
            <v>0</v>
          </cell>
          <cell r="CY1327">
            <v>0</v>
          </cell>
          <cell r="CZ1327">
            <v>0</v>
          </cell>
          <cell r="DA1327">
            <v>0</v>
          </cell>
          <cell r="DB1327">
            <v>0</v>
          </cell>
          <cell r="DC1327">
            <v>0</v>
          </cell>
          <cell r="DD1327">
            <v>0</v>
          </cell>
          <cell r="DE1327">
            <v>0</v>
          </cell>
          <cell r="DF1327">
            <v>0</v>
          </cell>
          <cell r="DG1327">
            <v>0</v>
          </cell>
          <cell r="DH1327">
            <v>0</v>
          </cell>
          <cell r="DI1327">
            <v>0</v>
          </cell>
          <cell r="DJ1327">
            <v>0</v>
          </cell>
          <cell r="DK1327">
            <v>0</v>
          </cell>
          <cell r="DL1327">
            <v>0</v>
          </cell>
          <cell r="DM1327">
            <v>0</v>
          </cell>
          <cell r="DN1327">
            <v>0</v>
          </cell>
          <cell r="DO1327">
            <v>0</v>
          </cell>
          <cell r="DP1327">
            <v>0</v>
          </cell>
          <cell r="DQ1327">
            <v>0</v>
          </cell>
          <cell r="DR1327">
            <v>0</v>
          </cell>
          <cell r="DS1327">
            <v>0</v>
          </cell>
          <cell r="DT1327">
            <v>0</v>
          </cell>
          <cell r="DU1327">
            <v>0</v>
          </cell>
          <cell r="DV1327">
            <v>0</v>
          </cell>
          <cell r="DW1327">
            <v>0</v>
          </cell>
          <cell r="DX1327">
            <v>0</v>
          </cell>
          <cell r="DY1327" t="str">
            <v/>
          </cell>
          <cell r="DZ1327" t="str">
            <v>pasiv</v>
          </cell>
          <cell r="EA1327" t="e">
            <v>#DIV/0!</v>
          </cell>
        </row>
        <row r="1328">
          <cell r="B1328">
            <v>310831</v>
          </cell>
          <cell r="C1328" t="str">
            <v>კარტ.პიურე კრუტონებით_ზოლოტისტოე_40გ*24_ხორც არომ.</v>
          </cell>
          <cell r="D1328" t="str">
            <v>TON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O1328">
            <v>0</v>
          </cell>
          <cell r="AP1328">
            <v>0</v>
          </cell>
          <cell r="AS1328">
            <v>0</v>
          </cell>
          <cell r="AT1328">
            <v>0</v>
          </cell>
          <cell r="AU1328">
            <v>0</v>
          </cell>
          <cell r="AV1328">
            <v>0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H1328">
            <v>0</v>
          </cell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>
            <v>0</v>
          </cell>
          <cell r="BN1328">
            <v>0</v>
          </cell>
          <cell r="BO1328">
            <v>0</v>
          </cell>
          <cell r="BP1328">
            <v>0</v>
          </cell>
          <cell r="BQ1328">
            <v>0</v>
          </cell>
          <cell r="BR1328">
            <v>0</v>
          </cell>
          <cell r="BS1328">
            <v>0</v>
          </cell>
          <cell r="BT1328">
            <v>0</v>
          </cell>
          <cell r="BU1328">
            <v>0</v>
          </cell>
          <cell r="BV1328">
            <v>0</v>
          </cell>
          <cell r="BW1328">
            <v>0</v>
          </cell>
          <cell r="BX1328">
            <v>0</v>
          </cell>
          <cell r="BY1328">
            <v>0</v>
          </cell>
          <cell r="BZ1328">
            <v>0</v>
          </cell>
          <cell r="CA1328">
            <v>0</v>
          </cell>
          <cell r="CB1328">
            <v>0</v>
          </cell>
          <cell r="CC1328">
            <v>0</v>
          </cell>
          <cell r="CD1328">
            <v>0</v>
          </cell>
          <cell r="CE1328">
            <v>0</v>
          </cell>
          <cell r="CF1328">
            <v>0</v>
          </cell>
          <cell r="CG1328">
            <v>0</v>
          </cell>
          <cell r="CH1328">
            <v>0</v>
          </cell>
          <cell r="CI1328">
            <v>0</v>
          </cell>
          <cell r="CJ1328">
            <v>0</v>
          </cell>
          <cell r="CK1328">
            <v>0</v>
          </cell>
          <cell r="CL1328">
            <v>0</v>
          </cell>
          <cell r="CO1328">
            <v>0</v>
          </cell>
          <cell r="CP1328">
            <v>0</v>
          </cell>
          <cell r="CQ1328">
            <v>0</v>
          </cell>
          <cell r="CR1328">
            <v>0</v>
          </cell>
          <cell r="CS1328">
            <v>0</v>
          </cell>
          <cell r="CT1328">
            <v>0</v>
          </cell>
          <cell r="CU1328">
            <v>0</v>
          </cell>
          <cell r="CV1328">
            <v>0</v>
          </cell>
          <cell r="CW1328">
            <v>0</v>
          </cell>
          <cell r="CX1328">
            <v>0</v>
          </cell>
          <cell r="CY1328">
            <v>0</v>
          </cell>
          <cell r="CZ1328">
            <v>0</v>
          </cell>
          <cell r="DA1328">
            <v>0</v>
          </cell>
          <cell r="DB1328">
            <v>0</v>
          </cell>
          <cell r="DC1328">
            <v>0</v>
          </cell>
          <cell r="DD1328">
            <v>0</v>
          </cell>
          <cell r="DE1328">
            <v>0</v>
          </cell>
          <cell r="DF1328">
            <v>0</v>
          </cell>
          <cell r="DG1328">
            <v>0</v>
          </cell>
          <cell r="DH1328">
            <v>0</v>
          </cell>
          <cell r="DI1328">
            <v>0</v>
          </cell>
          <cell r="DJ1328">
            <v>0</v>
          </cell>
          <cell r="DK1328">
            <v>0</v>
          </cell>
          <cell r="DL1328">
            <v>0</v>
          </cell>
          <cell r="DM1328">
            <v>0</v>
          </cell>
          <cell r="DN1328">
            <v>0</v>
          </cell>
          <cell r="DO1328">
            <v>0</v>
          </cell>
          <cell r="DP1328">
            <v>0</v>
          </cell>
          <cell r="DQ1328">
            <v>0</v>
          </cell>
          <cell r="DR1328">
            <v>0</v>
          </cell>
          <cell r="DS1328">
            <v>0</v>
          </cell>
          <cell r="DT1328">
            <v>0</v>
          </cell>
          <cell r="DU1328">
            <v>0</v>
          </cell>
          <cell r="DV1328">
            <v>0</v>
          </cell>
          <cell r="DW1328">
            <v>0</v>
          </cell>
          <cell r="DX1328">
            <v>0</v>
          </cell>
          <cell r="DY1328" t="str">
            <v/>
          </cell>
          <cell r="DZ1328" t="str">
            <v>pasiv</v>
          </cell>
          <cell r="EA1328" t="e">
            <v>#DIV/0!</v>
          </cell>
        </row>
        <row r="1329">
          <cell r="A1329">
            <v>111</v>
          </cell>
          <cell r="C1329" t="str">
            <v>LAPSHA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8.9999999999999993E-3</v>
          </cell>
          <cell r="T1329">
            <v>77.599999999999994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8.9999999999999993E-3</v>
          </cell>
          <cell r="Z1329">
            <v>77.599999999999994</v>
          </cell>
          <cell r="AA1329">
            <v>0</v>
          </cell>
          <cell r="AB1329">
            <v>0</v>
          </cell>
          <cell r="AC1329">
            <v>6.0549999999999996E-3</v>
          </cell>
          <cell r="AD1329">
            <v>98.539999999999992</v>
          </cell>
          <cell r="AE1329">
            <v>4.5000000000000003E-5</v>
          </cell>
          <cell r="AF1329">
            <v>0.4</v>
          </cell>
          <cell r="AG1329">
            <v>1.8780000000000002E-2</v>
          </cell>
          <cell r="AH1329">
            <v>459.15000000000003</v>
          </cell>
          <cell r="AI1329">
            <v>2.4670000000000001E-2</v>
          </cell>
          <cell r="AJ1329">
            <v>478.91999999999996</v>
          </cell>
          <cell r="AK1329">
            <v>2.938E-2</v>
          </cell>
          <cell r="AL1329">
            <v>465.41999999999996</v>
          </cell>
          <cell r="AM1329">
            <v>0</v>
          </cell>
          <cell r="AN1329">
            <v>0</v>
          </cell>
          <cell r="AO1329">
            <v>7.893E-2</v>
          </cell>
          <cell r="AP1329">
            <v>1502.4299999999998</v>
          </cell>
          <cell r="AS1329">
            <v>0</v>
          </cell>
          <cell r="AT1329">
            <v>0</v>
          </cell>
          <cell r="AU1329">
            <v>1.1189100000000001</v>
          </cell>
          <cell r="AV1329">
            <v>17165.98</v>
          </cell>
          <cell r="AW1329">
            <v>0</v>
          </cell>
          <cell r="AX1329">
            <v>0</v>
          </cell>
          <cell r="AY1329">
            <v>1.8269999999999998E-2</v>
          </cell>
          <cell r="AZ1329">
            <v>375.62</v>
          </cell>
          <cell r="BA1329">
            <v>0</v>
          </cell>
          <cell r="BB1329">
            <v>0</v>
          </cell>
          <cell r="BC1329">
            <v>5.9134999999999993E-2</v>
          </cell>
          <cell r="BD1329">
            <v>764.9</v>
          </cell>
          <cell r="BE1329">
            <v>7.7405000000000002E-2</v>
          </cell>
          <cell r="BF1329">
            <v>1140.52</v>
          </cell>
          <cell r="BG1329">
            <v>3.27E-2</v>
          </cell>
          <cell r="BH1329">
            <v>496.49999999999994</v>
          </cell>
          <cell r="BI1329">
            <v>1.6470000000000002E-2</v>
          </cell>
          <cell r="BJ1329">
            <v>289.08</v>
          </cell>
          <cell r="BK1329">
            <v>7.5700000000000003E-2</v>
          </cell>
          <cell r="BL1329">
            <v>782.61</v>
          </cell>
          <cell r="BM1329">
            <v>0.106735</v>
          </cell>
          <cell r="BN1329">
            <v>1228.1099999999997</v>
          </cell>
          <cell r="BO1329">
            <v>4.5449999999999997E-2</v>
          </cell>
          <cell r="BP1329">
            <v>622.66</v>
          </cell>
          <cell r="BQ1329">
            <v>0</v>
          </cell>
          <cell r="BR1329">
            <v>0</v>
          </cell>
          <cell r="BS1329">
            <v>0.27705499999999994</v>
          </cell>
          <cell r="BT1329">
            <v>3418.96</v>
          </cell>
          <cell r="BU1329">
            <v>3.6000000000000002E-4</v>
          </cell>
          <cell r="BV1329">
            <v>8.11</v>
          </cell>
          <cell r="BW1329">
            <v>4.3205000000000007E-2</v>
          </cell>
          <cell r="BX1329">
            <v>898.09999999999991</v>
          </cell>
          <cell r="BY1329">
            <v>2.7449999999999999E-2</v>
          </cell>
          <cell r="BZ1329">
            <v>286.98</v>
          </cell>
          <cell r="CA1329">
            <v>3.4980000000000004E-2</v>
          </cell>
          <cell r="CB1329">
            <v>678.13</v>
          </cell>
          <cell r="CC1329">
            <v>1.155E-2</v>
          </cell>
          <cell r="CD1329">
            <v>155.45999999999998</v>
          </cell>
          <cell r="CE1329">
            <v>8.3070000000000019E-2</v>
          </cell>
          <cell r="CF1329">
            <v>1277.6899999999998</v>
          </cell>
          <cell r="CG1329">
            <v>0</v>
          </cell>
          <cell r="CH1329">
            <v>0</v>
          </cell>
          <cell r="CI1329">
            <v>0.20277499999999998</v>
          </cell>
          <cell r="CJ1329">
            <v>3354.6299999999997</v>
          </cell>
          <cell r="CK1329">
            <v>0.47982999999999998</v>
          </cell>
          <cell r="CL1329">
            <v>6773.590000000002</v>
          </cell>
          <cell r="CM1329">
            <v>0</v>
          </cell>
          <cell r="CN1329">
            <v>0</v>
          </cell>
          <cell r="CO1329">
            <v>0</v>
          </cell>
          <cell r="CP1329">
            <v>0</v>
          </cell>
          <cell r="CQ1329">
            <v>0</v>
          </cell>
          <cell r="CR1329">
            <v>0</v>
          </cell>
          <cell r="CS1329">
            <v>0</v>
          </cell>
          <cell r="CT1329">
            <v>0</v>
          </cell>
          <cell r="CU1329">
            <v>0.10272499999999998</v>
          </cell>
          <cell r="CV1329">
            <v>1740.1599999999999</v>
          </cell>
          <cell r="CW1329">
            <v>0</v>
          </cell>
          <cell r="CX1329">
            <v>0</v>
          </cell>
          <cell r="CY1329">
            <v>0.14804999999999999</v>
          </cell>
          <cell r="CZ1329">
            <v>2652.8400000000006</v>
          </cell>
          <cell r="DA1329">
            <v>1.4E-3</v>
          </cell>
          <cell r="DB1329">
            <v>27.7</v>
          </cell>
          <cell r="DC1329">
            <v>9.7229999999999997E-2</v>
          </cell>
          <cell r="DD1329">
            <v>1842.29</v>
          </cell>
          <cell r="DE1329">
            <v>0.24668000000000004</v>
          </cell>
          <cell r="DF1329">
            <v>4522.83</v>
          </cell>
          <cell r="DG1329">
            <v>7.0665000000000006E-2</v>
          </cell>
          <cell r="DH1329">
            <v>797.6</v>
          </cell>
          <cell r="DI1329">
            <v>1.295E-2</v>
          </cell>
          <cell r="DJ1329">
            <v>155.63999999999999</v>
          </cell>
          <cell r="DK1329">
            <v>4.0674999999999996E-2</v>
          </cell>
          <cell r="DL1329">
            <v>453.92999999999995</v>
          </cell>
          <cell r="DM1329">
            <v>0.12429</v>
          </cell>
          <cell r="DN1329">
            <v>1407.17</v>
          </cell>
          <cell r="DO1329">
            <v>6.6885E-2</v>
          </cell>
          <cell r="DP1329">
            <v>1092.22</v>
          </cell>
          <cell r="DQ1329">
            <v>3.65E-3</v>
          </cell>
          <cell r="DR1329">
            <v>57.599999999999994</v>
          </cell>
          <cell r="DS1329">
            <v>3.2189999999999996E-2</v>
          </cell>
          <cell r="DT1329">
            <v>590.33999999999992</v>
          </cell>
          <cell r="DU1329">
            <v>0.10272499999999998</v>
          </cell>
          <cell r="DV1329">
            <v>1740.1599999999999</v>
          </cell>
          <cell r="DW1329">
            <v>1.11886</v>
          </cell>
          <cell r="DX1329">
            <v>17164.3</v>
          </cell>
          <cell r="DZ1329">
            <v>0</v>
          </cell>
          <cell r="EA1329">
            <v>15340.882684160664</v>
          </cell>
        </row>
        <row r="1330">
          <cell r="B1330">
            <v>375376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8</v>
          </cell>
          <cell r="AV1330">
            <v>307.27999999999997</v>
          </cell>
          <cell r="AW1330">
            <v>0</v>
          </cell>
          <cell r="AX1330">
            <v>0</v>
          </cell>
          <cell r="AY1330">
            <v>0</v>
          </cell>
          <cell r="AZ1330">
            <v>0</v>
          </cell>
          <cell r="BA1330">
            <v>0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H1330">
            <v>0</v>
          </cell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>
            <v>2</v>
          </cell>
          <cell r="BN1330">
            <v>76.819999999999993</v>
          </cell>
          <cell r="BO1330">
            <v>0</v>
          </cell>
          <cell r="BP1330">
            <v>0</v>
          </cell>
          <cell r="BQ1330">
            <v>0</v>
          </cell>
          <cell r="BR1330">
            <v>0</v>
          </cell>
          <cell r="BS1330">
            <v>2</v>
          </cell>
          <cell r="BT1330">
            <v>76.819999999999993</v>
          </cell>
          <cell r="BU1330">
            <v>0</v>
          </cell>
          <cell r="BV1330">
            <v>0</v>
          </cell>
          <cell r="BW1330">
            <v>3</v>
          </cell>
          <cell r="BX1330">
            <v>117.61</v>
          </cell>
          <cell r="BY1330">
            <v>1</v>
          </cell>
          <cell r="BZ1330">
            <v>37.22</v>
          </cell>
          <cell r="CA1330">
            <v>0</v>
          </cell>
          <cell r="CB1330">
            <v>0</v>
          </cell>
          <cell r="CC1330">
            <v>0</v>
          </cell>
          <cell r="CD1330">
            <v>0</v>
          </cell>
          <cell r="CE1330">
            <v>0</v>
          </cell>
          <cell r="CF1330">
            <v>0</v>
          </cell>
          <cell r="CG1330">
            <v>0</v>
          </cell>
          <cell r="CH1330">
            <v>0</v>
          </cell>
          <cell r="CI1330">
            <v>4</v>
          </cell>
          <cell r="CJ1330">
            <v>154.83000000000001</v>
          </cell>
          <cell r="CK1330">
            <v>6</v>
          </cell>
          <cell r="CL1330">
            <v>231.65</v>
          </cell>
          <cell r="CM1330">
            <v>0</v>
          </cell>
          <cell r="CN1330">
            <v>0</v>
          </cell>
          <cell r="CO1330">
            <v>0</v>
          </cell>
          <cell r="CP1330">
            <v>0</v>
          </cell>
          <cell r="CQ1330">
            <v>0</v>
          </cell>
          <cell r="CR1330">
            <v>0</v>
          </cell>
          <cell r="CS1330">
            <v>0</v>
          </cell>
          <cell r="CT1330">
            <v>0</v>
          </cell>
          <cell r="CU1330">
            <v>2</v>
          </cell>
          <cell r="CV1330">
            <v>75.63</v>
          </cell>
          <cell r="CW1330">
            <v>0</v>
          </cell>
          <cell r="CX1330">
            <v>0</v>
          </cell>
          <cell r="CY1330">
            <v>0</v>
          </cell>
          <cell r="CZ1330">
            <v>0</v>
          </cell>
          <cell r="DA1330">
            <v>0</v>
          </cell>
          <cell r="DB1330">
            <v>0</v>
          </cell>
          <cell r="DC1330">
            <v>0</v>
          </cell>
          <cell r="DD1330">
            <v>0</v>
          </cell>
          <cell r="DE1330">
            <v>0</v>
          </cell>
          <cell r="DF1330">
            <v>0</v>
          </cell>
          <cell r="DG1330">
            <v>0</v>
          </cell>
          <cell r="DH1330">
            <v>0</v>
          </cell>
          <cell r="DI1330">
            <v>0</v>
          </cell>
          <cell r="DJ1330">
            <v>0</v>
          </cell>
          <cell r="DK1330">
            <v>0</v>
          </cell>
          <cell r="DL1330">
            <v>0</v>
          </cell>
          <cell r="DM1330">
            <v>0</v>
          </cell>
          <cell r="DN1330">
            <v>0</v>
          </cell>
          <cell r="DO1330">
            <v>2</v>
          </cell>
          <cell r="DP1330">
            <v>75.63</v>
          </cell>
          <cell r="DQ1330">
            <v>0</v>
          </cell>
          <cell r="DR1330">
            <v>0</v>
          </cell>
          <cell r="DS1330">
            <v>0</v>
          </cell>
          <cell r="DT1330">
            <v>0</v>
          </cell>
          <cell r="DU1330">
            <v>2</v>
          </cell>
          <cell r="DV1330">
            <v>75.63</v>
          </cell>
          <cell r="DW1330">
            <v>8</v>
          </cell>
          <cell r="DX1330">
            <v>307.27999999999997</v>
          </cell>
        </row>
        <row r="1332">
          <cell r="A1332" t="str">
            <v>ZZZ         0</v>
          </cell>
          <cell r="B1332" t="str">
            <v>ZZZ         0</v>
          </cell>
          <cell r="C1332" t="str">
            <v>IADE</v>
          </cell>
          <cell r="D1332" t="str">
            <v>IADE</v>
          </cell>
          <cell r="F1332">
            <v>0</v>
          </cell>
          <cell r="H1332">
            <v>0</v>
          </cell>
          <cell r="J1332">
            <v>0</v>
          </cell>
          <cell r="L1332">
            <v>0</v>
          </cell>
          <cell r="P1332">
            <v>0</v>
          </cell>
          <cell r="R1332">
            <v>0</v>
          </cell>
          <cell r="T1332">
            <v>0</v>
          </cell>
          <cell r="V1332">
            <v>0</v>
          </cell>
          <cell r="X1332">
            <v>0</v>
          </cell>
          <cell r="Z1332">
            <v>0</v>
          </cell>
          <cell r="AB1332">
            <v>0</v>
          </cell>
          <cell r="AD1332">
            <v>873.08</v>
          </cell>
          <cell r="AF1332">
            <v>0</v>
          </cell>
          <cell r="AH1332">
            <v>32.770000000000003</v>
          </cell>
          <cell r="AJ1332">
            <v>133.34</v>
          </cell>
          <cell r="AL1332">
            <v>739.25</v>
          </cell>
          <cell r="AP1332">
            <v>1778.44</v>
          </cell>
          <cell r="AT1332">
            <v>0</v>
          </cell>
          <cell r="AV1332">
            <v>9132.5300000000007</v>
          </cell>
          <cell r="AX1332">
            <v>0</v>
          </cell>
          <cell r="AZ1332">
            <v>526.04999999999995</v>
          </cell>
          <cell r="BB1332">
            <v>0</v>
          </cell>
          <cell r="BD1332">
            <v>375.13</v>
          </cell>
          <cell r="BF1332">
            <v>901.18</v>
          </cell>
          <cell r="BH1332">
            <v>0</v>
          </cell>
          <cell r="BJ1332">
            <v>2026.18</v>
          </cell>
          <cell r="BL1332">
            <v>40.68</v>
          </cell>
          <cell r="BN1332">
            <v>23.4</v>
          </cell>
          <cell r="BP1332">
            <v>115.83</v>
          </cell>
          <cell r="BR1332">
            <v>0</v>
          </cell>
          <cell r="BT1332">
            <v>2206.09</v>
          </cell>
          <cell r="BV1332">
            <v>0</v>
          </cell>
          <cell r="BX1332">
            <v>0</v>
          </cell>
          <cell r="BZ1332">
            <v>0</v>
          </cell>
          <cell r="CB1332">
            <v>0</v>
          </cell>
          <cell r="CD1332">
            <v>291.14</v>
          </cell>
          <cell r="CF1332">
            <v>0</v>
          </cell>
          <cell r="CH1332">
            <v>0</v>
          </cell>
          <cell r="CJ1332">
            <v>291.14</v>
          </cell>
          <cell r="CL1332">
            <v>2497.23</v>
          </cell>
          <cell r="CP1332">
            <v>0</v>
          </cell>
          <cell r="CR1332">
            <v>0</v>
          </cell>
          <cell r="CT1332">
            <v>0</v>
          </cell>
          <cell r="CV1332">
            <v>24.16</v>
          </cell>
          <cell r="CX1332">
            <v>0</v>
          </cell>
          <cell r="CZ1332">
            <v>1429.78</v>
          </cell>
          <cell r="DB1332">
            <v>356.16</v>
          </cell>
          <cell r="DD1332">
            <v>1938.22</v>
          </cell>
          <cell r="DF1332">
            <v>3724.16</v>
          </cell>
          <cell r="DH1332">
            <v>73.14</v>
          </cell>
          <cell r="DJ1332">
            <v>74.069999999999993</v>
          </cell>
          <cell r="DL1332">
            <v>60.15</v>
          </cell>
          <cell r="DN1332">
            <v>207.36</v>
          </cell>
          <cell r="DP1332">
            <v>0</v>
          </cell>
          <cell r="DR1332">
            <v>24.16</v>
          </cell>
          <cell r="DT1332">
            <v>0</v>
          </cell>
          <cell r="DV1332">
            <v>24.16</v>
          </cell>
          <cell r="DX1332">
            <v>9132.5300000000007</v>
          </cell>
          <cell r="DY1332" t="str">
            <v/>
          </cell>
          <cell r="DZ1332">
            <v>0</v>
          </cell>
        </row>
        <row r="1333">
          <cell r="A1333" t="str">
            <v>ZZZ         0</v>
          </cell>
          <cell r="C1333" t="str">
            <v>H E D E F     M A L S E M E L E R I</v>
          </cell>
          <cell r="AR1333" t="e">
            <v>#REF!</v>
          </cell>
          <cell r="AT1333" t="e">
            <v>#REF!</v>
          </cell>
          <cell r="AV1333" t="e">
            <v>#REF!</v>
          </cell>
          <cell r="AX1333" t="e">
            <v>#REF!</v>
          </cell>
          <cell r="AZ1333" t="e">
            <v>#REF!</v>
          </cell>
          <cell r="BB1333" t="e">
            <v>#REF!</v>
          </cell>
          <cell r="BD1333" t="e">
            <v>#REF!</v>
          </cell>
          <cell r="BF1333" t="e">
            <v>#REF!</v>
          </cell>
          <cell r="BH1333" t="e">
            <v>#REF!</v>
          </cell>
          <cell r="BJ1333" t="e">
            <v>#REF!</v>
          </cell>
          <cell r="BL1333" t="e">
            <v>#REF!</v>
          </cell>
          <cell r="BN1333" t="e">
            <v>#REF!</v>
          </cell>
          <cell r="BP1333" t="e">
            <v>#REF!</v>
          </cell>
          <cell r="BR1333" t="e">
            <v>#REF!</v>
          </cell>
          <cell r="BT1333" t="e">
            <v>#REF!</v>
          </cell>
          <cell r="BV1333" t="e">
            <v>#REF!</v>
          </cell>
          <cell r="BX1333" t="e">
            <v>#REF!</v>
          </cell>
          <cell r="BZ1333" t="e">
            <v>#REF!</v>
          </cell>
          <cell r="CB1333" t="e">
            <v>#REF!</v>
          </cell>
          <cell r="CD1333" t="e">
            <v>#REF!</v>
          </cell>
          <cell r="CF1333" t="e">
            <v>#REF!</v>
          </cell>
          <cell r="CH1333" t="e">
            <v>#REF!</v>
          </cell>
          <cell r="CJ1333" t="e">
            <v>#REF!</v>
          </cell>
          <cell r="CL1333" t="e">
            <v>#REF!</v>
          </cell>
          <cell r="CN1333" t="e">
            <v>#REF!</v>
          </cell>
          <cell r="CP1333" t="e">
            <v>#REF!</v>
          </cell>
          <cell r="CR1333" t="e">
            <v>#REF!</v>
          </cell>
          <cell r="CT1333" t="e">
            <v>#REF!</v>
          </cell>
          <cell r="CV1333" t="e">
            <v>#REF!</v>
          </cell>
          <cell r="CX1333" t="e">
            <v>#REF!</v>
          </cell>
          <cell r="CZ1333" t="e">
            <v>#REF!</v>
          </cell>
          <cell r="DB1333" t="e">
            <v>#REF!</v>
          </cell>
          <cell r="DD1333" t="e">
            <v>#REF!</v>
          </cell>
          <cell r="DF1333" t="e">
            <v>#REF!</v>
          </cell>
          <cell r="DH1333" t="e">
            <v>#REF!</v>
          </cell>
          <cell r="DJ1333" t="e">
            <v>#REF!</v>
          </cell>
          <cell r="DK1333" t="e">
            <v>#REF!</v>
          </cell>
          <cell r="DL1333" t="e">
            <v>#REF!</v>
          </cell>
          <cell r="DN1333" t="e">
            <v>#REF!</v>
          </cell>
          <cell r="DP1333" t="e">
            <v>#REF!</v>
          </cell>
          <cell r="DR1333" t="e">
            <v>#REF!</v>
          </cell>
          <cell r="DS1333" t="e">
            <v>#REF!</v>
          </cell>
          <cell r="DT1333" t="e">
            <v>#REF!</v>
          </cell>
          <cell r="DV1333" t="e">
            <v>#REF!</v>
          </cell>
          <cell r="DX1333" t="e">
            <v>#REF!</v>
          </cell>
          <cell r="DY1333" t="str">
            <v>Hedef</v>
          </cell>
          <cell r="DZ1333" t="e">
            <v>#REF!</v>
          </cell>
        </row>
        <row r="1334">
          <cell r="C1334" t="str">
            <v>C U V A L    S E K E R</v>
          </cell>
          <cell r="AT1334">
            <v>0</v>
          </cell>
          <cell r="AV1334">
            <v>10168.299999999999</v>
          </cell>
          <cell r="DY1334" t="str">
            <v/>
          </cell>
          <cell r="DZ1334">
            <v>0</v>
          </cell>
        </row>
        <row r="1336">
          <cell r="A1336" t="str">
            <v>ZZZZZ</v>
          </cell>
          <cell r="B1336" t="str">
            <v>ZZZZZ</v>
          </cell>
          <cell r="C1336" t="str">
            <v>ciro</v>
          </cell>
          <cell r="D1336" t="str">
            <v>TON</v>
          </cell>
          <cell r="F1336">
            <v>25976.9</v>
          </cell>
          <cell r="H1336">
            <v>25607.19</v>
          </cell>
          <cell r="J1336">
            <v>5973.3</v>
          </cell>
          <cell r="L1336">
            <v>0</v>
          </cell>
          <cell r="P1336">
            <v>57557.39</v>
          </cell>
          <cell r="R1336">
            <v>36178.03</v>
          </cell>
          <cell r="T1336">
            <v>34569.18</v>
          </cell>
          <cell r="V1336">
            <v>0</v>
          </cell>
          <cell r="X1336">
            <v>0</v>
          </cell>
          <cell r="Z1336">
            <v>70747.209999999992</v>
          </cell>
          <cell r="AB1336">
            <v>0</v>
          </cell>
          <cell r="AD1336">
            <v>8621.4500000000007</v>
          </cell>
          <cell r="AF1336">
            <v>831.02</v>
          </cell>
          <cell r="AH1336">
            <v>5267.97</v>
          </cell>
          <cell r="AJ1336">
            <v>9703.5300000000007</v>
          </cell>
          <cell r="AL1336">
            <v>14948.31</v>
          </cell>
          <cell r="AP1336">
            <v>39372.28</v>
          </cell>
          <cell r="AS1336">
            <v>0</v>
          </cell>
          <cell r="AT1336">
            <v>0</v>
          </cell>
          <cell r="AU1336">
            <v>642930.3899999999</v>
          </cell>
          <cell r="AV1336">
            <v>653098.68999999994</v>
          </cell>
          <cell r="AX1336">
            <v>0</v>
          </cell>
          <cell r="AZ1336">
            <v>15753.45</v>
          </cell>
          <cell r="BB1336">
            <v>0</v>
          </cell>
          <cell r="BD1336">
            <v>42185.47</v>
          </cell>
          <cell r="BF1336">
            <v>57938.92</v>
          </cell>
          <cell r="BH1336">
            <v>13392.92</v>
          </cell>
          <cell r="BJ1336">
            <v>25275.42</v>
          </cell>
          <cell r="BL1336">
            <v>15316.72</v>
          </cell>
          <cell r="BN1336">
            <v>16616.25</v>
          </cell>
          <cell r="BP1336">
            <v>27173.360000000001</v>
          </cell>
          <cell r="BR1336">
            <v>0</v>
          </cell>
          <cell r="BS1336">
            <v>98170.63</v>
          </cell>
          <cell r="BT1336">
            <v>98170.63</v>
          </cell>
          <cell r="BU1336">
            <v>9143.76</v>
          </cell>
          <cell r="BV1336">
            <v>9143.76</v>
          </cell>
          <cell r="BX1336">
            <v>8440.5</v>
          </cell>
          <cell r="BZ1336">
            <v>11075.87</v>
          </cell>
          <cell r="CB1336">
            <v>14132.3</v>
          </cell>
          <cell r="CD1336">
            <v>6624.72</v>
          </cell>
          <cell r="CF1336">
            <v>26531.89</v>
          </cell>
          <cell r="CH1336">
            <v>7932.64</v>
          </cell>
          <cell r="CI1336">
            <v>83931.839999999997</v>
          </cell>
          <cell r="CJ1336">
            <v>83931.839999999997</v>
          </cell>
          <cell r="CL1336">
            <v>182102.47</v>
          </cell>
          <cell r="CP1336">
            <v>0</v>
          </cell>
          <cell r="CR1336">
            <v>0</v>
          </cell>
          <cell r="CT1336">
            <v>2960.19</v>
          </cell>
          <cell r="CV1336">
            <v>78436.03</v>
          </cell>
          <cell r="CX1336">
            <v>197668.2</v>
          </cell>
          <cell r="CY1336">
            <v>60687.05</v>
          </cell>
          <cell r="CZ1336">
            <v>60687.05</v>
          </cell>
          <cell r="DB1336">
            <v>11194.54</v>
          </cell>
          <cell r="DD1336">
            <v>18608.11</v>
          </cell>
          <cell r="DF1336">
            <v>90489.7</v>
          </cell>
          <cell r="DH1336">
            <v>16080.38</v>
          </cell>
          <cell r="DJ1336">
            <v>14122.54</v>
          </cell>
          <cell r="DL1336">
            <v>13940.84</v>
          </cell>
          <cell r="DN1336">
            <v>44530.41</v>
          </cell>
          <cell r="DP1336">
            <v>20628.330000000002</v>
          </cell>
          <cell r="DR1336">
            <v>13689.65</v>
          </cell>
          <cell r="DT1336">
            <v>44063.53</v>
          </cell>
          <cell r="DV1336">
            <v>78436.03</v>
          </cell>
          <cell r="DX1336">
            <v>621174.41</v>
          </cell>
          <cell r="DY1336" t="str">
            <v/>
          </cell>
          <cell r="DZ1336">
            <v>0</v>
          </cell>
        </row>
        <row r="1337">
          <cell r="B1337">
            <v>30497</v>
          </cell>
          <cell r="C1337" t="str">
            <v>saxar</v>
          </cell>
          <cell r="D1337" t="str">
            <v>TON</v>
          </cell>
          <cell r="E1337">
            <v>0</v>
          </cell>
          <cell r="F1337">
            <v>0</v>
          </cell>
          <cell r="G1337">
            <v>1E-4</v>
          </cell>
          <cell r="H1337">
            <v>237.8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O1337">
            <v>1E-4</v>
          </cell>
          <cell r="P1337">
            <v>237.8</v>
          </cell>
          <cell r="Q1337">
            <v>2.5000000000000001E-4</v>
          </cell>
          <cell r="R1337">
            <v>594.5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2.5000000000000001E-4</v>
          </cell>
          <cell r="Z1337">
            <v>594.5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0</v>
          </cell>
          <cell r="AH1337">
            <v>0</v>
          </cell>
          <cell r="AI1337">
            <v>0</v>
          </cell>
          <cell r="AJ1337">
            <v>0</v>
          </cell>
          <cell r="AK1337">
            <v>0</v>
          </cell>
          <cell r="AL1337">
            <v>0</v>
          </cell>
          <cell r="AO1337">
            <v>0</v>
          </cell>
          <cell r="AP1337">
            <v>0</v>
          </cell>
          <cell r="AS1337">
            <v>0</v>
          </cell>
          <cell r="AT1337">
            <v>0</v>
          </cell>
          <cell r="AU1337">
            <v>0</v>
          </cell>
          <cell r="AV1337">
            <v>10168.299999999999</v>
          </cell>
          <cell r="AW1337">
            <v>0</v>
          </cell>
          <cell r="AX1337">
            <v>0</v>
          </cell>
          <cell r="AY1337">
            <v>0</v>
          </cell>
          <cell r="AZ1337">
            <v>0</v>
          </cell>
          <cell r="BA1337">
            <v>0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H1337">
            <v>0</v>
          </cell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N1337">
            <v>0</v>
          </cell>
          <cell r="BO1337">
            <v>0</v>
          </cell>
          <cell r="BP1337">
            <v>0</v>
          </cell>
          <cell r="BQ1337">
            <v>0</v>
          </cell>
          <cell r="BR1337">
            <v>0</v>
          </cell>
          <cell r="BS1337">
            <v>0</v>
          </cell>
          <cell r="BT1337">
            <v>0</v>
          </cell>
          <cell r="BU1337">
            <v>0</v>
          </cell>
          <cell r="BV1337">
            <v>0</v>
          </cell>
          <cell r="BW1337">
            <v>0</v>
          </cell>
          <cell r="BX1337">
            <v>0</v>
          </cell>
          <cell r="BY1337">
            <v>0</v>
          </cell>
          <cell r="BZ1337">
            <v>0</v>
          </cell>
          <cell r="CA1337">
            <v>0</v>
          </cell>
          <cell r="CB1337">
            <v>0</v>
          </cell>
          <cell r="CC1337">
            <v>0</v>
          </cell>
          <cell r="CD1337">
            <v>0</v>
          </cell>
          <cell r="CE1337">
            <v>0</v>
          </cell>
          <cell r="CF1337">
            <v>0</v>
          </cell>
          <cell r="CG1337">
            <v>0</v>
          </cell>
          <cell r="CH1337">
            <v>0</v>
          </cell>
          <cell r="CI1337">
            <v>0</v>
          </cell>
          <cell r="CJ1337">
            <v>0</v>
          </cell>
          <cell r="CK1337">
            <v>0</v>
          </cell>
          <cell r="CL1337">
            <v>0</v>
          </cell>
          <cell r="CO1337">
            <v>0</v>
          </cell>
          <cell r="CP1337">
            <v>0</v>
          </cell>
          <cell r="CQ1337">
            <v>0</v>
          </cell>
          <cell r="CR1337">
            <v>0</v>
          </cell>
          <cell r="CS1337">
            <v>0</v>
          </cell>
          <cell r="CT1337">
            <v>0</v>
          </cell>
          <cell r="CU1337">
            <v>0</v>
          </cell>
          <cell r="CV1337">
            <v>0</v>
          </cell>
          <cell r="CW1337">
            <v>0</v>
          </cell>
          <cell r="CX1337">
            <v>0</v>
          </cell>
          <cell r="CY1337">
            <v>0</v>
          </cell>
          <cell r="CZ1337">
            <v>0</v>
          </cell>
          <cell r="DA1337">
            <v>0</v>
          </cell>
          <cell r="DB1337">
            <v>0</v>
          </cell>
          <cell r="DC1337">
            <v>0</v>
          </cell>
          <cell r="DD1337">
            <v>0</v>
          </cell>
          <cell r="DE1337">
            <v>0</v>
          </cell>
          <cell r="DF1337">
            <v>0</v>
          </cell>
          <cell r="DG1337">
            <v>0</v>
          </cell>
          <cell r="DH1337">
            <v>0</v>
          </cell>
          <cell r="DI1337">
            <v>0</v>
          </cell>
          <cell r="DJ1337">
            <v>0</v>
          </cell>
          <cell r="DK1337">
            <v>0</v>
          </cell>
          <cell r="DM1337">
            <v>0</v>
          </cell>
          <cell r="DN1337">
            <v>0</v>
          </cell>
          <cell r="DO1337">
            <v>0</v>
          </cell>
          <cell r="DP1337">
            <v>0</v>
          </cell>
          <cell r="DQ1337">
            <v>0</v>
          </cell>
          <cell r="DR1337">
            <v>0</v>
          </cell>
          <cell r="DS1337">
            <v>0</v>
          </cell>
          <cell r="DT1337">
            <v>0</v>
          </cell>
          <cell r="DU1337">
            <v>0</v>
          </cell>
          <cell r="DV1337">
            <v>0</v>
          </cell>
          <cell r="DW1337">
            <v>3.5E-4</v>
          </cell>
          <cell r="DX1337">
            <v>832.3</v>
          </cell>
          <cell r="DY1337" t="str">
            <v/>
          </cell>
          <cell r="DZ1337">
            <v>0</v>
          </cell>
        </row>
        <row r="1338">
          <cell r="B1338">
            <v>22621</v>
          </cell>
          <cell r="C1338" t="str">
            <v>TOZ SEKER_50 KG_AZE</v>
          </cell>
          <cell r="AS1338">
            <v>0</v>
          </cell>
          <cell r="AT1338">
            <v>0</v>
          </cell>
          <cell r="AU1338">
            <v>0</v>
          </cell>
          <cell r="AV1338">
            <v>0</v>
          </cell>
          <cell r="BT1338">
            <v>0</v>
          </cell>
          <cell r="BV1338">
            <v>0</v>
          </cell>
          <cell r="CJ1338">
            <v>0</v>
          </cell>
          <cell r="CS1338">
            <v>0</v>
          </cell>
          <cell r="CT1338">
            <v>0</v>
          </cell>
          <cell r="CZ1338">
            <v>0</v>
          </cell>
        </row>
        <row r="1339">
          <cell r="B1339">
            <v>273734</v>
          </cell>
          <cell r="AS1339">
            <v>0</v>
          </cell>
          <cell r="AT1339">
            <v>0</v>
          </cell>
          <cell r="AV1339">
            <v>0</v>
          </cell>
          <cell r="BT1339">
            <v>0</v>
          </cell>
          <cell r="BV1339">
            <v>0</v>
          </cell>
          <cell r="CJ1339">
            <v>0</v>
          </cell>
          <cell r="CS1339">
            <v>0</v>
          </cell>
          <cell r="CT1339">
            <v>0</v>
          </cell>
          <cell r="CZ1339">
            <v>0</v>
          </cell>
        </row>
        <row r="1340">
          <cell r="B1340">
            <v>51171</v>
          </cell>
          <cell r="AT1340">
            <v>0</v>
          </cell>
          <cell r="AV1340">
            <v>0</v>
          </cell>
          <cell r="BT1340">
            <v>0</v>
          </cell>
          <cell r="BV1340">
            <v>0</v>
          </cell>
          <cell r="CJ1340">
            <v>0</v>
          </cell>
          <cell r="CS1340">
            <v>0</v>
          </cell>
          <cell r="CT1340">
            <v>0</v>
          </cell>
          <cell r="CZ1340">
            <v>0</v>
          </cell>
        </row>
        <row r="1341">
          <cell r="B1341">
            <v>22643</v>
          </cell>
          <cell r="AT1341">
            <v>0</v>
          </cell>
          <cell r="AV1341">
            <v>0</v>
          </cell>
          <cell r="CZ1341">
            <v>0</v>
          </cell>
        </row>
        <row r="1342">
          <cell r="CZ1342">
            <v>0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C70"/>
  <sheetViews>
    <sheetView zoomScaleNormal="100" workbookViewId="0">
      <pane xSplit="3" ySplit="4" topLeftCell="Q27" activePane="bottomRight" state="frozen"/>
      <selection activeCell="C53" sqref="C53"/>
      <selection pane="topRight" activeCell="C53" sqref="C53"/>
      <selection pane="bottomLeft" activeCell="C53" sqref="C53"/>
      <selection pane="bottomRight" activeCell="AP53" sqref="AP53"/>
    </sheetView>
  </sheetViews>
  <sheetFormatPr baseColWidth="10" defaultColWidth="9.1640625" defaultRowHeight="12" x14ac:dyDescent="0.15"/>
  <cols>
    <col min="1" max="1" width="1.33203125" style="4" customWidth="1"/>
    <col min="2" max="2" width="2.6640625" style="19" customWidth="1"/>
    <col min="3" max="3" width="39.33203125" style="4" customWidth="1"/>
    <col min="4" max="4" width="1" style="4" customWidth="1"/>
    <col min="5" max="5" width="10.5" style="13" customWidth="1"/>
    <col min="6" max="6" width="10.5" style="4" customWidth="1"/>
    <col min="7" max="7" width="8.6640625" style="4" customWidth="1"/>
    <col min="8" max="8" width="10.5" style="4" customWidth="1"/>
    <col min="9" max="9" width="1" style="4" customWidth="1"/>
    <col min="10" max="10" width="8.6640625" style="13" customWidth="1"/>
    <col min="11" max="11" width="6" style="4" customWidth="1"/>
    <col min="12" max="12" width="1" style="4" customWidth="1"/>
    <col min="13" max="13" width="10.5" style="13" customWidth="1"/>
    <col min="14" max="14" width="10.5" style="4" customWidth="1"/>
    <col min="15" max="15" width="8.6640625" style="4" customWidth="1"/>
    <col min="16" max="16" width="10.5" style="4" customWidth="1"/>
    <col min="17" max="17" width="1" style="4" customWidth="1"/>
    <col min="18" max="18" width="8.6640625" style="13" customWidth="1"/>
    <col min="19" max="19" width="5.6640625" style="4" customWidth="1"/>
    <col min="20" max="20" width="1" style="4" customWidth="1"/>
    <col min="21" max="21" width="10.5" style="13" customWidth="1"/>
    <col min="22" max="22" width="10.5" style="4" customWidth="1"/>
    <col min="23" max="23" width="8.6640625" style="4" customWidth="1"/>
    <col min="24" max="24" width="10.5" style="4" customWidth="1"/>
    <col min="25" max="25" width="1" style="4" customWidth="1"/>
    <col min="26" max="26" width="7.1640625" style="13" customWidth="1"/>
    <col min="27" max="27" width="5.1640625" style="4" customWidth="1"/>
    <col min="28" max="28" width="1" style="4" customWidth="1"/>
    <col min="29" max="29" width="10.5" style="13" customWidth="1"/>
    <col min="30" max="30" width="10.5" style="4" customWidth="1"/>
    <col min="31" max="31" width="8.6640625" style="4" customWidth="1"/>
    <col min="32" max="32" width="10.5" style="4" customWidth="1"/>
    <col min="33" max="33" width="1" style="4" customWidth="1"/>
    <col min="34" max="34" width="8.6640625" style="13" customWidth="1"/>
    <col min="35" max="35" width="5.6640625" style="4" customWidth="1"/>
    <col min="36" max="36" width="1" style="4" customWidth="1"/>
    <col min="37" max="37" width="9" style="13" customWidth="1"/>
    <col min="38" max="38" width="10.5" style="4" customWidth="1"/>
    <col min="39" max="39" width="8.6640625" style="4" customWidth="1"/>
    <col min="40" max="40" width="10.5" style="4" customWidth="1"/>
    <col min="41" max="41" width="1" style="4" customWidth="1"/>
    <col min="42" max="42" width="7.1640625" style="13" customWidth="1"/>
    <col min="43" max="43" width="5.1640625" style="4" customWidth="1"/>
    <col min="44" max="44" width="1" style="4" customWidth="1"/>
    <col min="45" max="45" width="10.5" style="13" customWidth="1"/>
    <col min="46" max="46" width="10.5" style="4" customWidth="1"/>
    <col min="47" max="47" width="8.6640625" style="4" customWidth="1"/>
    <col min="48" max="48" width="10.5" style="4" customWidth="1"/>
    <col min="49" max="49" width="1" style="4" customWidth="1"/>
    <col min="50" max="50" width="8.6640625" style="25" customWidth="1"/>
    <col min="51" max="51" width="5.1640625" style="4" customWidth="1"/>
    <col min="52" max="52" width="1" style="4" customWidth="1"/>
    <col min="53" max="53" width="9.1640625" style="13" customWidth="1"/>
    <col min="54" max="54" width="6.5" style="4" customWidth="1"/>
    <col min="55" max="55" width="9.1640625" style="19"/>
    <col min="56" max="16384" width="9.1640625" style="4"/>
  </cols>
  <sheetData>
    <row r="1" spans="2:55" ht="13" thickBot="1" x14ac:dyDescent="0.2">
      <c r="B1" s="17"/>
      <c r="C1" s="3" t="str">
        <f>'GENEL HEDEF'!C1</f>
        <v>01.05.2023 - 04.05.2023</v>
      </c>
    </row>
    <row r="2" spans="2:55" ht="5.25" customHeight="1" thickTop="1" thickBot="1" x14ac:dyDescent="0.2">
      <c r="B2" s="17"/>
      <c r="C2" s="211" t="s">
        <v>0</v>
      </c>
      <c r="E2" s="203" t="s">
        <v>166</v>
      </c>
      <c r="F2" s="204"/>
      <c r="G2" s="204"/>
      <c r="H2" s="205"/>
      <c r="M2" s="203" t="s">
        <v>94</v>
      </c>
      <c r="N2" s="204"/>
      <c r="O2" s="204"/>
      <c r="P2" s="205"/>
      <c r="U2" s="203" t="s">
        <v>66</v>
      </c>
      <c r="V2" s="204"/>
      <c r="W2" s="204"/>
      <c r="X2" s="205"/>
      <c r="AC2" s="203" t="s">
        <v>154</v>
      </c>
      <c r="AD2" s="204"/>
      <c r="AE2" s="204"/>
      <c r="AF2" s="205"/>
      <c r="AK2" s="203" t="s">
        <v>143</v>
      </c>
      <c r="AL2" s="204"/>
      <c r="AM2" s="204"/>
      <c r="AN2" s="205"/>
      <c r="AS2" s="203" t="s">
        <v>138</v>
      </c>
      <c r="AT2" s="204"/>
      <c r="AU2" s="204"/>
      <c r="AV2" s="205"/>
    </row>
    <row r="3" spans="2:55" ht="12" customHeight="1" thickBot="1" x14ac:dyDescent="0.2">
      <c r="B3" s="17"/>
      <c r="C3" s="212"/>
      <c r="E3" s="206"/>
      <c r="F3" s="207"/>
      <c r="G3" s="207"/>
      <c r="H3" s="208"/>
      <c r="M3" s="206"/>
      <c r="N3" s="207"/>
      <c r="O3" s="207"/>
      <c r="P3" s="208"/>
      <c r="U3" s="206"/>
      <c r="V3" s="207"/>
      <c r="W3" s="207"/>
      <c r="X3" s="208"/>
      <c r="AC3" s="206"/>
      <c r="AD3" s="207"/>
      <c r="AE3" s="207"/>
      <c r="AF3" s="208"/>
      <c r="AK3" s="206"/>
      <c r="AL3" s="207"/>
      <c r="AM3" s="207"/>
      <c r="AN3" s="208"/>
      <c r="AS3" s="206"/>
      <c r="AT3" s="207"/>
      <c r="AU3" s="207"/>
      <c r="AV3" s="208"/>
    </row>
    <row r="4" spans="2:55" ht="12.75" customHeight="1" thickTop="1" thickBot="1" x14ac:dyDescent="0.2">
      <c r="B4" s="17"/>
      <c r="C4" s="213"/>
      <c r="E4" s="5" t="s">
        <v>33</v>
      </c>
      <c r="F4" s="6" t="s">
        <v>34</v>
      </c>
      <c r="G4" s="6" t="s">
        <v>35</v>
      </c>
      <c r="H4" s="7" t="s">
        <v>36</v>
      </c>
      <c r="J4" s="30">
        <v>2022</v>
      </c>
      <c r="K4" s="10"/>
      <c r="M4" s="5" t="s">
        <v>33</v>
      </c>
      <c r="N4" s="6" t="s">
        <v>34</v>
      </c>
      <c r="O4" s="6" t="s">
        <v>35</v>
      </c>
      <c r="P4" s="7" t="s">
        <v>36</v>
      </c>
      <c r="Q4" s="4">
        <v>2019</v>
      </c>
      <c r="R4" s="30">
        <v>2022</v>
      </c>
      <c r="S4" s="10"/>
      <c r="U4" s="5" t="s">
        <v>33</v>
      </c>
      <c r="V4" s="6" t="s">
        <v>34</v>
      </c>
      <c r="W4" s="6" t="s">
        <v>35</v>
      </c>
      <c r="X4" s="7" t="s">
        <v>36</v>
      </c>
      <c r="Z4" s="30">
        <v>2022</v>
      </c>
      <c r="AA4" s="10"/>
      <c r="AC4" s="5" t="s">
        <v>33</v>
      </c>
      <c r="AD4" s="6" t="s">
        <v>34</v>
      </c>
      <c r="AE4" s="6" t="s">
        <v>35</v>
      </c>
      <c r="AF4" s="7" t="s">
        <v>36</v>
      </c>
      <c r="AG4" s="30">
        <v>2019</v>
      </c>
      <c r="AH4" s="30">
        <v>2022</v>
      </c>
      <c r="AI4" s="10"/>
      <c r="AK4" s="5" t="s">
        <v>33</v>
      </c>
      <c r="AL4" s="6" t="s">
        <v>34</v>
      </c>
      <c r="AM4" s="6" t="s">
        <v>35</v>
      </c>
      <c r="AN4" s="7" t="s">
        <v>36</v>
      </c>
      <c r="AP4" s="30">
        <v>2022</v>
      </c>
      <c r="AQ4" s="10"/>
      <c r="AS4" s="5" t="s">
        <v>33</v>
      </c>
      <c r="AT4" s="6" t="s">
        <v>34</v>
      </c>
      <c r="AU4" s="6" t="s">
        <v>35</v>
      </c>
      <c r="AV4" s="7" t="s">
        <v>36</v>
      </c>
      <c r="AX4" s="30">
        <v>2022</v>
      </c>
      <c r="AY4" s="10"/>
      <c r="BA4" s="209" t="s">
        <v>37</v>
      </c>
      <c r="BB4" s="210"/>
    </row>
    <row r="5" spans="2:55" ht="13" thickTop="1" x14ac:dyDescent="0.15">
      <c r="B5" s="31">
        <v>10000</v>
      </c>
      <c r="C5" s="88" t="s">
        <v>1</v>
      </c>
      <c r="E5" s="22"/>
      <c r="F5" s="23">
        <f>IF(ISERROR(VLOOKUP($B5,[1]Hedef!$A$4:$ES$45409,19,0)),0,VLOOKUP($B5,[1]Hedef!$A$4:$ES$45409,19,0))</f>
        <v>0.474435</v>
      </c>
      <c r="G5" s="21" t="str">
        <f t="shared" ref="G5:G12" si="0">IF((E5-F5)&lt;0, "-", (E5-F5))</f>
        <v>-</v>
      </c>
      <c r="H5" s="80" t="e">
        <f>TRUNC(IF((F5/E5)&gt;1.2,"120%",(F5/E5)),2)</f>
        <v>#DIV/0!</v>
      </c>
      <c r="J5" s="44">
        <v>2.3206600000000002</v>
      </c>
      <c r="K5" s="11">
        <f>IF(ISERROR((F5-J5)/J5),0,(F5-J5)/J5)</f>
        <v>-0.79556031473804867</v>
      </c>
      <c r="M5" s="22"/>
      <c r="N5" s="23">
        <f>IF(ISERROR(VLOOKUP($B5,[1]Hedef!$A$4:$ES$45409,17,0)),0,VLOOKUP($B5,[1]Hedef!$A$4:$ES$45409,17,0))</f>
        <v>0.415155</v>
      </c>
      <c r="O5" s="21" t="str">
        <f t="shared" ref="O5:O12" si="1">IF((M5-N5)&lt;0, "-", (M5-N5))</f>
        <v>-</v>
      </c>
      <c r="P5" s="80" t="e">
        <f t="shared" ref="P5:P12" si="2">TRUNC(IF((N5/M5)&gt;1.2,"120%",(N5/M5)),2)</f>
        <v>#DIV/0!</v>
      </c>
      <c r="R5" s="44">
        <v>4.3424999999999994</v>
      </c>
      <c r="S5" s="11">
        <f>IF(ISERROR((N5-R5)/R5),0,(N5-R5)/R5)</f>
        <v>-0.90439723661485316</v>
      </c>
      <c r="U5" s="22"/>
      <c r="V5" s="23">
        <f>IF(ISERROR(VLOOKUP($B5,[1]Hedef!$A$4:$ES$45409,5,0)),0,VLOOKUP($B5,[1]Hedef!$A$4:$ES$45409,5,0))</f>
        <v>0</v>
      </c>
      <c r="W5" s="21">
        <f t="shared" ref="W5:W12" si="3">IF((U5-V5)&lt;0, "-", (U5-V5))</f>
        <v>0</v>
      </c>
      <c r="X5" s="80" t="e">
        <f t="shared" ref="X5:X12" si="4">TRUNC(IF((V5/U5)&gt;1.2,"120%",(V5/U5)),2)</f>
        <v>#DIV/0!</v>
      </c>
      <c r="Z5" s="44">
        <v>1.5709499999999998</v>
      </c>
      <c r="AA5" s="11">
        <f>IF(ISERROR((V5-Z5)/Z5),0,(V5-Z5)/Z5)</f>
        <v>-1</v>
      </c>
      <c r="AC5" s="22"/>
      <c r="AD5" s="23">
        <f>IF(ISERROR(VLOOKUP($B5,[1]Hedef!$A$4:$ES$45409,7,0)),0,VLOOKUP($B5,[1]Hedef!$A$4:$ES$45409,7,0))</f>
        <v>0.13300000000000001</v>
      </c>
      <c r="AE5" s="21" t="str">
        <f t="shared" ref="AE5:AE12" si="5">IF((AC5-AD5)&lt;0, "-", (AC5-AD5))</f>
        <v>-</v>
      </c>
      <c r="AF5" s="80" t="e">
        <f t="shared" ref="AF5:AF12" si="6">TRUNC(IF((AD5/AC5)&gt;1.2,"120%",(AD5/AC5)),2)</f>
        <v>#DIV/0!</v>
      </c>
      <c r="AH5" s="44">
        <v>1.3411899999999997</v>
      </c>
      <c r="AI5" s="11">
        <f>IF(ISERROR((AD5-AH5)/AH5),0,(AD5-AH5)/AH5)</f>
        <v>-0.90083433368873911</v>
      </c>
      <c r="AK5" s="22"/>
      <c r="AL5" s="23">
        <f>IF(ISERROR(VLOOKUP($B5,[1]Hedef!$A$4:$ES$45409,9,0)),0,VLOOKUP($B5,[1]Hedef!$A$4:$ES$45409,9,0))</f>
        <v>0</v>
      </c>
      <c r="AM5" s="21">
        <f t="shared" ref="AM5:AM12" si="7">IF((AK5-AL5)&lt;0, "-", (AK5-AL5))</f>
        <v>0</v>
      </c>
      <c r="AN5" s="80"/>
      <c r="AP5" s="44">
        <v>0</v>
      </c>
      <c r="AQ5" s="11">
        <f>IF(ISERROR((AL5-AP5)/AP5),0,(AL5-AP5)/AP5)</f>
        <v>0</v>
      </c>
      <c r="AS5" s="22">
        <f t="shared" ref="AS5:AT12" si="8">+E5+M5+U5+AC5+AK5</f>
        <v>0</v>
      </c>
      <c r="AT5" s="23">
        <f t="shared" si="8"/>
        <v>1.0225900000000001</v>
      </c>
      <c r="AU5" s="21" t="str">
        <f t="shared" ref="AU5:AU12" si="9">IF((AS5-AT5)&lt;0, "-", (AS5-AT5))</f>
        <v>-</v>
      </c>
      <c r="AV5" s="80" t="e">
        <f t="shared" ref="AV5:AV12" si="10">TRUNC(IF((AT5/AS5)&gt;1.2,"120%",(AT5/AS5)),2)</f>
        <v>#DIV/0!</v>
      </c>
      <c r="AX5" s="44">
        <f t="shared" ref="AX5:AX12" si="11">+R5+J5+Z5+AH5+AP5</f>
        <v>9.5752999999999986</v>
      </c>
      <c r="AY5" s="11">
        <f>IF(ISERROR((AT5-AX5)/AX5),0,(AT5-AX5)/AX5)</f>
        <v>-0.89320543481666359</v>
      </c>
      <c r="AZ5" s="45"/>
      <c r="BA5" s="12">
        <f>AS5-'GENEL HEDEF'!E5</f>
        <v>-9.9</v>
      </c>
      <c r="BB5" s="15">
        <f>AT5-'GENEL HEDEF'!F5</f>
        <v>0</v>
      </c>
      <c r="BC5" s="86">
        <f>BA5*-1</f>
        <v>9.9</v>
      </c>
    </row>
    <row r="6" spans="2:55" x14ac:dyDescent="0.15">
      <c r="B6" s="18">
        <v>2</v>
      </c>
      <c r="C6" s="1" t="s">
        <v>2</v>
      </c>
      <c r="E6" s="22"/>
      <c r="F6" s="23">
        <f>IF(ISERROR(VLOOKUP($B6,[1]Hedef!$A$4:$ES$45409,19,0)),0,VLOOKUP($B6,[1]Hedef!$A$4:$ES$45409,19,0))</f>
        <v>1.367</v>
      </c>
      <c r="G6" s="23" t="str">
        <f t="shared" si="0"/>
        <v>-</v>
      </c>
      <c r="H6" s="80" t="e">
        <f t="shared" ref="H6:H12" si="12">TRUNC(IF((F6/E6)&gt;1.2,"120%",(F6/E6)),2)</f>
        <v>#DIV/0!</v>
      </c>
      <c r="J6" s="44">
        <v>1.9234999999999998</v>
      </c>
      <c r="K6" s="11">
        <f>IF(ISERROR((F6-J6)/J6),0,(F6-J6)/J6)</f>
        <v>-0.28931635040291126</v>
      </c>
      <c r="M6" s="22"/>
      <c r="N6" s="23">
        <f>IF(ISERROR(VLOOKUP($B6,[1]Hedef!$A$4:$ES$45409,17,0)),0,VLOOKUP($B6,[1]Hedef!$A$4:$ES$45409,17,0))</f>
        <v>2.9059999999999997</v>
      </c>
      <c r="O6" s="23" t="str">
        <f t="shared" si="1"/>
        <v>-</v>
      </c>
      <c r="P6" s="80" t="e">
        <f t="shared" si="2"/>
        <v>#DIV/0!</v>
      </c>
      <c r="R6" s="44">
        <v>0.34325</v>
      </c>
      <c r="S6" s="11">
        <f>IF(ISERROR((N6-R6)/R6),0,(N6-R6)/R6)</f>
        <v>7.4661325564457393</v>
      </c>
      <c r="U6" s="22"/>
      <c r="V6" s="23">
        <f>IF(ISERROR(VLOOKUP($B6,[1]Hedef!$A$4:$ES$45409,5,0)),0,VLOOKUP($B6,[1]Hedef!$A$4:$ES$45409,5,0))</f>
        <v>0.67</v>
      </c>
      <c r="W6" s="23" t="str">
        <f t="shared" si="3"/>
        <v>-</v>
      </c>
      <c r="X6" s="80" t="e">
        <f t="shared" si="4"/>
        <v>#DIV/0!</v>
      </c>
      <c r="Z6" s="44">
        <v>1.2149999999999999</v>
      </c>
      <c r="AA6" s="11">
        <f>IF(ISERROR((V6-Z6)/Z6),0,(V6-Z6)/Z6)</f>
        <v>-0.44855967078189291</v>
      </c>
      <c r="AC6" s="22"/>
      <c r="AD6" s="23">
        <f>IF(ISERROR(VLOOKUP($B6,[1]Hedef!$A$4:$ES$45409,7,0)),0,VLOOKUP($B6,[1]Hedef!$A$4:$ES$45409,7,0))</f>
        <v>1.0995000000000001</v>
      </c>
      <c r="AE6" s="23" t="str">
        <f t="shared" si="5"/>
        <v>-</v>
      </c>
      <c r="AF6" s="80" t="e">
        <f t="shared" si="6"/>
        <v>#DIV/0!</v>
      </c>
      <c r="AH6" s="44">
        <v>1.7909999999999999</v>
      </c>
      <c r="AI6" s="11">
        <f>IF(ISERROR((AD6-AH6)/AH6),0,(AD6-AH6)/AH6)</f>
        <v>-0.3860971524288106</v>
      </c>
      <c r="AK6" s="22"/>
      <c r="AL6" s="23">
        <f>IF(ISERROR(VLOOKUP($B6,[1]Hedef!$A$4:$ES$45409,9,0)),0,VLOOKUP($B6,[1]Hedef!$A$4:$ES$45409,9,0))</f>
        <v>0</v>
      </c>
      <c r="AM6" s="23">
        <f t="shared" si="7"/>
        <v>0</v>
      </c>
      <c r="AN6" s="80" t="e">
        <f t="shared" ref="AN6:AN8" si="13">TRUNC(IF((AL6/AK6)&gt;1.2,"120%",(AL6/AK6)),2)</f>
        <v>#DIV/0!</v>
      </c>
      <c r="AP6" s="44">
        <v>0</v>
      </c>
      <c r="AQ6" s="11">
        <f>IF(ISERROR((AL6-AP6)/AP6),0,(AL6-AP6)/AP6)</f>
        <v>0</v>
      </c>
      <c r="AS6" s="22">
        <f t="shared" si="8"/>
        <v>0</v>
      </c>
      <c r="AT6" s="23">
        <f t="shared" si="8"/>
        <v>6.0424999999999995</v>
      </c>
      <c r="AU6" s="23" t="str">
        <f t="shared" si="9"/>
        <v>-</v>
      </c>
      <c r="AV6" s="80" t="e">
        <f t="shared" si="10"/>
        <v>#DIV/0!</v>
      </c>
      <c r="AX6" s="44">
        <f t="shared" si="11"/>
        <v>5.2727499999999994</v>
      </c>
      <c r="AY6" s="11">
        <f>IF(ISERROR((AT6-AX6)/AX6),0,(AT6-AX6)/AX6)</f>
        <v>0.14598643971362196</v>
      </c>
      <c r="AZ6" s="45"/>
      <c r="BA6" s="12">
        <f>AS6-'GENEL HEDEF'!E6</f>
        <v>-10</v>
      </c>
      <c r="BB6" s="15">
        <f>AT6-'GENEL HEDEF'!F6</f>
        <v>0</v>
      </c>
      <c r="BC6" s="86">
        <f t="shared" ref="BC6:BC57" si="14">BA6*-1</f>
        <v>10</v>
      </c>
    </row>
    <row r="7" spans="2:55" x14ac:dyDescent="0.15">
      <c r="B7" s="18">
        <v>3</v>
      </c>
      <c r="C7" s="1" t="s">
        <v>65</v>
      </c>
      <c r="E7" s="22"/>
      <c r="F7" s="23">
        <f>IF(ISERROR(VLOOKUP($B7,[1]Hedef!$A$4:$ES$45409,19,0)),0,VLOOKUP($B7,[1]Hedef!$A$4:$ES$45409,19,0))</f>
        <v>0.38400000000000001</v>
      </c>
      <c r="G7" s="23" t="str">
        <f t="shared" si="0"/>
        <v>-</v>
      </c>
      <c r="H7" s="80" t="e">
        <f t="shared" si="12"/>
        <v>#DIV/0!</v>
      </c>
      <c r="J7" s="44">
        <v>0.39380000000000004</v>
      </c>
      <c r="K7" s="11">
        <f>IF(ISERROR((F7-J7)/J7),0,(F7-J7)/J7)</f>
        <v>-2.4885728796343397E-2</v>
      </c>
      <c r="M7" s="22"/>
      <c r="N7" s="23">
        <f>IF(ISERROR(VLOOKUP($B7,[1]Hedef!$A$4:$ES$45409,17,0)),0,VLOOKUP($B7,[1]Hedef!$A$4:$ES$45409,17,0))</f>
        <v>1.6E-2</v>
      </c>
      <c r="O7" s="23" t="str">
        <f t="shared" si="1"/>
        <v>-</v>
      </c>
      <c r="P7" s="80" t="e">
        <f t="shared" si="2"/>
        <v>#DIV/0!</v>
      </c>
      <c r="R7" s="44">
        <v>5.96E-2</v>
      </c>
      <c r="S7" s="11">
        <f>IF(ISERROR((N7-R7)/R7),0,(N7-R7)/R7)</f>
        <v>-0.73154362416107377</v>
      </c>
      <c r="U7" s="22"/>
      <c r="V7" s="23">
        <f>IF(ISERROR(VLOOKUP($B7,[1]Hedef!$A$4:$ES$45409,5,0)),0,VLOOKUP($B7,[1]Hedef!$A$4:$ES$45409,5,0))</f>
        <v>0</v>
      </c>
      <c r="W7" s="23">
        <f t="shared" si="3"/>
        <v>0</v>
      </c>
      <c r="X7" s="80" t="e">
        <f t="shared" si="4"/>
        <v>#DIV/0!</v>
      </c>
      <c r="Z7" s="44">
        <v>0.06</v>
      </c>
      <c r="AA7" s="11">
        <f>IF(ISERROR((V7-Z7)/Z7),0,(V7-Z7)/Z7)</f>
        <v>-1</v>
      </c>
      <c r="AC7" s="22"/>
      <c r="AD7" s="23">
        <f>IF(ISERROR(VLOOKUP($B7,[1]Hedef!$A$4:$ES$45409,7,0)),0,VLOOKUP($B7,[1]Hedef!$A$4:$ES$45409,7,0))</f>
        <v>6.9000000000000006E-2</v>
      </c>
      <c r="AE7" s="23" t="str">
        <f t="shared" si="5"/>
        <v>-</v>
      </c>
      <c r="AF7" s="80" t="e">
        <f t="shared" si="6"/>
        <v>#DIV/0!</v>
      </c>
      <c r="AH7" s="44">
        <v>7.2000000000000008E-2</v>
      </c>
      <c r="AI7" s="11">
        <f>IF(ISERROR((AD7-AH7)/AH7),0,(AD7-AH7)/AH7)</f>
        <v>-4.1666666666666699E-2</v>
      </c>
      <c r="AK7" s="22"/>
      <c r="AL7" s="23">
        <f>IF(ISERROR(VLOOKUP($B7,[1]Hedef!$A$4:$ES$45409,9,0)),0,VLOOKUP($B7,[1]Hedef!$A$4:$ES$45409,9,0))</f>
        <v>0.06</v>
      </c>
      <c r="AM7" s="23" t="str">
        <f t="shared" si="7"/>
        <v>-</v>
      </c>
      <c r="AN7" s="80" t="e">
        <f t="shared" si="13"/>
        <v>#DIV/0!</v>
      </c>
      <c r="AP7" s="44">
        <v>2.1716000000000002</v>
      </c>
      <c r="AQ7" s="11">
        <f>IF(ISERROR((AL7-AP7)/AP7),0,(AL7-AP7)/AP7)</f>
        <v>-0.97237060232086936</v>
      </c>
      <c r="AS7" s="22">
        <f t="shared" si="8"/>
        <v>0</v>
      </c>
      <c r="AT7" s="23">
        <f t="shared" si="8"/>
        <v>0.52900000000000003</v>
      </c>
      <c r="AU7" s="23" t="str">
        <f t="shared" si="9"/>
        <v>-</v>
      </c>
      <c r="AV7" s="80" t="e">
        <f t="shared" si="10"/>
        <v>#DIV/0!</v>
      </c>
      <c r="AX7" s="44">
        <f t="shared" si="11"/>
        <v>2.7570000000000006</v>
      </c>
      <c r="AY7" s="11">
        <f>IF(ISERROR((AT7-AX7)/AX7),0,(AT7-AX7)/AX7)</f>
        <v>-0.80812477330431631</v>
      </c>
      <c r="AZ7" s="45"/>
      <c r="BA7" s="12">
        <f>AS7-'GENEL HEDEF'!E7</f>
        <v>-14.8</v>
      </c>
      <c r="BB7" s="15">
        <f>AT7-'GENEL HEDEF'!F7</f>
        <v>0</v>
      </c>
      <c r="BC7" s="86">
        <f t="shared" si="14"/>
        <v>14.8</v>
      </c>
    </row>
    <row r="8" spans="2:55" x14ac:dyDescent="0.15">
      <c r="B8" s="18">
        <v>4</v>
      </c>
      <c r="C8" s="1" t="s">
        <v>3</v>
      </c>
      <c r="E8" s="22"/>
      <c r="F8" s="23">
        <f>IF(ISERROR(VLOOKUP($B8,[1]Hedef!$A$4:$ES$45409,19,0)),0,VLOOKUP($B8,[1]Hedef!$A$4:$ES$45409,19,0))</f>
        <v>0.66500000000000004</v>
      </c>
      <c r="G8" s="23" t="str">
        <f t="shared" si="0"/>
        <v>-</v>
      </c>
      <c r="H8" s="80" t="e">
        <f t="shared" si="12"/>
        <v>#DIV/0!</v>
      </c>
      <c r="J8" s="44">
        <v>6.6164999999999985</v>
      </c>
      <c r="K8" s="11">
        <f t="shared" ref="K8:K16" si="15">IF(ISERROR((F8-J8)/J8),0,(F8-J8)/J8)</f>
        <v>-0.89949369001738078</v>
      </c>
      <c r="M8" s="22"/>
      <c r="N8" s="23">
        <f>IF(ISERROR(VLOOKUP($B8,[1]Hedef!$A$4:$ES$45409,17,0)),0,VLOOKUP($B8,[1]Hedef!$A$4:$ES$45409,17,0))</f>
        <v>2.7E-2</v>
      </c>
      <c r="O8" s="23" t="str">
        <f t="shared" si="1"/>
        <v>-</v>
      </c>
      <c r="P8" s="80" t="e">
        <f t="shared" si="2"/>
        <v>#DIV/0!</v>
      </c>
      <c r="R8" s="44">
        <v>2.2880000000000003</v>
      </c>
      <c r="S8" s="11">
        <f t="shared" ref="S8:S16" si="16">IF(ISERROR((N8-R8)/R8),0,(N8-R8)/R8)</f>
        <v>-0.98819930069930062</v>
      </c>
      <c r="U8" s="22"/>
      <c r="V8" s="23">
        <f>IF(ISERROR(VLOOKUP($B8,[1]Hedef!$A$4:$ES$45409,5,0)),0,VLOOKUP($B8,[1]Hedef!$A$4:$ES$45409,5,0))</f>
        <v>1.4999999999999999E-2</v>
      </c>
      <c r="W8" s="23" t="str">
        <f t="shared" si="3"/>
        <v>-</v>
      </c>
      <c r="X8" s="80" t="e">
        <f t="shared" si="4"/>
        <v>#DIV/0!</v>
      </c>
      <c r="Z8" s="44">
        <v>1.9420000000000002</v>
      </c>
      <c r="AA8" s="11">
        <f t="shared" ref="AA8:AA16" si="17">IF(ISERROR((V8-Z8)/Z8),0,(V8-Z8)/Z8)</f>
        <v>-0.99227600411946448</v>
      </c>
      <c r="AC8" s="22"/>
      <c r="AD8" s="23">
        <f>IF(ISERROR(VLOOKUP($B8,[1]Hedef!$A$4:$ES$45409,7,0)),0,VLOOKUP($B8,[1]Hedef!$A$4:$ES$45409,7,0))</f>
        <v>0.20400000000000001</v>
      </c>
      <c r="AE8" s="23" t="str">
        <f t="shared" si="5"/>
        <v>-</v>
      </c>
      <c r="AF8" s="80" t="e">
        <f t="shared" si="6"/>
        <v>#DIV/0!</v>
      </c>
      <c r="AH8" s="44">
        <v>2.278</v>
      </c>
      <c r="AI8" s="11">
        <f t="shared" ref="AI8:AI12" si="18">IF(ISERROR((AD8-AH8)/AH8),0,(AD8-AH8)/AH8)</f>
        <v>-0.91044776119402981</v>
      </c>
      <c r="AK8" s="22"/>
      <c r="AL8" s="23">
        <f>IF(ISERROR(VLOOKUP($B8,[1]Hedef!$A$4:$ES$45409,9,0)),0,VLOOKUP($B8,[1]Hedef!$A$4:$ES$45409,9,0))</f>
        <v>0.58499999999999996</v>
      </c>
      <c r="AM8" s="23" t="str">
        <f t="shared" si="7"/>
        <v>-</v>
      </c>
      <c r="AN8" s="80" t="e">
        <f t="shared" si="13"/>
        <v>#DIV/0!</v>
      </c>
      <c r="AP8" s="44">
        <v>3.2850000000000001</v>
      </c>
      <c r="AQ8" s="11">
        <f t="shared" ref="AQ8:AQ12" si="19">IF(ISERROR((AL8-AP8)/AP8),0,(AL8-AP8)/AP8)</f>
        <v>-0.82191780821917815</v>
      </c>
      <c r="AS8" s="22">
        <f t="shared" si="8"/>
        <v>0</v>
      </c>
      <c r="AT8" s="23">
        <f t="shared" si="8"/>
        <v>1.496</v>
      </c>
      <c r="AU8" s="23" t="str">
        <f t="shared" si="9"/>
        <v>-</v>
      </c>
      <c r="AV8" s="80" t="e">
        <f t="shared" si="10"/>
        <v>#DIV/0!</v>
      </c>
      <c r="AX8" s="44">
        <f t="shared" si="11"/>
        <v>16.409500000000001</v>
      </c>
      <c r="AY8" s="11">
        <f t="shared" ref="AY8:AY16" si="20">IF(ISERROR((AT8-AX8)/AX8),0,(AT8-AX8)/AX8)</f>
        <v>-0.9088332977848198</v>
      </c>
      <c r="AZ8" s="45"/>
      <c r="BA8" s="12">
        <f>AS8-'GENEL HEDEF'!E8</f>
        <v>-15.75</v>
      </c>
      <c r="BB8" s="15">
        <f>AT8-'GENEL HEDEF'!F8</f>
        <v>0</v>
      </c>
      <c r="BC8" s="86">
        <f>BA8*-1</f>
        <v>15.75</v>
      </c>
    </row>
    <row r="9" spans="2:55" x14ac:dyDescent="0.15">
      <c r="B9" s="18">
        <v>5</v>
      </c>
      <c r="C9" s="1" t="s">
        <v>4</v>
      </c>
      <c r="E9" s="22"/>
      <c r="F9" s="23">
        <f>IF(ISERROR(VLOOKUP($B9,[1]Hedef!$A$4:$ES$45409,19,0)),0,VLOOKUP($B9,[1]Hedef!$A$4:$ES$45409,19,0))</f>
        <v>0.252</v>
      </c>
      <c r="G9" s="23" t="str">
        <f t="shared" si="0"/>
        <v>-</v>
      </c>
      <c r="H9" s="80" t="e">
        <f t="shared" si="12"/>
        <v>#DIV/0!</v>
      </c>
      <c r="J9" s="44">
        <v>0.96799999999999997</v>
      </c>
      <c r="K9" s="11">
        <f t="shared" si="15"/>
        <v>-0.73966942148760328</v>
      </c>
      <c r="M9" s="22"/>
      <c r="N9" s="23">
        <f>IF(ISERROR(VLOOKUP($B9,[1]Hedef!$A$4:$ES$45409,17,0)),0,VLOOKUP($B9,[1]Hedef!$A$4:$ES$45409,17,0))</f>
        <v>1.2E-2</v>
      </c>
      <c r="O9" s="23" t="str">
        <f t="shared" si="1"/>
        <v>-</v>
      </c>
      <c r="P9" s="80" t="e">
        <f t="shared" si="2"/>
        <v>#DIV/0!</v>
      </c>
      <c r="R9" s="44">
        <v>0.748</v>
      </c>
      <c r="S9" s="11">
        <f t="shared" si="16"/>
        <v>-0.98395721925133683</v>
      </c>
      <c r="U9" s="22"/>
      <c r="V9" s="23">
        <f>IF(ISERROR(VLOOKUP($B9,[1]Hedef!$A$4:$ES$45409,5,0)),0,VLOOKUP($B9,[1]Hedef!$A$4:$ES$45409,5,0))</f>
        <v>0.14400000000000002</v>
      </c>
      <c r="W9" s="23" t="str">
        <f t="shared" si="3"/>
        <v>-</v>
      </c>
      <c r="X9" s="80" t="e">
        <f t="shared" si="4"/>
        <v>#DIV/0!</v>
      </c>
      <c r="Z9" s="44">
        <v>0.49199999999999999</v>
      </c>
      <c r="AA9" s="11">
        <f t="shared" si="17"/>
        <v>-0.70731707317073167</v>
      </c>
      <c r="AC9" s="22"/>
      <c r="AD9" s="23">
        <f>IF(ISERROR(VLOOKUP($B9,[1]Hedef!$A$4:$ES$45409,7,0)),0,VLOOKUP($B9,[1]Hedef!$A$4:$ES$45409,7,0))</f>
        <v>0</v>
      </c>
      <c r="AE9" s="23">
        <f t="shared" si="5"/>
        <v>0</v>
      </c>
      <c r="AF9" s="80" t="e">
        <f t="shared" si="6"/>
        <v>#DIV/0!</v>
      </c>
      <c r="AH9" s="44">
        <v>2.4E-2</v>
      </c>
      <c r="AI9" s="11">
        <f t="shared" si="18"/>
        <v>-1</v>
      </c>
      <c r="AK9" s="22"/>
      <c r="AL9" s="23">
        <f>IF(ISERROR(VLOOKUP($B9,[1]Hedef!$A$4:$ES$45409,9,0)),0,VLOOKUP($B9,[1]Hedef!$A$4:$ES$45409,9,0))</f>
        <v>0</v>
      </c>
      <c r="AM9" s="23">
        <f t="shared" si="7"/>
        <v>0</v>
      </c>
      <c r="AN9" s="80"/>
      <c r="AP9" s="44">
        <v>0</v>
      </c>
      <c r="AQ9" s="11">
        <f t="shared" si="19"/>
        <v>0</v>
      </c>
      <c r="AS9" s="22">
        <f t="shared" si="8"/>
        <v>0</v>
      </c>
      <c r="AT9" s="23">
        <f t="shared" si="8"/>
        <v>0.40800000000000003</v>
      </c>
      <c r="AU9" s="23" t="str">
        <f t="shared" si="9"/>
        <v>-</v>
      </c>
      <c r="AV9" s="80" t="e">
        <f t="shared" si="10"/>
        <v>#DIV/0!</v>
      </c>
      <c r="AX9" s="44">
        <f t="shared" si="11"/>
        <v>2.2320000000000002</v>
      </c>
      <c r="AY9" s="11">
        <f t="shared" si="20"/>
        <v>-0.81720430107526887</v>
      </c>
      <c r="AZ9" s="45"/>
      <c r="BA9" s="12">
        <f>AS9-'GENEL HEDEF'!E9</f>
        <v>-2.4</v>
      </c>
      <c r="BB9" s="15">
        <f>AT9-'GENEL HEDEF'!F9</f>
        <v>0</v>
      </c>
      <c r="BC9" s="86">
        <f t="shared" si="14"/>
        <v>2.4</v>
      </c>
    </row>
    <row r="10" spans="2:55" x14ac:dyDescent="0.15">
      <c r="B10" s="18">
        <v>6</v>
      </c>
      <c r="C10" s="1" t="s">
        <v>5</v>
      </c>
      <c r="E10" s="22"/>
      <c r="F10" s="23">
        <f>IF(ISERROR(VLOOKUP($B10,[1]Hedef!$A$4:$ES$45409,19,0)),0,VLOOKUP($B10,[1]Hedef!$A$4:$ES$45409,19,0))</f>
        <v>9.75E-3</v>
      </c>
      <c r="G10" s="23" t="str">
        <f t="shared" si="0"/>
        <v>-</v>
      </c>
      <c r="H10" s="80" t="e">
        <f t="shared" si="12"/>
        <v>#DIV/0!</v>
      </c>
      <c r="J10" s="44">
        <v>4.725E-2</v>
      </c>
      <c r="K10" s="11">
        <f t="shared" si="15"/>
        <v>-0.79365079365079361</v>
      </c>
      <c r="M10" s="22"/>
      <c r="N10" s="23">
        <f>IF(ISERROR(VLOOKUP($B10,[1]Hedef!$A$4:$ES$45409,17,0)),0,VLOOKUP($B10,[1]Hedef!$A$4:$ES$45409,17,0))</f>
        <v>0</v>
      </c>
      <c r="O10" s="23">
        <f t="shared" si="1"/>
        <v>0</v>
      </c>
      <c r="P10" s="80" t="e">
        <f t="shared" si="2"/>
        <v>#DIV/0!</v>
      </c>
      <c r="R10" s="44">
        <v>1.0499999999999999E-2</v>
      </c>
      <c r="S10" s="11">
        <f t="shared" si="16"/>
        <v>-1</v>
      </c>
      <c r="U10" s="22"/>
      <c r="V10" s="23">
        <f>IF(ISERROR(VLOOKUP($B10,[1]Hedef!$A$4:$ES$45409,5,0)),0,VLOOKUP($B10,[1]Hedef!$A$4:$ES$45409,5,0))</f>
        <v>0</v>
      </c>
      <c r="W10" s="23">
        <f t="shared" si="3"/>
        <v>0</v>
      </c>
      <c r="X10" s="80" t="e">
        <f t="shared" si="4"/>
        <v>#DIV/0!</v>
      </c>
      <c r="Z10" s="44">
        <v>8.2500000000000004E-3</v>
      </c>
      <c r="AA10" s="11">
        <f t="shared" si="17"/>
        <v>-1</v>
      </c>
      <c r="AC10" s="22"/>
      <c r="AD10" s="23">
        <f>IF(ISERROR(VLOOKUP($B10,[1]Hedef!$A$4:$ES$45409,7,0)),0,VLOOKUP($B10,[1]Hedef!$A$4:$ES$45409,7,0))</f>
        <v>0</v>
      </c>
      <c r="AE10" s="23">
        <f t="shared" si="5"/>
        <v>0</v>
      </c>
      <c r="AF10" s="80" t="e">
        <f t="shared" si="6"/>
        <v>#DIV/0!</v>
      </c>
      <c r="AH10" s="44">
        <v>0.10624999999999998</v>
      </c>
      <c r="AI10" s="11">
        <f t="shared" si="18"/>
        <v>-1</v>
      </c>
      <c r="AK10" s="22"/>
      <c r="AL10" s="23">
        <f>IF(ISERROR(VLOOKUP($B10,[1]Hedef!$A$4:$ES$45409,9,0)),0,VLOOKUP($B10,[1]Hedef!$A$4:$ES$45409,9,0))</f>
        <v>0</v>
      </c>
      <c r="AM10" s="23">
        <f t="shared" si="7"/>
        <v>0</v>
      </c>
      <c r="AN10" s="80"/>
      <c r="AP10" s="44">
        <v>0</v>
      </c>
      <c r="AQ10" s="11">
        <f t="shared" si="19"/>
        <v>0</v>
      </c>
      <c r="AS10" s="22">
        <f t="shared" si="8"/>
        <v>0</v>
      </c>
      <c r="AT10" s="23">
        <f t="shared" si="8"/>
        <v>9.75E-3</v>
      </c>
      <c r="AU10" s="23" t="str">
        <f t="shared" si="9"/>
        <v>-</v>
      </c>
      <c r="AV10" s="80" t="e">
        <f t="shared" si="10"/>
        <v>#DIV/0!</v>
      </c>
      <c r="AX10" s="44">
        <f t="shared" si="11"/>
        <v>0.17224999999999999</v>
      </c>
      <c r="AY10" s="11">
        <f t="shared" si="20"/>
        <v>-0.94339622641509424</v>
      </c>
      <c r="AZ10" s="45"/>
      <c r="BA10" s="12">
        <f>AS10-'GENEL HEDEF'!E10</f>
        <v>-0.2</v>
      </c>
      <c r="BB10" s="15">
        <f>AT10-'GENEL HEDEF'!F10</f>
        <v>0</v>
      </c>
      <c r="BC10" s="86">
        <f t="shared" si="14"/>
        <v>0.2</v>
      </c>
    </row>
    <row r="11" spans="2:55" x14ac:dyDescent="0.15">
      <c r="B11" s="31">
        <v>54</v>
      </c>
      <c r="C11" s="1" t="s">
        <v>151</v>
      </c>
      <c r="E11" s="22"/>
      <c r="F11" s="23">
        <f>IF(ISERROR(VLOOKUP($B11,[1]Hedef!$A$4:$ES$45409,19,0)),0,VLOOKUP($B11,[1]Hedef!$A$4:$ES$45409,19,0))</f>
        <v>0</v>
      </c>
      <c r="G11" s="23">
        <f t="shared" si="0"/>
        <v>0</v>
      </c>
      <c r="H11" s="80" t="e">
        <f t="shared" si="12"/>
        <v>#DIV/0!</v>
      </c>
      <c r="J11" s="44">
        <v>8.3400000000000002E-3</v>
      </c>
      <c r="K11" s="11">
        <f t="shared" si="15"/>
        <v>-1</v>
      </c>
      <c r="M11" s="22"/>
      <c r="N11" s="23">
        <f>IF(ISERROR(VLOOKUP($B11,[1]Hedef!$A$4:$ES$45409,17,0)),0,VLOOKUP($B11,[1]Hedef!$A$4:$ES$45409,17,0))</f>
        <v>0</v>
      </c>
      <c r="O11" s="23">
        <f t="shared" si="1"/>
        <v>0</v>
      </c>
      <c r="P11" s="80" t="e">
        <f t="shared" si="2"/>
        <v>#DIV/0!</v>
      </c>
      <c r="R11" s="44">
        <v>7.0000000000000007E-2</v>
      </c>
      <c r="S11" s="11">
        <f t="shared" si="16"/>
        <v>-1</v>
      </c>
      <c r="U11" s="22"/>
      <c r="V11" s="23">
        <f>IF(ISERROR(VLOOKUP($B11,[1]Hedef!$A$4:$ES$45409,5,0)),0,VLOOKUP($B11,[1]Hedef!$A$4:$ES$45409,5,0))</f>
        <v>0.02</v>
      </c>
      <c r="W11" s="23" t="str">
        <f t="shared" si="3"/>
        <v>-</v>
      </c>
      <c r="X11" s="80" t="e">
        <f t="shared" si="4"/>
        <v>#DIV/0!</v>
      </c>
      <c r="Z11" s="44">
        <v>0.14055000000000001</v>
      </c>
      <c r="AA11" s="11">
        <f t="shared" si="17"/>
        <v>-0.8577018854500178</v>
      </c>
      <c r="AC11" s="22"/>
      <c r="AD11" s="23">
        <f>IF(ISERROR(VLOOKUP($B11,[1]Hedef!$A$4:$ES$45409,7,0)),0,VLOOKUP($B11,[1]Hedef!$A$4:$ES$45409,7,0))</f>
        <v>0</v>
      </c>
      <c r="AE11" s="23">
        <f t="shared" si="5"/>
        <v>0</v>
      </c>
      <c r="AF11" s="80" t="e">
        <f t="shared" si="6"/>
        <v>#DIV/0!</v>
      </c>
      <c r="AH11" s="44">
        <v>5.0000000000000001E-3</v>
      </c>
      <c r="AI11" s="11">
        <f t="shared" si="18"/>
        <v>-1</v>
      </c>
      <c r="AK11" s="46"/>
      <c r="AL11" s="23">
        <f>IF(ISERROR(VLOOKUP($B11,[1]Hedef!$A$4:$ES$45409,9,0)),0,VLOOKUP($B11,[1]Hedef!$A$4:$ES$45409,9,0))</f>
        <v>0</v>
      </c>
      <c r="AM11" s="23">
        <f t="shared" si="7"/>
        <v>0</v>
      </c>
      <c r="AN11" s="80"/>
      <c r="AP11" s="44">
        <v>0</v>
      </c>
      <c r="AQ11" s="11">
        <f t="shared" si="19"/>
        <v>0</v>
      </c>
      <c r="AS11" s="22">
        <f t="shared" si="8"/>
        <v>0</v>
      </c>
      <c r="AT11" s="23">
        <f t="shared" si="8"/>
        <v>0.02</v>
      </c>
      <c r="AU11" s="23" t="str">
        <f t="shared" si="9"/>
        <v>-</v>
      </c>
      <c r="AV11" s="80" t="e">
        <f t="shared" si="10"/>
        <v>#DIV/0!</v>
      </c>
      <c r="AX11" s="44">
        <f t="shared" si="11"/>
        <v>0.22389000000000003</v>
      </c>
      <c r="AY11" s="11">
        <f t="shared" si="20"/>
        <v>-0.91067041850908936</v>
      </c>
      <c r="AZ11" s="45"/>
      <c r="BA11" s="12">
        <f>AS11-'GENEL HEDEF'!E11</f>
        <v>-0.27</v>
      </c>
      <c r="BB11" s="15">
        <f>AT11-'GENEL HEDEF'!F11</f>
        <v>0</v>
      </c>
      <c r="BC11" s="86">
        <f t="shared" si="14"/>
        <v>0.27</v>
      </c>
    </row>
    <row r="12" spans="2:55" ht="13" thickBot="1" x14ac:dyDescent="0.2">
      <c r="B12" s="18">
        <v>7</v>
      </c>
      <c r="C12" s="1" t="s">
        <v>6</v>
      </c>
      <c r="E12" s="22"/>
      <c r="F12" s="23">
        <f>IF(ISERROR(VLOOKUP($B12,[1]Hedef!$A$4:$ES$45409,19,0)),0,VLOOKUP($B12,[1]Hedef!$A$4:$ES$45409,19,0))</f>
        <v>3.8255999999999998E-2</v>
      </c>
      <c r="G12" s="23" t="str">
        <f t="shared" si="0"/>
        <v>-</v>
      </c>
      <c r="H12" s="80" t="e">
        <f t="shared" si="12"/>
        <v>#DIV/0!</v>
      </c>
      <c r="J12" s="44">
        <v>0.311276</v>
      </c>
      <c r="K12" s="11">
        <f t="shared" si="15"/>
        <v>-0.87709942302008503</v>
      </c>
      <c r="M12" s="22"/>
      <c r="N12" s="23">
        <f>IF(ISERROR(VLOOKUP($B12,[1]Hedef!$A$4:$ES$45409,17,0)),0,VLOOKUP($B12,[1]Hedef!$A$4:$ES$45409,17,0))</f>
        <v>0</v>
      </c>
      <c r="O12" s="23">
        <f t="shared" si="1"/>
        <v>0</v>
      </c>
      <c r="P12" s="80" t="e">
        <f t="shared" si="2"/>
        <v>#DIV/0!</v>
      </c>
      <c r="R12" s="44">
        <v>7.4787999999999993E-2</v>
      </c>
      <c r="S12" s="11">
        <f t="shared" si="16"/>
        <v>-1</v>
      </c>
      <c r="U12" s="22"/>
      <c r="V12" s="23">
        <f>IF(ISERROR(VLOOKUP($B12,[1]Hedef!$A$4:$ES$45409,5,0)),0,VLOOKUP($B12,[1]Hedef!$A$4:$ES$45409,5,0))</f>
        <v>0.132048</v>
      </c>
      <c r="W12" s="23" t="str">
        <f t="shared" si="3"/>
        <v>-</v>
      </c>
      <c r="X12" s="80" t="e">
        <f t="shared" si="4"/>
        <v>#DIV/0!</v>
      </c>
      <c r="Z12" s="44">
        <v>0.86976400000000009</v>
      </c>
      <c r="AA12" s="11">
        <f t="shared" si="17"/>
        <v>-0.84817950616489068</v>
      </c>
      <c r="AC12" s="22"/>
      <c r="AD12" s="23">
        <f>IF(ISERROR(VLOOKUP($B12,[1]Hedef!$A$4:$ES$45409,7,0)),0,VLOOKUP($B12,[1]Hedef!$A$4:$ES$45409,7,0))</f>
        <v>0.16800000000000001</v>
      </c>
      <c r="AE12" s="23" t="str">
        <f t="shared" si="5"/>
        <v>-</v>
      </c>
      <c r="AF12" s="80" t="e">
        <f t="shared" si="6"/>
        <v>#DIV/0!</v>
      </c>
      <c r="AH12" s="44">
        <v>0.60567199999999999</v>
      </c>
      <c r="AI12" s="11">
        <f t="shared" si="18"/>
        <v>-0.7226221453195788</v>
      </c>
      <c r="AK12" s="22"/>
      <c r="AL12" s="23">
        <f>IF(ISERROR(VLOOKUP($B12,[1]Hedef!$A$4:$ES$45409,9,0)),0,VLOOKUP($B12,[1]Hedef!$A$4:$ES$45409,9,0))</f>
        <v>0.128</v>
      </c>
      <c r="AM12" s="23" t="str">
        <f t="shared" si="7"/>
        <v>-</v>
      </c>
      <c r="AN12" s="80" t="e">
        <f>TRUNC(IF((AL12/AK12)&gt;1.2,"120%",(AL12/AK12)),2)</f>
        <v>#DIV/0!</v>
      </c>
      <c r="AP12" s="44">
        <v>0.64</v>
      </c>
      <c r="AQ12" s="11">
        <f t="shared" si="19"/>
        <v>-0.8</v>
      </c>
      <c r="AS12" s="22">
        <f t="shared" si="8"/>
        <v>0</v>
      </c>
      <c r="AT12" s="23">
        <f t="shared" si="8"/>
        <v>0.46630400000000005</v>
      </c>
      <c r="AU12" s="23" t="str">
        <f t="shared" si="9"/>
        <v>-</v>
      </c>
      <c r="AV12" s="80" t="e">
        <f t="shared" si="10"/>
        <v>#DIV/0!</v>
      </c>
      <c r="AX12" s="44">
        <f t="shared" si="11"/>
        <v>2.5015000000000001</v>
      </c>
      <c r="AY12" s="11">
        <f t="shared" si="20"/>
        <v>-0.81359024585248851</v>
      </c>
      <c r="AZ12" s="45"/>
      <c r="BA12" s="12">
        <f>AS12-'GENEL HEDEF'!E12</f>
        <v>-3</v>
      </c>
      <c r="BB12" s="15">
        <f>AT12-'GENEL HEDEF'!F12</f>
        <v>0</v>
      </c>
      <c r="BC12" s="86">
        <f t="shared" si="14"/>
        <v>3</v>
      </c>
    </row>
    <row r="13" spans="2:55" ht="14" thickTop="1" thickBot="1" x14ac:dyDescent="0.2">
      <c r="B13" s="18"/>
      <c r="C13" s="2" t="s">
        <v>7</v>
      </c>
      <c r="E13" s="67">
        <f>SUM(E5:E12)</f>
        <v>0</v>
      </c>
      <c r="F13" s="67">
        <f>SUM(F5:F12)</f>
        <v>3.1904409999999999</v>
      </c>
      <c r="G13" s="67">
        <f>SUM(G5:G12)</f>
        <v>0</v>
      </c>
      <c r="H13" s="39" t="e">
        <f>TRUNC(IF((F13/E13)&gt;1.2,"120%",(F13/E13)),2)</f>
        <v>#DIV/0!</v>
      </c>
      <c r="I13" s="109"/>
      <c r="J13" s="48"/>
      <c r="K13" s="48"/>
      <c r="L13" s="109"/>
      <c r="M13" s="67">
        <f>SUM(M5:M12)</f>
        <v>0</v>
      </c>
      <c r="N13" s="67">
        <f>SUM(N5:N12)</f>
        <v>3.3761549999999998</v>
      </c>
      <c r="O13" s="67">
        <f>SUM(O5:O12)</f>
        <v>0</v>
      </c>
      <c r="P13" s="39" t="e">
        <f>TRUNC(IF((N13/M13)&gt;1.2,"120%",(N13/M13)),2)</f>
        <v>#DIV/0!</v>
      </c>
      <c r="Q13" s="109"/>
      <c r="R13" s="48"/>
      <c r="S13" s="48"/>
      <c r="T13" s="109"/>
      <c r="U13" s="67">
        <f>SUM(U5:U12)</f>
        <v>0</v>
      </c>
      <c r="V13" s="67">
        <f>SUM(V5:V12)</f>
        <v>0.98104800000000014</v>
      </c>
      <c r="W13" s="67">
        <f>SUM(W5:W12)</f>
        <v>0</v>
      </c>
      <c r="X13" s="39" t="e">
        <f>TRUNC(IF((V13/U13)&gt;1.2,"120%",(V13/U13)),2)</f>
        <v>#DIV/0!</v>
      </c>
      <c r="Y13" s="78"/>
      <c r="Z13" s="48"/>
      <c r="AA13" s="48"/>
      <c r="AB13" s="109"/>
      <c r="AC13" s="67">
        <f>SUM(AC5:AC12)</f>
        <v>0</v>
      </c>
      <c r="AD13" s="67">
        <f>SUM(AD5:AD12)</f>
        <v>1.6735</v>
      </c>
      <c r="AE13" s="67">
        <f>SUM(AE5:AE12)</f>
        <v>0</v>
      </c>
      <c r="AF13" s="39" t="e">
        <f>TRUNC(IF((AD13/AC13)&gt;1.2,"120%",(AD13/AC13)),2)</f>
        <v>#DIV/0!</v>
      </c>
      <c r="AG13" s="109"/>
      <c r="AH13" s="48"/>
      <c r="AI13" s="48"/>
      <c r="AJ13" s="109"/>
      <c r="AK13" s="67">
        <f>SUM(AK5:AK12)</f>
        <v>0</v>
      </c>
      <c r="AL13" s="67">
        <f>SUM(AL5:AL12)</f>
        <v>0.77300000000000002</v>
      </c>
      <c r="AM13" s="67">
        <f>SUM(AM5:AM12)</f>
        <v>0</v>
      </c>
      <c r="AN13" s="39" t="e">
        <f>TRUNC(IF((AL13/AK13)&gt;1.2,"120%",(AL13/AK13)),2)</f>
        <v>#DIV/0!</v>
      </c>
      <c r="AO13" s="78"/>
      <c r="AP13" s="48"/>
      <c r="AQ13" s="48"/>
      <c r="AR13" s="109"/>
      <c r="AS13" s="67">
        <f>SUM(AS5:AS12)</f>
        <v>0</v>
      </c>
      <c r="AT13" s="67">
        <f>SUM(AT5:AT12)</f>
        <v>9.9941439999999986</v>
      </c>
      <c r="AU13" s="67">
        <f>SUM(AU5:AU12)</f>
        <v>0</v>
      </c>
      <c r="AV13" s="39" t="e">
        <f>TRUNC(IF((AT13/AS13)&gt;1.2,"120%",(AT13/AS13)),2)</f>
        <v>#DIV/0!</v>
      </c>
      <c r="AX13" s="67"/>
      <c r="AY13" s="48"/>
      <c r="AZ13" s="45"/>
      <c r="BA13" s="8"/>
      <c r="BB13" s="9"/>
      <c r="BC13" s="86">
        <f t="shared" si="14"/>
        <v>0</v>
      </c>
    </row>
    <row r="14" spans="2:55" ht="13" thickTop="1" x14ac:dyDescent="0.15">
      <c r="B14" s="18">
        <v>4000</v>
      </c>
      <c r="C14" s="1" t="s">
        <v>8</v>
      </c>
      <c r="E14" s="22"/>
      <c r="F14" s="23">
        <f>IF(ISERROR(VLOOKUP($B14,[1]Hedef!$A$4:$ES$45409,19,0)),0,VLOOKUP($B14,[1]Hedef!$A$4:$ES$45409,19,0))</f>
        <v>2.2499999999999999E-2</v>
      </c>
      <c r="G14" s="23" t="str">
        <f>IF((E14-F14)&lt;0, "-", (E14-F14))</f>
        <v>-</v>
      </c>
      <c r="H14" s="80" t="e">
        <f t="shared" ref="H14:H16" si="21">TRUNC(IF((F14/E14)&gt;1.2,"120%",(F14/E14)),2)</f>
        <v>#DIV/0!</v>
      </c>
      <c r="J14" s="44">
        <v>0.50869999999999993</v>
      </c>
      <c r="K14" s="11">
        <f t="shared" si="15"/>
        <v>-0.95576960880676232</v>
      </c>
      <c r="M14" s="22"/>
      <c r="N14" s="23">
        <f>IF(ISERROR(VLOOKUP($B14,[1]Hedef!$A$4:$ES$45409,17,0)),0,VLOOKUP($B14,[1]Hedef!$A$4:$ES$45409,17,0))</f>
        <v>2.6250000000000002E-2</v>
      </c>
      <c r="O14" s="23" t="str">
        <f>IF((M14-N14)&lt;0, "-", (M14-N14))</f>
        <v>-</v>
      </c>
      <c r="P14" s="80" t="e">
        <f t="shared" ref="P14:P16" si="22">TRUNC(IF((N14/M14)&gt;1.2,"120%",(N14/M14)),2)</f>
        <v>#DIV/0!</v>
      </c>
      <c r="R14" s="44">
        <v>0.89040000000000008</v>
      </c>
      <c r="S14" s="11">
        <f t="shared" si="16"/>
        <v>-0.97051886792452835</v>
      </c>
      <c r="U14" s="22"/>
      <c r="V14" s="23">
        <f>IF(ISERROR(VLOOKUP($B14,[1]Hedef!$A$4:$ES$45409,5,0)),0,VLOOKUP($B14,[1]Hedef!$A$4:$ES$45409,5,0))</f>
        <v>4.0000000000000001E-3</v>
      </c>
      <c r="W14" s="23" t="str">
        <f>IF((U14-V14)&lt;0, "-", (U14-V14))</f>
        <v>-</v>
      </c>
      <c r="X14" s="80"/>
      <c r="Z14" s="44">
        <v>2.5750000000000002E-2</v>
      </c>
      <c r="AA14" s="11">
        <f t="shared" si="17"/>
        <v>-0.84466019417475724</v>
      </c>
      <c r="AC14" s="22"/>
      <c r="AD14" s="23">
        <f>IF(ISERROR(VLOOKUP($B14,[1]Hedef!$A$4:$ES$45409,7,0)),0,VLOOKUP($B14,[1]Hedef!$A$4:$ES$45409,7,0))</f>
        <v>0.02</v>
      </c>
      <c r="AE14" s="23" t="str">
        <f>IF((AC14-AD14)&lt;0, "-", (AC14-AD14))</f>
        <v>-</v>
      </c>
      <c r="AF14" s="80"/>
      <c r="AH14" s="44">
        <v>4.7449999999999999E-2</v>
      </c>
      <c r="AI14" s="11">
        <f t="shared" ref="AI14:AI16" si="23">IF(ISERROR((AD14-AH14)/AH14),0,(AD14-AH14)/AH14)</f>
        <v>-0.57850368809272912</v>
      </c>
      <c r="AK14" s="22"/>
      <c r="AL14" s="23">
        <f>IF(ISERROR(VLOOKUP($B14,[1]Hedef!$A$4:$ES$45409,9,0)),0,VLOOKUP($B14,[1]Hedef!$A$4:$ES$45409,9,0))</f>
        <v>0</v>
      </c>
      <c r="AM14" s="23">
        <f>IF((AK14-AL14)&lt;0, "-", (AK14-AL14))</f>
        <v>0</v>
      </c>
      <c r="AN14" s="80"/>
      <c r="AP14" s="44">
        <v>0</v>
      </c>
      <c r="AQ14" s="11">
        <f t="shared" ref="AQ14:AQ16" si="24">IF(ISERROR((AL14-AP14)/AP14),0,(AL14-AP14)/AP14)</f>
        <v>0</v>
      </c>
      <c r="AS14" s="22">
        <f t="shared" ref="AS14:AT16" si="25">+E14+M14+U14+AC14+AK14</f>
        <v>0</v>
      </c>
      <c r="AT14" s="23">
        <f t="shared" si="25"/>
        <v>7.2750000000000009E-2</v>
      </c>
      <c r="AU14" s="23" t="str">
        <f>IF((AS14-AT14)&lt;0, "-", (AS14-AT14))</f>
        <v>-</v>
      </c>
      <c r="AV14" s="80" t="e">
        <f t="shared" ref="AV14:AV16" si="26">TRUNC(IF((AT14/AS14)&gt;1.2,"120%",(AT14/AS14)),2)</f>
        <v>#DIV/0!</v>
      </c>
      <c r="AX14" s="44">
        <f>+R14+J14+Z14+AH14+AP14</f>
        <v>1.4722999999999999</v>
      </c>
      <c r="AY14" s="11">
        <f t="shared" si="20"/>
        <v>-0.95058751613122316</v>
      </c>
      <c r="AZ14" s="45"/>
      <c r="BA14" s="12">
        <f>AS14-'GENEL HEDEF'!E14</f>
        <v>-1.46</v>
      </c>
      <c r="BB14" s="15">
        <f>AT14-'GENEL HEDEF'!F14</f>
        <v>0</v>
      </c>
      <c r="BC14" s="86">
        <f t="shared" si="14"/>
        <v>1.46</v>
      </c>
    </row>
    <row r="15" spans="2:55" x14ac:dyDescent="0.15">
      <c r="B15" s="18">
        <v>3000</v>
      </c>
      <c r="C15" s="1" t="s">
        <v>9</v>
      </c>
      <c r="E15" s="22"/>
      <c r="F15" s="23">
        <f>IF(ISERROR(VLOOKUP($B15,[1]Hedef!$A$4:$ES$45409,19,0)),0,VLOOKUP($B15,[1]Hedef!$A$4:$ES$45409,19,0))</f>
        <v>3.8500000000000001E-3</v>
      </c>
      <c r="G15" s="23" t="str">
        <f>IF((E15-F15)&lt;0, "-", (E15-F15))</f>
        <v>-</v>
      </c>
      <c r="H15" s="80" t="e">
        <f t="shared" si="21"/>
        <v>#DIV/0!</v>
      </c>
      <c r="J15" s="44">
        <v>0.11764999999999999</v>
      </c>
      <c r="K15" s="11">
        <f t="shared" si="15"/>
        <v>-0.96727581810454732</v>
      </c>
      <c r="M15" s="22"/>
      <c r="N15" s="23">
        <f>IF(ISERROR(VLOOKUP($B15,[1]Hedef!$A$4:$ES$45409,17,0)),0,VLOOKUP($B15,[1]Hedef!$A$4:$ES$45409,17,0))</f>
        <v>1.2999999999999999E-3</v>
      </c>
      <c r="O15" s="23" t="str">
        <f>IF((M15-N15)&lt;0, "-", (M15-N15))</f>
        <v>-</v>
      </c>
      <c r="P15" s="80" t="e">
        <f t="shared" si="22"/>
        <v>#DIV/0!</v>
      </c>
      <c r="R15" s="44">
        <v>7.3900000000000007E-2</v>
      </c>
      <c r="S15" s="11">
        <f t="shared" si="16"/>
        <v>-0.98240866035182683</v>
      </c>
      <c r="U15" s="22"/>
      <c r="V15" s="23">
        <f>IF(ISERROR(VLOOKUP($B15,[1]Hedef!$A$4:$ES$45409,5,0)),0,VLOOKUP($B15,[1]Hedef!$A$4:$ES$45409,5,0))</f>
        <v>2E-3</v>
      </c>
      <c r="W15" s="23" t="str">
        <f>IF((U15-V15)&lt;0, "-", (U15-V15))</f>
        <v>-</v>
      </c>
      <c r="X15" s="80"/>
      <c r="Z15" s="44">
        <v>2.605E-2</v>
      </c>
      <c r="AA15" s="11">
        <f t="shared" si="17"/>
        <v>-0.92322456813819587</v>
      </c>
      <c r="AC15" s="22"/>
      <c r="AD15" s="23">
        <f>IF(ISERROR(VLOOKUP($B15,[1]Hedef!$A$4:$ES$45409,7,0)),0,VLOOKUP($B15,[1]Hedef!$A$4:$ES$45409,7,0))</f>
        <v>0</v>
      </c>
      <c r="AE15" s="23">
        <f>IF((AC15-AD15)&lt;0, "-", (AC15-AD15))</f>
        <v>0</v>
      </c>
      <c r="AF15" s="80"/>
      <c r="AH15" s="44">
        <v>4.3250000000000004E-2</v>
      </c>
      <c r="AI15" s="11">
        <f t="shared" si="23"/>
        <v>-1</v>
      </c>
      <c r="AK15" s="22"/>
      <c r="AL15" s="23">
        <f>IF(ISERROR(VLOOKUP($B15,[1]Hedef!$A$4:$ES$45409,9,0)),0,VLOOKUP($B15,[1]Hedef!$A$4:$ES$45409,9,0))</f>
        <v>0</v>
      </c>
      <c r="AM15" s="23">
        <f>IF((AK15-AL15)&lt;0, "-", (AK15-AL15))</f>
        <v>0</v>
      </c>
      <c r="AN15" s="80"/>
      <c r="AP15" s="44">
        <v>0</v>
      </c>
      <c r="AQ15" s="11">
        <f t="shared" si="24"/>
        <v>0</v>
      </c>
      <c r="AS15" s="22">
        <f t="shared" si="25"/>
        <v>0</v>
      </c>
      <c r="AT15" s="23">
        <f t="shared" si="25"/>
        <v>7.1500000000000001E-3</v>
      </c>
      <c r="AU15" s="23" t="str">
        <f>IF((AS15-AT15)&lt;0, "-", (AS15-AT15))</f>
        <v>-</v>
      </c>
      <c r="AV15" s="80" t="e">
        <f t="shared" si="26"/>
        <v>#DIV/0!</v>
      </c>
      <c r="AX15" s="44">
        <f>+R15+J15+Z15+AH15+AP15</f>
        <v>0.26084999999999997</v>
      </c>
      <c r="AY15" s="11">
        <f t="shared" si="20"/>
        <v>-0.9725896108874833</v>
      </c>
      <c r="AZ15" s="45"/>
      <c r="BA15" s="12">
        <f>AS15-'GENEL HEDEF'!E15</f>
        <v>-0.27</v>
      </c>
      <c r="BB15" s="15">
        <f>AT15-'GENEL HEDEF'!F15</f>
        <v>0</v>
      </c>
      <c r="BC15" s="86">
        <f t="shared" si="14"/>
        <v>0.27</v>
      </c>
    </row>
    <row r="16" spans="2:55" ht="13" thickBot="1" x14ac:dyDescent="0.2">
      <c r="B16" s="18">
        <v>5000</v>
      </c>
      <c r="C16" s="1" t="s">
        <v>10</v>
      </c>
      <c r="E16" s="22"/>
      <c r="F16" s="23">
        <f>IF(ISERROR(VLOOKUP($B16,[1]Hedef!$A$4:$ES$45409,19,0)),0,VLOOKUP($B16,[1]Hedef!$A$4:$ES$45409,19,0))</f>
        <v>1.8749999999999999E-2</v>
      </c>
      <c r="G16" s="23" t="str">
        <f>IF((E16-F16)&lt;0, "-", (E16-F16))</f>
        <v>-</v>
      </c>
      <c r="H16" s="80" t="e">
        <f t="shared" si="21"/>
        <v>#DIV/0!</v>
      </c>
      <c r="J16" s="44">
        <v>0.342225</v>
      </c>
      <c r="K16" s="11">
        <f t="shared" si="15"/>
        <v>-0.94521148367302221</v>
      </c>
      <c r="M16" s="22"/>
      <c r="N16" s="23">
        <f>IF(ISERROR(VLOOKUP($B16,[1]Hedef!$A$4:$ES$45409,17,0)),0,VLOOKUP($B16,[1]Hedef!$A$4:$ES$45409,17,0))</f>
        <v>5.9249999999999997E-3</v>
      </c>
      <c r="O16" s="23" t="str">
        <f>IF((M16-N16)&lt;0, "-", (M16-N16))</f>
        <v>-</v>
      </c>
      <c r="P16" s="80" t="e">
        <f t="shared" si="22"/>
        <v>#DIV/0!</v>
      </c>
      <c r="R16" s="44">
        <v>0.47212500000000002</v>
      </c>
      <c r="S16" s="11">
        <f t="shared" si="16"/>
        <v>-0.98745035742652898</v>
      </c>
      <c r="U16" s="22"/>
      <c r="V16" s="23">
        <f>IF(ISERROR(VLOOKUP($B16,[1]Hedef!$A$4:$ES$45409,5,0)),0,VLOOKUP($B16,[1]Hedef!$A$4:$ES$45409,5,0))</f>
        <v>0</v>
      </c>
      <c r="W16" s="23">
        <f>IF((U16-V16)&lt;0, "-", (U16-V16))</f>
        <v>0</v>
      </c>
      <c r="X16" s="80"/>
      <c r="Z16" s="44">
        <v>0</v>
      </c>
      <c r="AA16" s="11">
        <f t="shared" si="17"/>
        <v>0</v>
      </c>
      <c r="AC16" s="22"/>
      <c r="AD16" s="23">
        <f>IF(ISERROR(VLOOKUP($B16,[1]Hedef!$A$4:$ES$45409,7,0)),0,VLOOKUP($B16,[1]Hedef!$A$4:$ES$45409,7,0))</f>
        <v>0</v>
      </c>
      <c r="AE16" s="23">
        <f>IF((AC16-AD16)&lt;0, "-", (AC16-AD16))</f>
        <v>0</v>
      </c>
      <c r="AF16" s="80"/>
      <c r="AH16" s="44">
        <v>5.8500000000000002E-3</v>
      </c>
      <c r="AI16" s="11">
        <f t="shared" si="23"/>
        <v>-1</v>
      </c>
      <c r="AK16" s="22"/>
      <c r="AL16" s="23">
        <f>IF(ISERROR(VLOOKUP($B16,[1]Hedef!$A$4:$ES$45409,9,0)),0,VLOOKUP($B16,[1]Hedef!$A$4:$ES$45409,9,0))</f>
        <v>0</v>
      </c>
      <c r="AM16" s="23">
        <f>IF((AK16-AL16)&lt;0, "-", (AK16-AL16))</f>
        <v>0</v>
      </c>
      <c r="AN16" s="80"/>
      <c r="AP16" s="44">
        <v>0</v>
      </c>
      <c r="AQ16" s="11">
        <f t="shared" si="24"/>
        <v>0</v>
      </c>
      <c r="AS16" s="22">
        <f t="shared" si="25"/>
        <v>0</v>
      </c>
      <c r="AT16" s="23">
        <f t="shared" si="25"/>
        <v>2.4674999999999999E-2</v>
      </c>
      <c r="AU16" s="23" t="str">
        <f>IF((AS16-AT16)&lt;0, "-", (AS16-AT16))</f>
        <v>-</v>
      </c>
      <c r="AV16" s="80" t="e">
        <f t="shared" si="26"/>
        <v>#DIV/0!</v>
      </c>
      <c r="AX16" s="44">
        <f>+R16+J16+Z16+AH16+AP16</f>
        <v>0.82020000000000004</v>
      </c>
      <c r="AY16" s="11">
        <f t="shared" si="20"/>
        <v>-0.96991587417702996</v>
      </c>
      <c r="AZ16" s="45"/>
      <c r="BA16" s="12">
        <f>AS16-'GENEL HEDEF'!E16</f>
        <v>-1</v>
      </c>
      <c r="BB16" s="15">
        <f>AT16-'GENEL HEDEF'!F16</f>
        <v>0</v>
      </c>
      <c r="BC16" s="86">
        <f t="shared" si="14"/>
        <v>1</v>
      </c>
    </row>
    <row r="17" spans="2:55" ht="16" thickTop="1" thickBot="1" x14ac:dyDescent="0.25">
      <c r="B17" s="18" t="s">
        <v>55</v>
      </c>
      <c r="C17" s="2" t="s">
        <v>11</v>
      </c>
      <c r="E17" s="67">
        <f>SUM(E14:E16)</f>
        <v>0</v>
      </c>
      <c r="F17" s="67">
        <f>SUM(F14:F16)</f>
        <v>4.5100000000000001E-2</v>
      </c>
      <c r="G17" s="67">
        <f>SUM(G14:G16)</f>
        <v>0</v>
      </c>
      <c r="H17" s="39" t="e">
        <f>TRUNC(IF((F17/E17)&gt;1.2,"120%",(F17/E17)),2)</f>
        <v>#DIV/0!</v>
      </c>
      <c r="I17" s="109"/>
      <c r="J17" s="48"/>
      <c r="K17" s="48"/>
      <c r="L17" s="109"/>
      <c r="M17" s="67">
        <f>SUM(M14:M16)</f>
        <v>0</v>
      </c>
      <c r="N17" s="67">
        <f>SUM(N14:N16)</f>
        <v>3.3475000000000005E-2</v>
      </c>
      <c r="O17" s="67">
        <f>SUM(O14:O16)</f>
        <v>0</v>
      </c>
      <c r="P17" s="39" t="e">
        <f>TRUNC(IF((N17/M17)&gt;1.2,"120%",(N17/M17)),2)</f>
        <v>#DIV/0!</v>
      </c>
      <c r="Q17" s="109"/>
      <c r="R17" s="48"/>
      <c r="S17" s="48"/>
      <c r="T17" s="109"/>
      <c r="U17" s="67">
        <f>SUM(U14:U16)</f>
        <v>0</v>
      </c>
      <c r="V17" s="146">
        <f>SUM(V14:V16)</f>
        <v>6.0000000000000001E-3</v>
      </c>
      <c r="W17" s="146">
        <f>SUM(W14:W16)</f>
        <v>0</v>
      </c>
      <c r="X17" s="39" t="e">
        <f>TRUNC(IF((V17/U17)&gt;1.2,"120%",(V17/U17)),2)</f>
        <v>#DIV/0!</v>
      </c>
      <c r="Y17" s="78"/>
      <c r="Z17" s="48"/>
      <c r="AA17" s="48"/>
      <c r="AB17" s="109"/>
      <c r="AC17" s="67">
        <f>SUM(AC14:AC16)</f>
        <v>0</v>
      </c>
      <c r="AD17" s="67">
        <f>SUM(AD14:AD16)</f>
        <v>0.02</v>
      </c>
      <c r="AE17" s="67">
        <f>SUM(AE14:AE16)</f>
        <v>0</v>
      </c>
      <c r="AF17" s="39" t="e">
        <f>TRUNC(IF((AD17/AC17)&gt;1.2,"120%",(AD17/AC17)),2)</f>
        <v>#DIV/0!</v>
      </c>
      <c r="AG17" s="109"/>
      <c r="AH17" s="48"/>
      <c r="AI17" s="48"/>
      <c r="AJ17" s="109"/>
      <c r="AK17" s="67">
        <f>SUM(AK14:AK16)</f>
        <v>0</v>
      </c>
      <c r="AL17" s="67">
        <f>SUM(AL14:AL16)</f>
        <v>0</v>
      </c>
      <c r="AM17" s="67">
        <f>SUM(AM14:AM16)</f>
        <v>0</v>
      </c>
      <c r="AN17" s="39" t="e">
        <f>TRUNC(IF((AL17/AK17)&gt;1.2,"120%",(AL17/AK17)),2)</f>
        <v>#DIV/0!</v>
      </c>
      <c r="AO17" s="78"/>
      <c r="AP17" s="48"/>
      <c r="AQ17" s="48"/>
      <c r="AR17" s="109"/>
      <c r="AS17" s="67">
        <f>SUM(AS14:AS16)</f>
        <v>0</v>
      </c>
      <c r="AT17" s="67">
        <f>SUM(AT14:AT16)</f>
        <v>0.10457500000000002</v>
      </c>
      <c r="AU17" s="67">
        <f>SUM(AU14:AU16)</f>
        <v>0</v>
      </c>
      <c r="AV17" s="39" t="e">
        <f>TRUNC(IF((AT17/AS17)&gt;1.2,"120%",(AT17/AS17)),2)</f>
        <v>#DIV/0!</v>
      </c>
      <c r="AX17" s="67"/>
      <c r="AY17" s="48"/>
      <c r="AZ17" s="45"/>
      <c r="BA17" s="8"/>
      <c r="BB17" s="9"/>
      <c r="BC17" s="86">
        <f t="shared" si="14"/>
        <v>0</v>
      </c>
    </row>
    <row r="18" spans="2:55" ht="13" thickTop="1" x14ac:dyDescent="0.15">
      <c r="B18" s="18">
        <v>1000</v>
      </c>
      <c r="C18" s="1" t="s">
        <v>105</v>
      </c>
      <c r="E18" s="22"/>
      <c r="F18" s="23">
        <f>IF(ISERROR(VLOOKUP($B18,[1]Hedef!$A$4:$ES$45409,19,0)),0,VLOOKUP($B18,[1]Hedef!$A$4:$ES$45409,19,0))</f>
        <v>1.5479999999999999E-2</v>
      </c>
      <c r="G18" s="23" t="str">
        <f>IF((E18-F18)&lt;0, "-", (E18-F18))</f>
        <v>-</v>
      </c>
      <c r="H18" s="80" t="e">
        <f t="shared" ref="H18:H21" si="27">TRUNC(IF((F18/E18)&gt;1.2,"120%",(F18/E18)),2)</f>
        <v>#DIV/0!</v>
      </c>
      <c r="J18" s="44">
        <v>0.22975399999999996</v>
      </c>
      <c r="K18" s="11">
        <f>IF(ISERROR((F18-J18)/J18),0,(F18-J18)/J18)</f>
        <v>-0.93262358870792239</v>
      </c>
      <c r="M18" s="22"/>
      <c r="N18" s="23">
        <f>IF(ISERROR(VLOOKUP($B18,[1]Hedef!$A$4:$ES$45409,17,0)),0,VLOOKUP($B18,[1]Hedef!$A$4:$ES$45409,17,0))</f>
        <v>5.3879999999999996E-3</v>
      </c>
      <c r="O18" s="23" t="str">
        <f>IF((M18-N18)&lt;0, "-", (M18-N18))</f>
        <v>-</v>
      </c>
      <c r="P18" s="80" t="e">
        <f t="shared" ref="P18:P21" si="28">TRUNC(IF((N18/M18)&gt;1.2,"120%",(N18/M18)),2)</f>
        <v>#DIV/0!</v>
      </c>
      <c r="R18" s="44">
        <v>0.43695600000000001</v>
      </c>
      <c r="S18" s="11">
        <f>IF(ISERROR((N18-R18)/R18),0,(N18-R18)/R18)</f>
        <v>-0.9876692390080466</v>
      </c>
      <c r="U18" s="22"/>
      <c r="V18" s="23">
        <f>IF(ISERROR(VLOOKUP($B18,[1]Hedef!$A$4:$ES$45409,5,0)),0,VLOOKUP($B18,[1]Hedef!$A$4:$ES$45409,5,0))</f>
        <v>0</v>
      </c>
      <c r="W18" s="23">
        <f>IF((U18-V18)&lt;0, "-", (U18-V18))</f>
        <v>0</v>
      </c>
      <c r="X18" s="80"/>
      <c r="Z18" s="44">
        <v>9.5499999999999995E-3</v>
      </c>
      <c r="AA18" s="11">
        <f>IF(ISERROR((V18-Z18)/Z18),0,(V18-Z18)/Z18)</f>
        <v>-1</v>
      </c>
      <c r="AC18" s="22"/>
      <c r="AD18" s="23">
        <f>IF(ISERROR(VLOOKUP($B18,[1]Hedef!$A$4:$ES$45409,7,0)),0,VLOOKUP($B18,[1]Hedef!$A$4:$ES$45409,7,0))</f>
        <v>1.1999999999999999E-3</v>
      </c>
      <c r="AE18" s="23" t="str">
        <f>IF((AC18-AD18)&lt;0, "-", (AC18-AD18))</f>
        <v>-</v>
      </c>
      <c r="AF18" s="80"/>
      <c r="AH18" s="44">
        <v>4.8499999999999993E-3</v>
      </c>
      <c r="AI18" s="11">
        <f>IF(ISERROR((AD18-AH18)/AH18),0,(AD18-AH18)/AH18)</f>
        <v>-0.75257731958762886</v>
      </c>
      <c r="AK18" s="22"/>
      <c r="AL18" s="23">
        <f>IF(ISERROR(VLOOKUP($B18,[1]Hedef!$A$4:$ES$45409,9,0)),0,VLOOKUP($B18,[1]Hedef!$A$4:$ES$45409,9,0))</f>
        <v>0</v>
      </c>
      <c r="AM18" s="23">
        <f>IF((AK18-AL18)&lt;0, "-", (AK18-AL18))</f>
        <v>0</v>
      </c>
      <c r="AN18" s="80"/>
      <c r="AP18" s="44">
        <v>0</v>
      </c>
      <c r="AQ18" s="11">
        <f>IF(ISERROR((AL18-AP18)/AP18),0,(AL18-AP18)/AP18)</f>
        <v>0</v>
      </c>
      <c r="AS18" s="22">
        <f>+E18+M18+U18+AC18+AK18</f>
        <v>0</v>
      </c>
      <c r="AT18" s="23">
        <f>+F18+N18+V18+AD18+AL18</f>
        <v>2.2067999999999997E-2</v>
      </c>
      <c r="AU18" s="23" t="str">
        <f>IF((AS18-AT18)&lt;0, "-", (AS18-AT18))</f>
        <v>-</v>
      </c>
      <c r="AV18" s="80" t="e">
        <f t="shared" ref="AV18:AV21" si="29">TRUNC(IF((AT18/AS18)&gt;1.2,"120%",(AT18/AS18)),2)</f>
        <v>#DIV/0!</v>
      </c>
      <c r="AX18" s="44">
        <f>+R18+J18+Z18+AH18+AP18</f>
        <v>0.68110999999999988</v>
      </c>
      <c r="AY18" s="11">
        <f>IF(ISERROR((AT18-AX18)/AX18),0,(AT18-AX18)/AX18)</f>
        <v>-0.96759994714510145</v>
      </c>
      <c r="AZ18" s="45"/>
      <c r="BA18" s="12">
        <f>AS18-'GENEL HEDEF'!E18</f>
        <v>-0.72</v>
      </c>
      <c r="BB18" s="15">
        <f>AT18-'GENEL HEDEF'!F18</f>
        <v>0</v>
      </c>
      <c r="BC18" s="86">
        <f t="shared" si="14"/>
        <v>0.72</v>
      </c>
    </row>
    <row r="19" spans="2:55" ht="13" thickBot="1" x14ac:dyDescent="0.2">
      <c r="B19" s="18">
        <v>2000</v>
      </c>
      <c r="C19" s="1" t="s">
        <v>12</v>
      </c>
      <c r="E19" s="22"/>
      <c r="F19" s="23">
        <f>IF(ISERROR(VLOOKUP($B19,[1]Hedef!$A$4:$ES$45409,19,0)),0,VLOOKUP($B19,[1]Hedef!$A$4:$ES$45409,19,0))</f>
        <v>6.4999999999999997E-3</v>
      </c>
      <c r="G19" s="23" t="str">
        <f>IF((E19-F19)&lt;0, "-", (E19-F19))</f>
        <v>-</v>
      </c>
      <c r="H19" s="80" t="e">
        <f t="shared" si="27"/>
        <v>#DIV/0!</v>
      </c>
      <c r="J19" s="44">
        <v>6.8615000000000009E-2</v>
      </c>
      <c r="K19" s="11">
        <f>IF(ISERROR((F19-J19)/J19),0,(F19-J19)/J19)</f>
        <v>-0.90526852728995122</v>
      </c>
      <c r="M19" s="22"/>
      <c r="N19" s="23">
        <f>IF(ISERROR(VLOOKUP($B19,[1]Hedef!$A$4:$ES$45409,17,0)),0,VLOOKUP($B19,[1]Hedef!$A$4:$ES$45409,17,0))</f>
        <v>3.5999999999999999E-3</v>
      </c>
      <c r="O19" s="23" t="str">
        <f>IF((M19-N19)&lt;0, "-", (M19-N19))</f>
        <v>-</v>
      </c>
      <c r="P19" s="80" t="e">
        <f t="shared" si="28"/>
        <v>#DIV/0!</v>
      </c>
      <c r="R19" s="44">
        <v>2.895E-2</v>
      </c>
      <c r="S19" s="11">
        <f>IF(ISERROR((N19-R19)/R19),0,(N19-R19)/R19)</f>
        <v>-0.87564766839378239</v>
      </c>
      <c r="U19" s="22"/>
      <c r="V19" s="23">
        <f>IF(ISERROR(VLOOKUP($B19,[1]Hedef!$A$4:$ES$45409,5,0)),0,VLOOKUP($B19,[1]Hedef!$A$4:$ES$45409,5,0))</f>
        <v>0</v>
      </c>
      <c r="W19" s="23">
        <f>IF((U19-V19)&lt;0, "-", (U19-V19))</f>
        <v>0</v>
      </c>
      <c r="X19" s="80"/>
      <c r="Z19" s="44">
        <v>2.7000000000000001E-3</v>
      </c>
      <c r="AA19" s="11">
        <f>IF(ISERROR((V19-Z19)/Z19),0,(V19-Z19)/Z19)</f>
        <v>-1</v>
      </c>
      <c r="AC19" s="22"/>
      <c r="AD19" s="23">
        <f>IF(ISERROR(VLOOKUP($B19,[1]Hedef!$A$4:$ES$45409,7,0)),0,VLOOKUP($B19,[1]Hedef!$A$4:$ES$45409,7,0))</f>
        <v>4.7999999999999996E-3</v>
      </c>
      <c r="AE19" s="23" t="str">
        <f>IF((AC19-AD19)&lt;0, "-", (AC19-AD19))</f>
        <v>-</v>
      </c>
      <c r="AF19" s="80"/>
      <c r="AH19" s="44">
        <v>5.0000000000000002E-5</v>
      </c>
      <c r="AI19" s="11">
        <f>IF(ISERROR((AD19-AH19)/AH19),0,(AD19-AH19)/AH19)</f>
        <v>95</v>
      </c>
      <c r="AK19" s="22"/>
      <c r="AL19" s="23">
        <f>IF(ISERROR(VLOOKUP($B19,[1]Hedef!$A$4:$ES$45409,9,0)),0,VLOOKUP($B19,[1]Hedef!$A$4:$ES$45409,9,0))</f>
        <v>0</v>
      </c>
      <c r="AM19" s="23">
        <f>IF((AK19-AL19)&lt;0, "-", (AK19-AL19))</f>
        <v>0</v>
      </c>
      <c r="AN19" s="80"/>
      <c r="AP19" s="44">
        <v>0</v>
      </c>
      <c r="AQ19" s="11">
        <f>IF(ISERROR((AL19-AP19)/AP19),0,(AL19-AP19)/AP19)</f>
        <v>0</v>
      </c>
      <c r="AS19" s="22">
        <f>+E19+M19+U19+AC19+AK19</f>
        <v>0</v>
      </c>
      <c r="AT19" s="23">
        <f>+F19+N19+V19+AD19+AL19</f>
        <v>1.49E-2</v>
      </c>
      <c r="AU19" s="23" t="str">
        <f>IF((AS19-AT19)&lt;0, "-", (AS19-AT19))</f>
        <v>-</v>
      </c>
      <c r="AV19" s="80" t="e">
        <f t="shared" si="29"/>
        <v>#DIV/0!</v>
      </c>
      <c r="AX19" s="44">
        <f>+R19+J19+Z19+AH19+AP19</f>
        <v>0.100315</v>
      </c>
      <c r="AY19" s="11">
        <f>IF(ISERROR((AT19-AX19)/AX19),0,(AT19-AX19)/AX19)</f>
        <v>-0.85146787619000153</v>
      </c>
      <c r="AZ19" s="45"/>
      <c r="BA19" s="12">
        <f>AS19-'GENEL HEDEF'!E19</f>
        <v>-0.13</v>
      </c>
      <c r="BB19" s="15">
        <f>AT19-'GENEL HEDEF'!F19</f>
        <v>0</v>
      </c>
      <c r="BC19" s="86">
        <f t="shared" si="14"/>
        <v>0.13</v>
      </c>
    </row>
    <row r="20" spans="2:55" ht="16" thickTop="1" thickBot="1" x14ac:dyDescent="0.25">
      <c r="B20" s="18" t="s">
        <v>56</v>
      </c>
      <c r="C20" s="2" t="s">
        <v>13</v>
      </c>
      <c r="E20" s="67">
        <f>SUM(E18:E19)</f>
        <v>0</v>
      </c>
      <c r="F20" s="67">
        <f>SUM(F18:F19)</f>
        <v>2.198E-2</v>
      </c>
      <c r="G20" s="67">
        <f>SUM(G18:G19)</f>
        <v>0</v>
      </c>
      <c r="H20" s="39" t="e">
        <f t="shared" si="27"/>
        <v>#DIV/0!</v>
      </c>
      <c r="I20" s="109"/>
      <c r="J20" s="48"/>
      <c r="K20" s="48"/>
      <c r="L20" s="109"/>
      <c r="M20" s="67">
        <f>SUM(M18:M19)</f>
        <v>0</v>
      </c>
      <c r="N20" s="67">
        <f>SUM(N18:N19)</f>
        <v>8.9879999999999995E-3</v>
      </c>
      <c r="O20" s="67">
        <f>SUM(O18:O19)</f>
        <v>0</v>
      </c>
      <c r="P20" s="39" t="e">
        <f t="shared" si="28"/>
        <v>#DIV/0!</v>
      </c>
      <c r="Q20" s="109"/>
      <c r="R20" s="48"/>
      <c r="S20" s="48"/>
      <c r="T20" s="109"/>
      <c r="U20" s="67">
        <f>SUM(U18:U19)</f>
        <v>0</v>
      </c>
      <c r="V20" s="146">
        <f>SUM(V18:V19)</f>
        <v>0</v>
      </c>
      <c r="W20" s="146">
        <f>SUM(W18:W19)</f>
        <v>0</v>
      </c>
      <c r="X20" s="39" t="e">
        <f t="shared" ref="X20:X21" si="30">TRUNC(IF((V20/U20)&gt;1.2,"120%",(V20/U20)),2)</f>
        <v>#DIV/0!</v>
      </c>
      <c r="Y20" s="78"/>
      <c r="Z20" s="48"/>
      <c r="AA20" s="48"/>
      <c r="AB20" s="109"/>
      <c r="AC20" s="67">
        <f>SUM(AC18:AC19)</f>
        <v>0</v>
      </c>
      <c r="AD20" s="67">
        <f>SUM(AD18:AD19)</f>
        <v>5.9999999999999993E-3</v>
      </c>
      <c r="AE20" s="67">
        <f>SUM(AE18:AE19)</f>
        <v>0</v>
      </c>
      <c r="AF20" s="39" t="e">
        <f t="shared" ref="AF20:AF21" si="31">TRUNC(IF((AD20/AC20)&gt;1.2,"120%",(AD20/AC20)),2)</f>
        <v>#DIV/0!</v>
      </c>
      <c r="AG20" s="109"/>
      <c r="AH20" s="48"/>
      <c r="AI20" s="48"/>
      <c r="AJ20" s="109"/>
      <c r="AK20" s="67">
        <f>SUM(AK18:AK19)</f>
        <v>0</v>
      </c>
      <c r="AL20" s="67">
        <f>SUM(AL18:AL19)</f>
        <v>0</v>
      </c>
      <c r="AM20" s="67">
        <f>SUM(AM18:AM19)</f>
        <v>0</v>
      </c>
      <c r="AN20" s="39" t="e">
        <f t="shared" ref="AN20:AN21" si="32">TRUNC(IF((AL20/AK20)&gt;1.2,"120%",(AL20/AK20)),2)</f>
        <v>#DIV/0!</v>
      </c>
      <c r="AO20" s="78"/>
      <c r="AP20" s="48"/>
      <c r="AQ20" s="48"/>
      <c r="AR20" s="109"/>
      <c r="AS20" s="67">
        <f>SUM(AS18:AS19)</f>
        <v>0</v>
      </c>
      <c r="AT20" s="67">
        <f>SUM(AT18:AT19)</f>
        <v>3.6968000000000001E-2</v>
      </c>
      <c r="AU20" s="67">
        <f>SUM(AU18:AU19)</f>
        <v>0</v>
      </c>
      <c r="AV20" s="39" t="e">
        <f t="shared" si="29"/>
        <v>#DIV/0!</v>
      </c>
      <c r="AX20" s="67"/>
      <c r="AY20" s="48"/>
      <c r="AZ20" s="45"/>
      <c r="BA20" s="8"/>
      <c r="BB20" s="9"/>
      <c r="BC20" s="86">
        <f t="shared" si="14"/>
        <v>0</v>
      </c>
    </row>
    <row r="21" spans="2:55" ht="16" thickTop="1" thickBot="1" x14ac:dyDescent="0.25">
      <c r="B21" s="18"/>
      <c r="C21" s="2" t="s">
        <v>14</v>
      </c>
      <c r="E21" s="67">
        <f>E20+E17</f>
        <v>0</v>
      </c>
      <c r="F21" s="110">
        <f>F20+F17</f>
        <v>6.7080000000000001E-2</v>
      </c>
      <c r="G21" s="110">
        <f>G20+G17</f>
        <v>0</v>
      </c>
      <c r="H21" s="39" t="e">
        <f t="shared" si="27"/>
        <v>#DIV/0!</v>
      </c>
      <c r="I21" s="109"/>
      <c r="J21" s="48"/>
      <c r="K21" s="48"/>
      <c r="L21" s="109"/>
      <c r="M21" s="67">
        <f>M20+M17</f>
        <v>0</v>
      </c>
      <c r="N21" s="110">
        <f>N20+N17</f>
        <v>4.2463000000000001E-2</v>
      </c>
      <c r="O21" s="110">
        <f>O20+O17</f>
        <v>0</v>
      </c>
      <c r="P21" s="39" t="e">
        <f t="shared" si="28"/>
        <v>#DIV/0!</v>
      </c>
      <c r="Q21" s="109"/>
      <c r="R21" s="48"/>
      <c r="S21" s="48"/>
      <c r="T21" s="109"/>
      <c r="U21" s="67">
        <f>U20+U17</f>
        <v>0</v>
      </c>
      <c r="V21" s="147">
        <f>V20+V17</f>
        <v>6.0000000000000001E-3</v>
      </c>
      <c r="W21" s="147">
        <f>W20+W17</f>
        <v>0</v>
      </c>
      <c r="X21" s="39" t="e">
        <f t="shared" si="30"/>
        <v>#DIV/0!</v>
      </c>
      <c r="Y21" s="78"/>
      <c r="Z21" s="48"/>
      <c r="AA21" s="48"/>
      <c r="AB21" s="109"/>
      <c r="AC21" s="67">
        <f>AC20+AC17</f>
        <v>0</v>
      </c>
      <c r="AD21" s="110">
        <f>AD20+AD17</f>
        <v>2.5999999999999999E-2</v>
      </c>
      <c r="AE21" s="110">
        <f>AE20+AE17</f>
        <v>0</v>
      </c>
      <c r="AF21" s="39" t="e">
        <f t="shared" si="31"/>
        <v>#DIV/0!</v>
      </c>
      <c r="AG21" s="109"/>
      <c r="AH21" s="48"/>
      <c r="AI21" s="48"/>
      <c r="AJ21" s="109"/>
      <c r="AK21" s="67">
        <f>AK20+AK17</f>
        <v>0</v>
      </c>
      <c r="AL21" s="110">
        <f>AL20+AL17</f>
        <v>0</v>
      </c>
      <c r="AM21" s="110">
        <f>AM20+AM17</f>
        <v>0</v>
      </c>
      <c r="AN21" s="39" t="e">
        <f t="shared" si="32"/>
        <v>#DIV/0!</v>
      </c>
      <c r="AO21" s="78"/>
      <c r="AP21" s="48"/>
      <c r="AQ21" s="48"/>
      <c r="AR21" s="109"/>
      <c r="AS21" s="67">
        <f>AS20+AS17</f>
        <v>0</v>
      </c>
      <c r="AT21" s="110">
        <f>AT20+AT17</f>
        <v>0.14154300000000003</v>
      </c>
      <c r="AU21" s="110">
        <f>AU20+AU17</f>
        <v>0</v>
      </c>
      <c r="AV21" s="39" t="e">
        <f t="shared" si="29"/>
        <v>#DIV/0!</v>
      </c>
      <c r="AX21" s="67"/>
      <c r="AY21" s="48"/>
      <c r="AZ21" s="45"/>
      <c r="BA21" s="8"/>
      <c r="BB21" s="9"/>
      <c r="BC21" s="86">
        <f t="shared" si="14"/>
        <v>0</v>
      </c>
    </row>
    <row r="22" spans="2:55" ht="13" thickTop="1" x14ac:dyDescent="0.15">
      <c r="B22" s="31">
        <v>6000</v>
      </c>
      <c r="C22" s="1" t="s">
        <v>15</v>
      </c>
      <c r="E22" s="22"/>
      <c r="F22" s="23">
        <f>IF(ISERROR(VLOOKUP($B22,[1]Hedef!$A$4:$ES$45409,19,0)),0,VLOOKUP($B22,[1]Hedef!$A$4:$ES$45409,19,0))</f>
        <v>3.1600000000000003E-2</v>
      </c>
      <c r="G22" s="23" t="str">
        <f t="shared" ref="G22:G29" si="33">IF((E22-F22)&lt;0, "-", (E22-F22))</f>
        <v>-</v>
      </c>
      <c r="H22" s="80" t="e">
        <f t="shared" ref="H22:H29" si="34">TRUNC(IF((F22/E22)&gt;1.2,"120%",(F22/E22)),2)</f>
        <v>#DIV/0!</v>
      </c>
      <c r="J22" s="44">
        <v>0.1794</v>
      </c>
      <c r="K22" s="11">
        <f t="shared" ref="K22:K56" si="35">IF(ISERROR((F22-J22)/J22),0,(F22-J22)/J22)</f>
        <v>-0.82385730211817154</v>
      </c>
      <c r="M22" s="22"/>
      <c r="N22" s="23">
        <f>IF(ISERROR(VLOOKUP($B22,[1]Hedef!$A$4:$ES$45409,17,0)),0,VLOOKUP($B22,[1]Hedef!$A$4:$ES$45409,17,0))</f>
        <v>0</v>
      </c>
      <c r="O22" s="23">
        <f t="shared" ref="O22:O29" si="36">IF((M22-N22)&lt;0, "-", (M22-N22))</f>
        <v>0</v>
      </c>
      <c r="P22" s="80" t="e">
        <f t="shared" ref="P22:P29" si="37">TRUNC(IF((N22/M22)&gt;1.2,"120%",(N22/M22)),2)</f>
        <v>#DIV/0!</v>
      </c>
      <c r="R22" s="44">
        <v>0.18919999999999998</v>
      </c>
      <c r="S22" s="11">
        <f t="shared" ref="S22:S56" si="38">IF(ISERROR((N22-R22)/R22),0,(N22-R22)/R22)</f>
        <v>-1</v>
      </c>
      <c r="U22" s="22"/>
      <c r="V22" s="23">
        <f>IF(ISERROR(VLOOKUP($B22,[1]Hedef!$A$4:$ES$45409,5,0)),0,VLOOKUP($B22,[1]Hedef!$A$4:$ES$45409,5,0))</f>
        <v>0.19</v>
      </c>
      <c r="W22" s="23" t="str">
        <f t="shared" ref="W22:W29" si="39">IF((U22-V22)&lt;0, "-", (U22-V22))</f>
        <v>-</v>
      </c>
      <c r="X22" s="80" t="e">
        <f t="shared" ref="X22:X29" si="40">TRUNC(IF((V22/U22)&gt;1.2,"120%",(V22/U22)),2)</f>
        <v>#DIV/0!</v>
      </c>
      <c r="Z22" s="44">
        <v>0.94199999999999995</v>
      </c>
      <c r="AA22" s="11">
        <f t="shared" ref="AA22:AA56" si="41">IF(ISERROR((V22-Z22)/Z22),0,(V22-Z22)/Z22)</f>
        <v>-0.79830148619957542</v>
      </c>
      <c r="AC22" s="22"/>
      <c r="AD22" s="23">
        <f>IF(ISERROR(VLOOKUP($B22,[1]Hedef!$A$4:$ES$45409,7,0)),0,VLOOKUP($B22,[1]Hedef!$A$4:$ES$45409,7,0))</f>
        <v>1.1299999999999999</v>
      </c>
      <c r="AE22" s="23" t="str">
        <f t="shared" ref="AE22:AE28" si="42">IF((AC22-AD22)&lt;0, "-", (AC22-AD22))</f>
        <v>-</v>
      </c>
      <c r="AF22" s="80" t="e">
        <f t="shared" ref="AF22:AF29" si="43">TRUNC(IF((AD22/AC22)&gt;1.2,"120%",(AD22/AC22)),2)</f>
        <v>#DIV/0!</v>
      </c>
      <c r="AH22" s="44">
        <v>3.1549999999999998</v>
      </c>
      <c r="AI22" s="11">
        <f t="shared" ref="AI22:AI28" si="44">IF(ISERROR((AD22-AH22)/AH22),0,(AD22-AH22)/AH22)</f>
        <v>-0.64183835182250393</v>
      </c>
      <c r="AK22" s="22"/>
      <c r="AL22" s="23">
        <f>IF(ISERROR(VLOOKUP($B22,[1]Hedef!$A$4:$ES$45409,9,0)),0,VLOOKUP($B22,[1]Hedef!$A$4:$ES$45409,9,0))</f>
        <v>0</v>
      </c>
      <c r="AM22" s="23">
        <f t="shared" ref="AM22:AM28" si="45">IF((AK22-AL22)&lt;0, "-", (AK22-AL22))</f>
        <v>0</v>
      </c>
      <c r="AN22" s="80"/>
      <c r="AP22" s="44">
        <v>0</v>
      </c>
      <c r="AQ22" s="11">
        <f t="shared" ref="AQ22:AQ28" si="46">IF(ISERROR((AL22-AP22)/AP22),0,(AL22-AP22)/AP22)</f>
        <v>0</v>
      </c>
      <c r="AS22" s="22">
        <f t="shared" ref="AS22:AS29" si="47">+E22+M22+U22+AC22+AK22</f>
        <v>0</v>
      </c>
      <c r="AT22" s="23">
        <f t="shared" ref="AT22:AT29" si="48">+F22+N22+V22+AD22+AL22</f>
        <v>1.3515999999999999</v>
      </c>
      <c r="AU22" s="23" t="str">
        <f t="shared" ref="AU22:AU29" si="49">IF((AS22-AT22)&lt;0, "-", (AS22-AT22))</f>
        <v>-</v>
      </c>
      <c r="AV22" s="80" t="e">
        <f t="shared" ref="AV22:AV29" si="50">TRUNC(IF((AT22/AS22)&gt;1.2,"120%",(AT22/AS22)),2)</f>
        <v>#DIV/0!</v>
      </c>
      <c r="AX22" s="44">
        <f t="shared" ref="AX22:AX29" si="51">+R22+J22+Z22+AH22+AP22</f>
        <v>4.4656000000000002</v>
      </c>
      <c r="AY22" s="11">
        <f t="shared" ref="AY22:AY56" si="52">IF(ISERROR((AT22-AX22)/AX22),0,(AT22-AX22)/AX22)</f>
        <v>-0.69733070584020063</v>
      </c>
      <c r="AZ22" s="45"/>
      <c r="BA22" s="12">
        <f>AS22-'GENEL HEDEF'!E22</f>
        <v>-4.3</v>
      </c>
      <c r="BB22" s="15">
        <f>AT22-'GENEL HEDEF'!F22</f>
        <v>0</v>
      </c>
      <c r="BC22" s="86">
        <f t="shared" si="14"/>
        <v>4.3</v>
      </c>
    </row>
    <row r="23" spans="2:55" x14ac:dyDescent="0.15">
      <c r="B23" s="31">
        <v>10</v>
      </c>
      <c r="C23" s="1" t="s">
        <v>16</v>
      </c>
      <c r="E23" s="22"/>
      <c r="F23" s="23">
        <f>IF(ISERROR(VLOOKUP($B23,[1]Hedef!$A$4:$ES$45409,19,0)),0,VLOOKUP($B23,[1]Hedef!$A$4:$ES$45409,19,0))</f>
        <v>6.5000000000000002E-2</v>
      </c>
      <c r="G23" s="23" t="str">
        <f t="shared" si="33"/>
        <v>-</v>
      </c>
      <c r="H23" s="80" t="e">
        <f t="shared" si="34"/>
        <v>#DIV/0!</v>
      </c>
      <c r="J23" s="44">
        <v>0.64970000000000006</v>
      </c>
      <c r="K23" s="11">
        <f t="shared" si="35"/>
        <v>-0.89995382484223485</v>
      </c>
      <c r="M23" s="22"/>
      <c r="N23" s="23">
        <f>IF(ISERROR(VLOOKUP($B23,[1]Hedef!$A$4:$ES$45409,17,0)),0,VLOOKUP($B23,[1]Hedef!$A$4:$ES$45409,17,0))</f>
        <v>0</v>
      </c>
      <c r="O23" s="23">
        <f t="shared" si="36"/>
        <v>0</v>
      </c>
      <c r="P23" s="80" t="e">
        <f t="shared" si="37"/>
        <v>#DIV/0!</v>
      </c>
      <c r="R23" s="44">
        <v>0.37480000000000002</v>
      </c>
      <c r="S23" s="11">
        <f t="shared" si="38"/>
        <v>-1</v>
      </c>
      <c r="U23" s="22"/>
      <c r="V23" s="23">
        <f>IF(ISERROR(VLOOKUP($B23,[1]Hedef!$A$4:$ES$45409,5,0)),0,VLOOKUP($B23,[1]Hedef!$A$4:$ES$45409,5,0))</f>
        <v>8.9999999999999993E-3</v>
      </c>
      <c r="W23" s="23" t="str">
        <f t="shared" si="39"/>
        <v>-</v>
      </c>
      <c r="X23" s="80" t="e">
        <f t="shared" si="40"/>
        <v>#DIV/0!</v>
      </c>
      <c r="Z23" s="44">
        <v>0.99859999999999993</v>
      </c>
      <c r="AA23" s="11">
        <f t="shared" si="41"/>
        <v>-0.9909873823352694</v>
      </c>
      <c r="AC23" s="22"/>
      <c r="AD23" s="23">
        <f>IF(ISERROR(VLOOKUP($B23,[1]Hedef!$A$4:$ES$45409,7,0)),0,VLOOKUP($B23,[1]Hedef!$A$4:$ES$45409,7,0))</f>
        <v>0.11839999999999999</v>
      </c>
      <c r="AE23" s="23" t="str">
        <f t="shared" si="42"/>
        <v>-</v>
      </c>
      <c r="AF23" s="80" t="e">
        <f t="shared" si="43"/>
        <v>#DIV/0!</v>
      </c>
      <c r="AH23" s="44">
        <v>0.57140000000000002</v>
      </c>
      <c r="AI23" s="11">
        <f t="shared" si="44"/>
        <v>-0.79278963948197412</v>
      </c>
      <c r="AK23" s="22"/>
      <c r="AL23" s="23">
        <f>IF(ISERROR(VLOOKUP($B23,[1]Hedef!$A$4:$ES$45409,9,0)),0,VLOOKUP($B23,[1]Hedef!$A$4:$ES$45409,9,0))</f>
        <v>0</v>
      </c>
      <c r="AM23" s="23">
        <f t="shared" si="45"/>
        <v>0</v>
      </c>
      <c r="AN23" s="80"/>
      <c r="AP23" s="44">
        <v>0</v>
      </c>
      <c r="AQ23" s="11">
        <f t="shared" si="46"/>
        <v>0</v>
      </c>
      <c r="AS23" s="22">
        <f t="shared" si="47"/>
        <v>0</v>
      </c>
      <c r="AT23" s="23">
        <f t="shared" si="48"/>
        <v>0.19239999999999999</v>
      </c>
      <c r="AU23" s="23" t="str">
        <f t="shared" si="49"/>
        <v>-</v>
      </c>
      <c r="AV23" s="80" t="e">
        <f t="shared" si="50"/>
        <v>#DIV/0!</v>
      </c>
      <c r="AX23" s="44">
        <f t="shared" si="51"/>
        <v>2.5945000000000005</v>
      </c>
      <c r="AY23" s="11">
        <f t="shared" si="52"/>
        <v>-0.92584312969743687</v>
      </c>
      <c r="AZ23" s="45"/>
      <c r="BA23" s="12">
        <f>AS23-'GENEL HEDEF'!E23</f>
        <v>-2.9</v>
      </c>
      <c r="BB23" s="15">
        <f>AT23-'GENEL HEDEF'!F23</f>
        <v>0</v>
      </c>
      <c r="BC23" s="86">
        <f t="shared" si="14"/>
        <v>2.9</v>
      </c>
    </row>
    <row r="24" spans="2:55" x14ac:dyDescent="0.15">
      <c r="B24" s="31">
        <v>60</v>
      </c>
      <c r="C24" s="1" t="s">
        <v>62</v>
      </c>
      <c r="E24" s="22"/>
      <c r="F24" s="23">
        <f>IF(ISERROR(VLOOKUP($B24,[1]Hedef!$A$4:$ES$45409,19,0)),0,VLOOKUP($B24,[1]Hedef!$A$4:$ES$45409,19,0))</f>
        <v>0.1739</v>
      </c>
      <c r="G24" s="23" t="str">
        <f t="shared" si="33"/>
        <v>-</v>
      </c>
      <c r="H24" s="80" t="e">
        <f t="shared" si="34"/>
        <v>#DIV/0!</v>
      </c>
      <c r="J24" s="44">
        <v>1.9434000000000002</v>
      </c>
      <c r="K24" s="11">
        <f t="shared" si="35"/>
        <v>-0.91051764948029235</v>
      </c>
      <c r="M24" s="22"/>
      <c r="N24" s="23">
        <f>IF(ISERROR(VLOOKUP($B24,[1]Hedef!$A$4:$ES$45409,17,0)),0,VLOOKUP($B24,[1]Hedef!$A$4:$ES$45409,17,0))</f>
        <v>0.19400000000000001</v>
      </c>
      <c r="O24" s="23" t="str">
        <f t="shared" si="36"/>
        <v>-</v>
      </c>
      <c r="P24" s="80" t="e">
        <f t="shared" si="37"/>
        <v>#DIV/0!</v>
      </c>
      <c r="R24" s="44">
        <v>2.4167199999999998</v>
      </c>
      <c r="S24" s="11">
        <f t="shared" si="38"/>
        <v>-0.9197259094971697</v>
      </c>
      <c r="U24" s="22"/>
      <c r="V24" s="23">
        <f>IF(ISERROR(VLOOKUP($B24,[1]Hedef!$A$4:$ES$45409,5,0)),0,VLOOKUP($B24,[1]Hedef!$A$4:$ES$45409,5,0))</f>
        <v>5.2000000000000005E-2</v>
      </c>
      <c r="W24" s="23" t="str">
        <f t="shared" si="39"/>
        <v>-</v>
      </c>
      <c r="X24" s="80" t="e">
        <f t="shared" si="40"/>
        <v>#DIV/0!</v>
      </c>
      <c r="Z24" s="44">
        <v>1.4907999999999999</v>
      </c>
      <c r="AA24" s="11">
        <f t="shared" si="41"/>
        <v>-0.96511939898041321</v>
      </c>
      <c r="AC24" s="22"/>
      <c r="AD24" s="23">
        <f>IF(ISERROR(VLOOKUP($B24,[1]Hedef!$A$4:$ES$45409,7,0)),0,VLOOKUP($B24,[1]Hedef!$A$4:$ES$45409,7,0))</f>
        <v>0.70499999999999996</v>
      </c>
      <c r="AE24" s="23" t="str">
        <f t="shared" si="42"/>
        <v>-</v>
      </c>
      <c r="AF24" s="80" t="e">
        <f t="shared" si="43"/>
        <v>#DIV/0!</v>
      </c>
      <c r="AH24" s="44">
        <v>2.4794999999999994</v>
      </c>
      <c r="AI24" s="11">
        <f t="shared" si="44"/>
        <v>-0.71566848154869922</v>
      </c>
      <c r="AK24" s="22"/>
      <c r="AL24" s="23">
        <f>IF(ISERROR(VLOOKUP($B24,[1]Hedef!$A$4:$ES$45409,9,0)),0,VLOOKUP($B24,[1]Hedef!$A$4:$ES$45409,9,0))</f>
        <v>0</v>
      </c>
      <c r="AM24" s="23">
        <f t="shared" si="45"/>
        <v>0</v>
      </c>
      <c r="AN24" s="80"/>
      <c r="AP24" s="44">
        <v>0</v>
      </c>
      <c r="AQ24" s="11">
        <f t="shared" si="46"/>
        <v>0</v>
      </c>
      <c r="AS24" s="22">
        <f t="shared" si="47"/>
        <v>0</v>
      </c>
      <c r="AT24" s="23">
        <f t="shared" si="48"/>
        <v>1.1249</v>
      </c>
      <c r="AU24" s="23" t="str">
        <f t="shared" si="49"/>
        <v>-</v>
      </c>
      <c r="AV24" s="80" t="e">
        <f t="shared" si="50"/>
        <v>#DIV/0!</v>
      </c>
      <c r="AX24" s="44">
        <f t="shared" si="51"/>
        <v>8.3304200000000002</v>
      </c>
      <c r="AY24" s="11">
        <f t="shared" si="52"/>
        <v>-0.86496479169117524</v>
      </c>
      <c r="AZ24" s="45"/>
      <c r="BA24" s="12">
        <f>AS24-'GENEL HEDEF'!E24</f>
        <v>-8.6999999999999993</v>
      </c>
      <c r="BB24" s="15">
        <f>AT24-'GENEL HEDEF'!F24</f>
        <v>0</v>
      </c>
      <c r="BC24" s="86">
        <f t="shared" si="14"/>
        <v>8.6999999999999993</v>
      </c>
    </row>
    <row r="25" spans="2:55" x14ac:dyDescent="0.15">
      <c r="B25" s="31">
        <v>45</v>
      </c>
      <c r="C25" s="1" t="s">
        <v>17</v>
      </c>
      <c r="E25" s="22"/>
      <c r="F25" s="23">
        <f>IF(ISERROR(VLOOKUP($B25,[1]Hedef!$A$4:$ES$45409,19,0)),0,VLOOKUP($B25,[1]Hedef!$A$4:$ES$45409,19,0))</f>
        <v>0.24</v>
      </c>
      <c r="G25" s="23" t="str">
        <f t="shared" si="33"/>
        <v>-</v>
      </c>
      <c r="H25" s="80" t="e">
        <f t="shared" si="34"/>
        <v>#DIV/0!</v>
      </c>
      <c r="J25" s="44">
        <v>1.0035000000000001</v>
      </c>
      <c r="K25" s="11">
        <f t="shared" si="35"/>
        <v>-0.76083707025411063</v>
      </c>
      <c r="M25" s="22"/>
      <c r="N25" s="23">
        <f>IF(ISERROR(VLOOKUP($B25,[1]Hedef!$A$4:$ES$45409,17,0)),0,VLOOKUP($B25,[1]Hedef!$A$4:$ES$45409,17,0))</f>
        <v>0.48</v>
      </c>
      <c r="O25" s="23" t="str">
        <f t="shared" si="36"/>
        <v>-</v>
      </c>
      <c r="P25" s="80" t="e">
        <f t="shared" si="37"/>
        <v>#DIV/0!</v>
      </c>
      <c r="R25" s="44">
        <v>0.25650000000000001</v>
      </c>
      <c r="S25" s="11">
        <f t="shared" si="38"/>
        <v>0.87134502923976598</v>
      </c>
      <c r="U25" s="22"/>
      <c r="V25" s="23">
        <f>IF(ISERROR(VLOOKUP($B25,[1]Hedef!$A$4:$ES$45409,5,0)),0,VLOOKUP($B25,[1]Hedef!$A$4:$ES$45409,5,0))</f>
        <v>0.02</v>
      </c>
      <c r="W25" s="23" t="str">
        <f t="shared" si="39"/>
        <v>-</v>
      </c>
      <c r="X25" s="80" t="e">
        <f t="shared" si="40"/>
        <v>#DIV/0!</v>
      </c>
      <c r="Z25" s="44">
        <v>0.86999999999999988</v>
      </c>
      <c r="AA25" s="11">
        <f t="shared" si="41"/>
        <v>-0.97701149425287359</v>
      </c>
      <c r="AC25" s="22"/>
      <c r="AD25" s="23">
        <f>IF(ISERROR(VLOOKUP($B25,[1]Hedef!$A$4:$ES$45409,7,0)),0,VLOOKUP($B25,[1]Hedef!$A$4:$ES$45409,7,0))</f>
        <v>0.1075</v>
      </c>
      <c r="AE25" s="23" t="str">
        <f t="shared" si="42"/>
        <v>-</v>
      </c>
      <c r="AF25" s="80" t="e">
        <f t="shared" si="43"/>
        <v>#DIV/0!</v>
      </c>
      <c r="AH25" s="44">
        <v>0.88750000000000007</v>
      </c>
      <c r="AI25" s="11">
        <f t="shared" si="44"/>
        <v>-0.87887323943661966</v>
      </c>
      <c r="AK25" s="22"/>
      <c r="AL25" s="23">
        <f>IF(ISERROR(VLOOKUP($B25,[1]Hedef!$A$4:$ES$45409,9,0)),0,VLOOKUP($B25,[1]Hedef!$A$4:$ES$45409,9,0))</f>
        <v>0</v>
      </c>
      <c r="AM25" s="23">
        <f t="shared" si="45"/>
        <v>0</v>
      </c>
      <c r="AN25" s="80"/>
      <c r="AP25" s="44">
        <v>0</v>
      </c>
      <c r="AQ25" s="11">
        <f t="shared" si="46"/>
        <v>0</v>
      </c>
      <c r="AS25" s="22">
        <f t="shared" si="47"/>
        <v>0</v>
      </c>
      <c r="AT25" s="23">
        <f t="shared" si="48"/>
        <v>0.84750000000000003</v>
      </c>
      <c r="AU25" s="23" t="str">
        <f t="shared" si="49"/>
        <v>-</v>
      </c>
      <c r="AV25" s="80" t="e">
        <f t="shared" si="50"/>
        <v>#DIV/0!</v>
      </c>
      <c r="AX25" s="44">
        <f t="shared" si="51"/>
        <v>3.0175000000000001</v>
      </c>
      <c r="AY25" s="11">
        <f t="shared" si="52"/>
        <v>-0.71913835956917971</v>
      </c>
      <c r="AZ25" s="45"/>
      <c r="BA25" s="12">
        <f>AS25-'GENEL HEDEF'!E25</f>
        <v>-4.33</v>
      </c>
      <c r="BB25" s="15">
        <f>AT25-'GENEL HEDEF'!F25</f>
        <v>0</v>
      </c>
      <c r="BC25" s="86">
        <f t="shared" si="14"/>
        <v>4.33</v>
      </c>
    </row>
    <row r="26" spans="2:55" x14ac:dyDescent="0.15">
      <c r="B26" s="31">
        <v>12</v>
      </c>
      <c r="C26" s="1" t="s">
        <v>18</v>
      </c>
      <c r="E26" s="22"/>
      <c r="F26" s="23">
        <f>IF(ISERROR(VLOOKUP($B26,[1]Hedef!$A$4:$ES$45409,19,0)),0,VLOOKUP($B26,[1]Hedef!$A$4:$ES$45409,19,0))</f>
        <v>0.05</v>
      </c>
      <c r="G26" s="23" t="str">
        <f t="shared" si="33"/>
        <v>-</v>
      </c>
      <c r="H26" s="80" t="e">
        <f t="shared" si="34"/>
        <v>#DIV/0!</v>
      </c>
      <c r="J26" s="44">
        <v>0.61</v>
      </c>
      <c r="K26" s="11">
        <f t="shared" si="35"/>
        <v>-0.91803278688524581</v>
      </c>
      <c r="M26" s="22"/>
      <c r="N26" s="23">
        <f>IF(ISERROR(VLOOKUP($B26,[1]Hedef!$A$4:$ES$45409,17,0)),0,VLOOKUP($B26,[1]Hedef!$A$4:$ES$45409,17,0))</f>
        <v>2.75E-2</v>
      </c>
      <c r="O26" s="23" t="str">
        <f t="shared" si="36"/>
        <v>-</v>
      </c>
      <c r="P26" s="80" t="e">
        <f t="shared" si="37"/>
        <v>#DIV/0!</v>
      </c>
      <c r="R26" s="44">
        <v>0.42</v>
      </c>
      <c r="S26" s="11">
        <f t="shared" si="38"/>
        <v>-0.93452380952380942</v>
      </c>
      <c r="U26" s="22"/>
      <c r="V26" s="23">
        <f>IF(ISERROR(VLOOKUP($B26,[1]Hedef!$A$4:$ES$45409,5,0)),0,VLOOKUP($B26,[1]Hedef!$A$4:$ES$45409,5,0))</f>
        <v>0.51</v>
      </c>
      <c r="W26" s="23" t="str">
        <f t="shared" si="39"/>
        <v>-</v>
      </c>
      <c r="X26" s="80" t="e">
        <f t="shared" si="40"/>
        <v>#DIV/0!</v>
      </c>
      <c r="Z26" s="44">
        <v>7.4999999999999997E-2</v>
      </c>
      <c r="AA26" s="11">
        <f t="shared" si="41"/>
        <v>5.8</v>
      </c>
      <c r="AC26" s="22"/>
      <c r="AD26" s="23">
        <f>IF(ISERROR(VLOOKUP($B26,[1]Hedef!$A$4:$ES$45409,7,0)),0,VLOOKUP($B26,[1]Hedef!$A$4:$ES$45409,7,0))</f>
        <v>8.0000000000000002E-3</v>
      </c>
      <c r="AE26" s="23" t="str">
        <f t="shared" si="42"/>
        <v>-</v>
      </c>
      <c r="AF26" s="80" t="e">
        <f t="shared" si="43"/>
        <v>#DIV/0!</v>
      </c>
      <c r="AH26" s="44">
        <v>3.95E-2</v>
      </c>
      <c r="AI26" s="11">
        <f t="shared" si="44"/>
        <v>-0.79746835443037978</v>
      </c>
      <c r="AK26" s="22"/>
      <c r="AL26" s="23">
        <f>IF(ISERROR(VLOOKUP($B26,[1]Hedef!$A$4:$ES$45409,9,0)),0,VLOOKUP($B26,[1]Hedef!$A$4:$ES$45409,9,0))</f>
        <v>0</v>
      </c>
      <c r="AM26" s="23">
        <f t="shared" si="45"/>
        <v>0</v>
      </c>
      <c r="AN26" s="80"/>
      <c r="AP26" s="44">
        <v>0</v>
      </c>
      <c r="AQ26" s="11">
        <f t="shared" si="46"/>
        <v>0</v>
      </c>
      <c r="AS26" s="22">
        <f t="shared" si="47"/>
        <v>0</v>
      </c>
      <c r="AT26" s="23">
        <f t="shared" si="48"/>
        <v>0.59550000000000003</v>
      </c>
      <c r="AU26" s="23" t="str">
        <f t="shared" si="49"/>
        <v>-</v>
      </c>
      <c r="AV26" s="80" t="e">
        <f t="shared" si="50"/>
        <v>#DIV/0!</v>
      </c>
      <c r="AX26" s="44">
        <f t="shared" si="51"/>
        <v>1.1445000000000001</v>
      </c>
      <c r="AY26" s="11">
        <f t="shared" si="52"/>
        <v>-0.4796854521625164</v>
      </c>
      <c r="AZ26" s="45"/>
      <c r="BA26" s="12">
        <f>AS26-'GENEL HEDEF'!E26</f>
        <v>-2.2000000000000002</v>
      </c>
      <c r="BB26" s="15">
        <f>AT26-'GENEL HEDEF'!F26</f>
        <v>0</v>
      </c>
      <c r="BC26" s="86">
        <f t="shared" si="14"/>
        <v>2.2000000000000002</v>
      </c>
    </row>
    <row r="27" spans="2:55" x14ac:dyDescent="0.15">
      <c r="B27" s="31">
        <v>13</v>
      </c>
      <c r="C27" s="1" t="s">
        <v>106</v>
      </c>
      <c r="E27" s="22"/>
      <c r="F27" s="23">
        <f>IF(ISERROR(VLOOKUP($B27,[1]Hedef!$A$4:$ES$45409,19,0)),0,VLOOKUP($B27,[1]Hedef!$A$4:$ES$45409,19,0))</f>
        <v>0.41249999999999998</v>
      </c>
      <c r="G27" s="23" t="str">
        <f t="shared" si="33"/>
        <v>-</v>
      </c>
      <c r="H27" s="80" t="e">
        <f t="shared" si="34"/>
        <v>#DIV/0!</v>
      </c>
      <c r="J27" s="44">
        <v>10.900640000000001</v>
      </c>
      <c r="K27" s="11">
        <f t="shared" si="35"/>
        <v>-0.96215818520747409</v>
      </c>
      <c r="M27" s="22"/>
      <c r="N27" s="23">
        <f>IF(ISERROR(VLOOKUP($B27,[1]Hedef!$A$4:$ES$45409,17,0)),0,VLOOKUP($B27,[1]Hedef!$A$4:$ES$45409,17,0))</f>
        <v>4.2000000000000003E-2</v>
      </c>
      <c r="O27" s="23" t="str">
        <f t="shared" si="36"/>
        <v>-</v>
      </c>
      <c r="P27" s="80" t="e">
        <f t="shared" si="37"/>
        <v>#DIV/0!</v>
      </c>
      <c r="R27" s="44">
        <v>14.31724</v>
      </c>
      <c r="S27" s="11">
        <f t="shared" si="38"/>
        <v>-0.99706647370582602</v>
      </c>
      <c r="U27" s="22"/>
      <c r="V27" s="23">
        <f>IF(ISERROR(VLOOKUP($B27,[1]Hedef!$A$4:$ES$45409,5,0)),0,VLOOKUP($B27,[1]Hedef!$A$4:$ES$45409,5,0))</f>
        <v>6.1000000000000006E-2</v>
      </c>
      <c r="W27" s="23" t="str">
        <f t="shared" si="39"/>
        <v>-</v>
      </c>
      <c r="X27" s="80" t="e">
        <f t="shared" si="40"/>
        <v>#DIV/0!</v>
      </c>
      <c r="Z27" s="44">
        <v>1.3282499999999999</v>
      </c>
      <c r="AA27" s="11">
        <f t="shared" si="41"/>
        <v>-0.95407491059664973</v>
      </c>
      <c r="AC27" s="22"/>
      <c r="AD27" s="23">
        <f>IF(ISERROR(VLOOKUP($B27,[1]Hedef!$A$4:$ES$45409,7,0)),0,VLOOKUP($B27,[1]Hedef!$A$4:$ES$45409,7,0))</f>
        <v>2.2000000000000002E-2</v>
      </c>
      <c r="AE27" s="23" t="str">
        <f t="shared" si="42"/>
        <v>-</v>
      </c>
      <c r="AF27" s="80" t="e">
        <f t="shared" si="43"/>
        <v>#DIV/0!</v>
      </c>
      <c r="AH27" s="44">
        <v>1.0285</v>
      </c>
      <c r="AI27" s="11">
        <f t="shared" si="44"/>
        <v>-0.97860962566844922</v>
      </c>
      <c r="AK27" s="22"/>
      <c r="AL27" s="23">
        <f>IF(ISERROR(VLOOKUP($B27,[1]Hedef!$A$4:$ES$45409,9,0)),0,VLOOKUP($B27,[1]Hedef!$A$4:$ES$45409,9,0))</f>
        <v>0</v>
      </c>
      <c r="AM27" s="23">
        <f t="shared" si="45"/>
        <v>0</v>
      </c>
      <c r="AN27" s="80"/>
      <c r="AP27" s="44">
        <v>0</v>
      </c>
      <c r="AQ27" s="11">
        <f t="shared" si="46"/>
        <v>0</v>
      </c>
      <c r="AS27" s="22">
        <f t="shared" si="47"/>
        <v>0</v>
      </c>
      <c r="AT27" s="23">
        <f t="shared" si="48"/>
        <v>0.53749999999999998</v>
      </c>
      <c r="AU27" s="23" t="str">
        <f t="shared" si="49"/>
        <v>-</v>
      </c>
      <c r="AV27" s="80" t="e">
        <f t="shared" si="50"/>
        <v>#DIV/0!</v>
      </c>
      <c r="AX27" s="44">
        <f t="shared" si="51"/>
        <v>27.574630000000003</v>
      </c>
      <c r="AY27" s="11">
        <f t="shared" si="52"/>
        <v>-0.98050744470551365</v>
      </c>
      <c r="AZ27" s="45"/>
      <c r="BA27" s="12">
        <f>AS27-'GENEL HEDEF'!E27</f>
        <v>-13.8</v>
      </c>
      <c r="BB27" s="15">
        <f>AT27-'GENEL HEDEF'!F27</f>
        <v>0</v>
      </c>
      <c r="BC27" s="86">
        <f t="shared" si="14"/>
        <v>13.8</v>
      </c>
    </row>
    <row r="28" spans="2:55" ht="11.25" customHeight="1" x14ac:dyDescent="0.15">
      <c r="B28" s="31">
        <v>21</v>
      </c>
      <c r="C28" s="1" t="s">
        <v>70</v>
      </c>
      <c r="E28" s="22"/>
      <c r="F28" s="23">
        <f>IF(ISERROR(VLOOKUP($B28,[1]Hedef!$A$4:$ES$45409,19,0)),0,VLOOKUP($B28,[1]Hedef!$A$4:$ES$45409,19,0))</f>
        <v>8.75</v>
      </c>
      <c r="G28" s="23" t="str">
        <f t="shared" si="33"/>
        <v>-</v>
      </c>
      <c r="H28" s="80" t="e">
        <f t="shared" si="34"/>
        <v>#DIV/0!</v>
      </c>
      <c r="J28" s="44">
        <v>14.75</v>
      </c>
      <c r="K28" s="11">
        <f t="shared" si="35"/>
        <v>-0.40677966101694918</v>
      </c>
      <c r="M28" s="22"/>
      <c r="N28" s="23">
        <f>IF(ISERROR(VLOOKUP($B28,[1]Hedef!$A$4:$ES$45409,17,0)),0,VLOOKUP($B28,[1]Hedef!$A$4:$ES$45409,17,0))</f>
        <v>20</v>
      </c>
      <c r="O28" s="23" t="str">
        <f t="shared" si="36"/>
        <v>-</v>
      </c>
      <c r="P28" s="80" t="e">
        <f t="shared" si="37"/>
        <v>#DIV/0!</v>
      </c>
      <c r="R28" s="44">
        <v>61.800000000000004</v>
      </c>
      <c r="S28" s="11">
        <f t="shared" si="38"/>
        <v>-0.67637540453074441</v>
      </c>
      <c r="U28" s="22"/>
      <c r="V28" s="23">
        <f>IF(ISERROR(VLOOKUP($B28,[1]Hedef!$A$4:$ES$45409,5,0)),0,VLOOKUP($B28,[1]Hedef!$A$4:$ES$45409,5,0))</f>
        <v>0</v>
      </c>
      <c r="W28" s="23">
        <f t="shared" si="39"/>
        <v>0</v>
      </c>
      <c r="X28" s="80" t="e">
        <f t="shared" si="40"/>
        <v>#DIV/0!</v>
      </c>
      <c r="Z28" s="44">
        <v>58.1</v>
      </c>
      <c r="AA28" s="11">
        <f t="shared" si="41"/>
        <v>-1</v>
      </c>
      <c r="AC28" s="22"/>
      <c r="AD28" s="23">
        <f>IF(ISERROR(VLOOKUP($B28,[1]Hedef!$A$4:$ES$45409,7,0)),0,VLOOKUP($B28,[1]Hedef!$A$4:$ES$45409,7,0))</f>
        <v>2.5</v>
      </c>
      <c r="AE28" s="23" t="str">
        <f t="shared" si="42"/>
        <v>-</v>
      </c>
      <c r="AF28" s="80" t="e">
        <f t="shared" si="43"/>
        <v>#DIV/0!</v>
      </c>
      <c r="AH28" s="44">
        <v>84.75</v>
      </c>
      <c r="AI28" s="11">
        <f t="shared" si="44"/>
        <v>-0.97050147492625372</v>
      </c>
      <c r="AK28" s="22"/>
      <c r="AL28" s="23">
        <f>IF(ISERROR(VLOOKUP($B28,[1]Hedef!$A$4:$ES$45409,9,0)),0,VLOOKUP($B28,[1]Hedef!$A$4:$ES$45409,9,0))</f>
        <v>0.22500000000000001</v>
      </c>
      <c r="AM28" s="23" t="str">
        <f t="shared" si="45"/>
        <v>-</v>
      </c>
      <c r="AN28" s="80" t="e">
        <f>TRUNC(IF((AL28/AK28)&gt;1.2,"120%",(AL28/AK28)),2)</f>
        <v>#DIV/0!</v>
      </c>
      <c r="AP28" s="44">
        <v>1.7</v>
      </c>
      <c r="AQ28" s="11">
        <f t="shared" si="46"/>
        <v>-0.86764705882352933</v>
      </c>
      <c r="AS28" s="22">
        <f t="shared" si="47"/>
        <v>0</v>
      </c>
      <c r="AT28" s="23">
        <f t="shared" si="48"/>
        <v>31.475000000000001</v>
      </c>
      <c r="AU28" s="23" t="str">
        <f t="shared" si="49"/>
        <v>-</v>
      </c>
      <c r="AV28" s="80" t="e">
        <f t="shared" si="50"/>
        <v>#DIV/0!</v>
      </c>
      <c r="AX28" s="44">
        <f t="shared" si="51"/>
        <v>221.1</v>
      </c>
      <c r="AY28" s="11">
        <f t="shared" si="52"/>
        <v>-0.85764360018091368</v>
      </c>
      <c r="AZ28" s="45"/>
      <c r="BA28" s="12">
        <f>AS28-'GENEL HEDEF'!E28</f>
        <v>-102</v>
      </c>
      <c r="BB28" s="15">
        <f>AT28-'GENEL HEDEF'!F28</f>
        <v>0</v>
      </c>
      <c r="BC28" s="86">
        <f t="shared" si="14"/>
        <v>102</v>
      </c>
    </row>
    <row r="29" spans="2:55" ht="13" thickBot="1" x14ac:dyDescent="0.2">
      <c r="B29" s="31">
        <v>40</v>
      </c>
      <c r="C29" s="1" t="s">
        <v>19</v>
      </c>
      <c r="E29" s="22"/>
      <c r="F29" s="23">
        <f>IF(ISERROR(VLOOKUP($B29,[1]Hedef!$A$4:$ES$45409,19,0)),0,VLOOKUP($B29,[1]Hedef!$A$4:$ES$45409,19,0))</f>
        <v>6.0000000000000005E-2</v>
      </c>
      <c r="G29" s="23" t="str">
        <f t="shared" si="33"/>
        <v>-</v>
      </c>
      <c r="H29" s="80" t="e">
        <f t="shared" si="34"/>
        <v>#DIV/0!</v>
      </c>
      <c r="J29" s="44">
        <v>1.8900000000000001</v>
      </c>
      <c r="K29" s="11">
        <f t="shared" si="35"/>
        <v>-0.96825396825396826</v>
      </c>
      <c r="M29" s="22"/>
      <c r="N29" s="23">
        <f>IF(ISERROR(VLOOKUP($B29,[1]Hedef!$A$4:$ES$45409,17,0)),0,VLOOKUP($B29,[1]Hedef!$A$4:$ES$45409,17,0))</f>
        <v>0.71</v>
      </c>
      <c r="O29" s="23" t="str">
        <f t="shared" si="36"/>
        <v>-</v>
      </c>
      <c r="P29" s="80" t="e">
        <f t="shared" si="37"/>
        <v>#DIV/0!</v>
      </c>
      <c r="R29" s="44">
        <v>5.8249999999999993</v>
      </c>
      <c r="S29" s="11">
        <f t="shared" si="38"/>
        <v>-0.87811158798283262</v>
      </c>
      <c r="U29" s="22"/>
      <c r="V29" s="23">
        <f>IF(ISERROR(VLOOKUP($B29,[1]Hedef!$A$4:$ES$45409,5,0)),0,VLOOKUP($B29,[1]Hedef!$A$4:$ES$45409,5,0))</f>
        <v>2.5000000000000001E-2</v>
      </c>
      <c r="W29" s="23" t="str">
        <f t="shared" si="39"/>
        <v>-</v>
      </c>
      <c r="X29" s="80" t="e">
        <f t="shared" si="40"/>
        <v>#DIV/0!</v>
      </c>
      <c r="Z29" s="44">
        <v>6.25</v>
      </c>
      <c r="AA29" s="11">
        <f t="shared" si="41"/>
        <v>-0.996</v>
      </c>
      <c r="AC29" s="22"/>
      <c r="AD29" s="23">
        <f>IF(ISERROR(VLOOKUP($B29,[1]Hedef!$A$4:$ES$45409,7,0)),0,VLOOKUP($B29,[1]Hedef!$A$4:$ES$45409,7,0))</f>
        <v>0.26</v>
      </c>
      <c r="AE29" s="23" t="str">
        <f t="shared" ref="AE29" si="53">IF((AC29-AD29)&lt;0, "-", (AC29-AD29))</f>
        <v>-</v>
      </c>
      <c r="AF29" s="80" t="e">
        <f t="shared" si="43"/>
        <v>#DIV/0!</v>
      </c>
      <c r="AH29" s="44">
        <v>3.0449999999999999</v>
      </c>
      <c r="AI29" s="11">
        <f t="shared" ref="AI29" si="54">IF(ISERROR((AD29-AH29)/AH29),0,(AD29-AH29)/AH29)</f>
        <v>-0.91461412151067334</v>
      </c>
      <c r="AK29" s="22"/>
      <c r="AL29" s="23">
        <f>IF(ISERROR(VLOOKUP($B29,[1]Hedef!$A$4:$ES$45409,9,0)),0,VLOOKUP($B29,[1]Hedef!$A$4:$ES$45409,9,0))</f>
        <v>0</v>
      </c>
      <c r="AM29" s="23">
        <f t="shared" ref="AM29" si="55">IF((AK29-AL29)&lt;0, "-", (AK29-AL29))</f>
        <v>0</v>
      </c>
      <c r="AN29" s="80"/>
      <c r="AP29" s="44">
        <v>0</v>
      </c>
      <c r="AQ29" s="11">
        <f t="shared" ref="AQ29" si="56">IF(ISERROR((AL29-AP29)/AP29),0,(AL29-AP29)/AP29)</f>
        <v>0</v>
      </c>
      <c r="AS29" s="22">
        <f t="shared" si="47"/>
        <v>0</v>
      </c>
      <c r="AT29" s="23">
        <f t="shared" si="48"/>
        <v>1.0550000000000002</v>
      </c>
      <c r="AU29" s="23" t="str">
        <f t="shared" si="49"/>
        <v>-</v>
      </c>
      <c r="AV29" s="80" t="e">
        <f t="shared" si="50"/>
        <v>#DIV/0!</v>
      </c>
      <c r="AX29" s="44">
        <f t="shared" si="51"/>
        <v>17.009999999999998</v>
      </c>
      <c r="AY29" s="11">
        <f t="shared" si="52"/>
        <v>-0.93797766019988238</v>
      </c>
      <c r="AZ29" s="45"/>
      <c r="BA29" s="12">
        <f>AS29-'GENEL HEDEF'!E29</f>
        <v>-17.2</v>
      </c>
      <c r="BB29" s="15">
        <f>AT29-'GENEL HEDEF'!F29</f>
        <v>0</v>
      </c>
      <c r="BC29" s="86">
        <f t="shared" si="14"/>
        <v>17.2</v>
      </c>
    </row>
    <row r="30" spans="2:55" ht="14" thickTop="1" thickBot="1" x14ac:dyDescent="0.2">
      <c r="B30" s="18"/>
      <c r="C30" s="2" t="s">
        <v>20</v>
      </c>
      <c r="E30" s="67">
        <f>SUM(E22:E29)</f>
        <v>0</v>
      </c>
      <c r="F30" s="67">
        <f>SUM(F22:F29)</f>
        <v>9.7830000000000013</v>
      </c>
      <c r="G30" s="67">
        <f>SUM(G22:G29)</f>
        <v>0</v>
      </c>
      <c r="H30" s="39" t="e">
        <f>TRUNC(IF((F30/E30)&gt;1.2,"120%",(F30/E30)),2)</f>
        <v>#DIV/0!</v>
      </c>
      <c r="I30" s="109"/>
      <c r="J30" s="48"/>
      <c r="K30" s="48"/>
      <c r="L30" s="109"/>
      <c r="M30" s="67">
        <f>SUM(M22:M29)</f>
        <v>0</v>
      </c>
      <c r="N30" s="67">
        <f>SUM(N22:N29)</f>
        <v>21.453500000000002</v>
      </c>
      <c r="O30" s="67">
        <f>SUM(O22:O29)</f>
        <v>0</v>
      </c>
      <c r="P30" s="39" t="e">
        <f>TRUNC(IF((N30/M30)&gt;1.2,"120%",(N30/M30)),2)</f>
        <v>#DIV/0!</v>
      </c>
      <c r="Q30" s="109"/>
      <c r="R30" s="48"/>
      <c r="S30" s="48"/>
      <c r="T30" s="109"/>
      <c r="U30" s="67">
        <f>SUM(U22:U29)</f>
        <v>0</v>
      </c>
      <c r="V30" s="67">
        <f>SUM(V22:V29)</f>
        <v>0.8670000000000001</v>
      </c>
      <c r="W30" s="67">
        <f>SUM(W22:W29)</f>
        <v>0</v>
      </c>
      <c r="X30" s="39" t="e">
        <f>TRUNC(IF((V30/U30)&gt;1.2,"120%",(V30/U30)),2)</f>
        <v>#DIV/0!</v>
      </c>
      <c r="Y30" s="78"/>
      <c r="Z30" s="48"/>
      <c r="AA30" s="48"/>
      <c r="AB30" s="109"/>
      <c r="AC30" s="67">
        <f>SUM(AC22:AC29)</f>
        <v>0</v>
      </c>
      <c r="AD30" s="67">
        <f>SUM(AD22:AD29)</f>
        <v>4.8508999999999993</v>
      </c>
      <c r="AE30" s="67">
        <f>SUM(AE22:AE29)</f>
        <v>0</v>
      </c>
      <c r="AF30" s="39" t="e">
        <f>TRUNC(IF((AD30/AC30)&gt;1.2,"120%",(AD30/AC30)),2)</f>
        <v>#DIV/0!</v>
      </c>
      <c r="AG30" s="109"/>
      <c r="AH30" s="48"/>
      <c r="AI30" s="48"/>
      <c r="AJ30" s="109"/>
      <c r="AK30" s="67">
        <f>SUM(AK22:AK29)</f>
        <v>0</v>
      </c>
      <c r="AL30" s="67">
        <f>SUM(AL22:AL29)</f>
        <v>0.22500000000000001</v>
      </c>
      <c r="AM30" s="67">
        <f>SUM(AM22:AM29)</f>
        <v>0</v>
      </c>
      <c r="AN30" s="39" t="e">
        <f>TRUNC(IF((AL30/AK30)&gt;1.2,"120%",(AL30/AK30)),2)</f>
        <v>#DIV/0!</v>
      </c>
      <c r="AO30" s="78"/>
      <c r="AP30" s="48"/>
      <c r="AQ30" s="48"/>
      <c r="AR30" s="109"/>
      <c r="AS30" s="67">
        <f>SUM(AS22:AS29)</f>
        <v>0</v>
      </c>
      <c r="AT30" s="67">
        <f>SUM(AT22:AT29)</f>
        <v>37.179400000000001</v>
      </c>
      <c r="AU30" s="67">
        <f>SUM(AU22:AU29)</f>
        <v>0</v>
      </c>
      <c r="AV30" s="39" t="e">
        <f>TRUNC(IF((AT30/AS30)&gt;1.2,"120%",(AT30/AS30)),2)</f>
        <v>#DIV/0!</v>
      </c>
      <c r="AX30" s="67"/>
      <c r="AY30" s="48"/>
      <c r="AZ30" s="45"/>
      <c r="BA30" s="8"/>
      <c r="BB30" s="9"/>
      <c r="BC30" s="86">
        <f t="shared" si="14"/>
        <v>0</v>
      </c>
    </row>
    <row r="31" spans="2:55" ht="13" thickTop="1" x14ac:dyDescent="0.15">
      <c r="B31" s="18">
        <v>15</v>
      </c>
      <c r="C31" s="1" t="s">
        <v>21</v>
      </c>
      <c r="E31" s="22"/>
      <c r="F31" s="23">
        <f>IF(ISERROR(VLOOKUP($B31,[1]Hedef!$A$4:$ES$45409,19,0)),0,VLOOKUP($B31,[1]Hedef!$A$4:$ES$45409,19,0))</f>
        <v>0.18659999999999999</v>
      </c>
      <c r="G31" s="23" t="str">
        <f t="shared" ref="G31:G38" si="57">IF((E31-F31)&lt;0, "-", (E31-F31))</f>
        <v>-</v>
      </c>
      <c r="H31" s="80" t="e">
        <f t="shared" ref="H31:H38" si="58">TRUNC(IF((F31/E31)&gt;1.2,"120%",(F31/E31)),2)</f>
        <v>#DIV/0!</v>
      </c>
      <c r="J31" s="44">
        <v>1.4234200000000001</v>
      </c>
      <c r="K31" s="11">
        <f t="shared" si="35"/>
        <v>-0.86890727965041947</v>
      </c>
      <c r="M31" s="22"/>
      <c r="N31" s="23">
        <f>IF(ISERROR(VLOOKUP($B31,[1]Hedef!$A$4:$ES$45409,17,0)),0,VLOOKUP($B31,[1]Hedef!$A$4:$ES$45409,17,0))</f>
        <v>4.3200000000000002E-2</v>
      </c>
      <c r="O31" s="23" t="str">
        <f t="shared" ref="O31:O38" si="59">IF((M31-N31)&lt;0, "-", (M31-N31))</f>
        <v>-</v>
      </c>
      <c r="P31" s="80" t="e">
        <f t="shared" ref="P31:P38" si="60">TRUNC(IF((N31/M31)&gt;1.2,"120%",(N31/M31)),2)</f>
        <v>#DIV/0!</v>
      </c>
      <c r="R31" s="44">
        <v>1.1997899999999999</v>
      </c>
      <c r="S31" s="11">
        <f t="shared" si="38"/>
        <v>-0.96399369889730713</v>
      </c>
      <c r="U31" s="22"/>
      <c r="V31" s="23">
        <f>IF(ISERROR(VLOOKUP($B31,[1]Hedef!$A$4:$ES$45409,5,0)),0,VLOOKUP($B31,[1]Hedef!$A$4:$ES$45409,5,0))</f>
        <v>8.4239999999999995E-2</v>
      </c>
      <c r="W31" s="23" t="str">
        <f t="shared" ref="W31:W38" si="61">IF((U31-V31)&lt;0, "-", (U31-V31))</f>
        <v>-</v>
      </c>
      <c r="X31" s="80" t="e">
        <f t="shared" ref="X31:X35" si="62">TRUNC(IF((V31/U31)&gt;1.2,"120%",(V31/U31)),2)</f>
        <v>#DIV/0!</v>
      </c>
      <c r="Z31" s="44">
        <v>0.23760000000000001</v>
      </c>
      <c r="AA31" s="11">
        <f t="shared" si="41"/>
        <v>-0.64545454545454539</v>
      </c>
      <c r="AC31" s="22"/>
      <c r="AD31" s="23">
        <f>IF(ISERROR(VLOOKUP($B31,[1]Hedef!$A$4:$ES$45409,7,0)),0,VLOOKUP($B31,[1]Hedef!$A$4:$ES$45409,7,0))</f>
        <v>8.6559999999999998E-2</v>
      </c>
      <c r="AE31" s="23" t="str">
        <f t="shared" ref="AE31:AE38" si="63">IF((AC31-AD31)&lt;0, "-", (AC31-AD31))</f>
        <v>-</v>
      </c>
      <c r="AF31" s="80" t="e">
        <f t="shared" ref="AF31:AF35" si="64">TRUNC(IF((AD31/AC31)&gt;1.2,"120%",(AD31/AC31)),2)</f>
        <v>#DIV/0!</v>
      </c>
      <c r="AH31" s="44">
        <v>0.16927999999999999</v>
      </c>
      <c r="AI31" s="11">
        <f t="shared" ref="AI31:AI38" si="65">IF(ISERROR((AD31-AH31)/AH31),0,(AD31-AH31)/AH31)</f>
        <v>-0.48865784499054815</v>
      </c>
      <c r="AK31" s="22"/>
      <c r="AL31" s="23">
        <f>IF(ISERROR(VLOOKUP($B31,[1]Hedef!$A$4:$ES$45409,9,0)),0,VLOOKUP($B31,[1]Hedef!$A$4:$ES$45409,9,0))</f>
        <v>0</v>
      </c>
      <c r="AM31" s="23">
        <f t="shared" ref="AM31:AM38" si="66">IF((AK31-AL31)&lt;0, "-", (AK31-AL31))</f>
        <v>0</v>
      </c>
      <c r="AN31" s="80"/>
      <c r="AP31" s="44">
        <v>0</v>
      </c>
      <c r="AQ31" s="11">
        <f t="shared" ref="AQ31:AQ38" si="67">IF(ISERROR((AL31-AP31)/AP31),0,(AL31-AP31)/AP31)</f>
        <v>0</v>
      </c>
      <c r="AS31" s="22">
        <f t="shared" ref="AS31:AT38" si="68">+E31+M31+U31+AC31+AK31</f>
        <v>0</v>
      </c>
      <c r="AT31" s="23">
        <f t="shared" si="68"/>
        <v>0.40059999999999996</v>
      </c>
      <c r="AU31" s="23" t="str">
        <f t="shared" ref="AU31:AU38" si="69">IF((AS31-AT31)&lt;0, "-", (AS31-AT31))</f>
        <v>-</v>
      </c>
      <c r="AV31" s="80" t="e">
        <f t="shared" ref="AV31:AV38" si="70">TRUNC(IF((AT31/AS31)&gt;1.2,"120%",(AT31/AS31)),2)</f>
        <v>#DIV/0!</v>
      </c>
      <c r="AX31" s="44">
        <f t="shared" ref="AX31:AX38" si="71">+R31+J31+Z31+AH31+AP31</f>
        <v>3.0300900000000004</v>
      </c>
      <c r="AY31" s="11">
        <f t="shared" si="52"/>
        <v>-0.86779270582721968</v>
      </c>
      <c r="AZ31" s="45"/>
      <c r="BA31" s="12">
        <f>AS31-'GENEL HEDEF'!E31</f>
        <v>-3.25</v>
      </c>
      <c r="BB31" s="15">
        <f>AT31-'GENEL HEDEF'!F31</f>
        <v>0</v>
      </c>
      <c r="BC31" s="86">
        <f t="shared" si="14"/>
        <v>3.25</v>
      </c>
    </row>
    <row r="32" spans="2:55" x14ac:dyDescent="0.15">
      <c r="B32" s="18">
        <v>57</v>
      </c>
      <c r="C32" s="1" t="s">
        <v>44</v>
      </c>
      <c r="E32" s="22"/>
      <c r="F32" s="23">
        <f>IF(ISERROR(VLOOKUP($B32,[1]Hedef!$A$4:$ES$45409,19,0)),0,VLOOKUP($B32,[1]Hedef!$A$4:$ES$45409,19,0))</f>
        <v>0</v>
      </c>
      <c r="G32" s="23">
        <f t="shared" si="57"/>
        <v>0</v>
      </c>
      <c r="H32" s="80" t="e">
        <f t="shared" si="58"/>
        <v>#DIV/0!</v>
      </c>
      <c r="J32" s="44">
        <v>0.12256</v>
      </c>
      <c r="K32" s="11">
        <f t="shared" si="35"/>
        <v>-1</v>
      </c>
      <c r="M32" s="22"/>
      <c r="N32" s="23">
        <f>IF(ISERROR(VLOOKUP($B32,[1]Hedef!$A$4:$ES$45409,17,0)),0,VLOOKUP($B32,[1]Hedef!$A$4:$ES$45409,17,0))</f>
        <v>0</v>
      </c>
      <c r="O32" s="23">
        <f t="shared" si="59"/>
        <v>0</v>
      </c>
      <c r="P32" s="80" t="e">
        <f t="shared" si="60"/>
        <v>#DIV/0!</v>
      </c>
      <c r="R32" s="44">
        <v>1.0500000000000001E-2</v>
      </c>
      <c r="S32" s="11">
        <f t="shared" si="38"/>
        <v>-1</v>
      </c>
      <c r="U32" s="22"/>
      <c r="V32" s="23">
        <f>IF(ISERROR(VLOOKUP($B32,[1]Hedef!$A$4:$ES$45409,5,0)),0,VLOOKUP($B32,[1]Hedef!$A$4:$ES$45409,5,0))</f>
        <v>8.9999999999999993E-3</v>
      </c>
      <c r="W32" s="23" t="str">
        <f t="shared" si="61"/>
        <v>-</v>
      </c>
      <c r="X32" s="80" t="e">
        <f t="shared" si="62"/>
        <v>#DIV/0!</v>
      </c>
      <c r="Z32" s="44">
        <v>0.20388000000000001</v>
      </c>
      <c r="AA32" s="11">
        <f t="shared" si="41"/>
        <v>-0.9558563861094761</v>
      </c>
      <c r="AC32" s="22"/>
      <c r="AD32" s="23">
        <f>IF(ISERROR(VLOOKUP($B32,[1]Hedef!$A$4:$ES$45409,7,0)),0,VLOOKUP($B32,[1]Hedef!$A$4:$ES$45409,7,0))</f>
        <v>2.8720000000000002E-2</v>
      </c>
      <c r="AE32" s="23" t="str">
        <f t="shared" si="63"/>
        <v>-</v>
      </c>
      <c r="AF32" s="80" t="e">
        <f t="shared" si="64"/>
        <v>#DIV/0!</v>
      </c>
      <c r="AH32" s="44">
        <v>0.36696000000000001</v>
      </c>
      <c r="AI32" s="11">
        <f t="shared" si="65"/>
        <v>-0.92173533900152604</v>
      </c>
      <c r="AK32" s="22"/>
      <c r="AL32" s="23">
        <f>IF(ISERROR(VLOOKUP($B32,[1]Hedef!$A$4:$ES$45409,9,0)),0,VLOOKUP($B32,[1]Hedef!$A$4:$ES$45409,9,0))</f>
        <v>0</v>
      </c>
      <c r="AM32" s="23">
        <f t="shared" si="66"/>
        <v>0</v>
      </c>
      <c r="AN32" s="80"/>
      <c r="AP32" s="44">
        <v>0</v>
      </c>
      <c r="AQ32" s="11">
        <f t="shared" si="67"/>
        <v>0</v>
      </c>
      <c r="AS32" s="22">
        <f t="shared" si="68"/>
        <v>0</v>
      </c>
      <c r="AT32" s="23">
        <f t="shared" si="68"/>
        <v>3.7720000000000004E-2</v>
      </c>
      <c r="AU32" s="23" t="str">
        <f t="shared" si="69"/>
        <v>-</v>
      </c>
      <c r="AV32" s="80" t="e">
        <f t="shared" si="70"/>
        <v>#DIV/0!</v>
      </c>
      <c r="AX32" s="44">
        <f t="shared" si="71"/>
        <v>0.70389999999999997</v>
      </c>
      <c r="AY32" s="11">
        <f t="shared" si="52"/>
        <v>-0.94641284273334281</v>
      </c>
      <c r="AZ32" s="45"/>
      <c r="BA32" s="12">
        <f>AS32-'GENEL HEDEF'!E32</f>
        <v>-0.75</v>
      </c>
      <c r="BB32" s="15">
        <f>AT32-'GENEL HEDEF'!F32</f>
        <v>0</v>
      </c>
      <c r="BC32" s="86">
        <f t="shared" si="14"/>
        <v>0.75</v>
      </c>
    </row>
    <row r="33" spans="2:55" x14ac:dyDescent="0.15">
      <c r="B33" s="18">
        <v>16</v>
      </c>
      <c r="C33" s="1" t="s">
        <v>22</v>
      </c>
      <c r="E33" s="22"/>
      <c r="F33" s="23">
        <f>IF(ISERROR(VLOOKUP($B33,[1]Hedef!$A$4:$ES$45409,19,0)),0,VLOOKUP($B33,[1]Hedef!$A$4:$ES$45409,19,0))</f>
        <v>3.2519999999999993E-2</v>
      </c>
      <c r="G33" s="23" t="str">
        <f t="shared" si="57"/>
        <v>-</v>
      </c>
      <c r="H33" s="80" t="e">
        <f t="shared" si="58"/>
        <v>#DIV/0!</v>
      </c>
      <c r="J33" s="44">
        <v>0.21682000000000001</v>
      </c>
      <c r="K33" s="11">
        <f t="shared" si="35"/>
        <v>-0.85001383636195926</v>
      </c>
      <c r="M33" s="22"/>
      <c r="N33" s="23">
        <f>IF(ISERROR(VLOOKUP($B33,[1]Hedef!$A$4:$ES$45409,17,0)),0,VLOOKUP($B33,[1]Hedef!$A$4:$ES$45409,17,0))</f>
        <v>8.3999999999999995E-3</v>
      </c>
      <c r="O33" s="23" t="str">
        <f t="shared" si="59"/>
        <v>-</v>
      </c>
      <c r="P33" s="80" t="e">
        <f t="shared" si="60"/>
        <v>#DIV/0!</v>
      </c>
      <c r="R33" s="44">
        <v>0.13096000000000002</v>
      </c>
      <c r="S33" s="11">
        <f t="shared" si="38"/>
        <v>-0.93585827733659133</v>
      </c>
      <c r="U33" s="22"/>
      <c r="V33" s="23">
        <f>IF(ISERROR(VLOOKUP($B33,[1]Hedef!$A$4:$ES$45409,5,0)),0,VLOOKUP($B33,[1]Hedef!$A$4:$ES$45409,5,0))</f>
        <v>0</v>
      </c>
      <c r="W33" s="23">
        <f t="shared" si="61"/>
        <v>0</v>
      </c>
      <c r="X33" s="80" t="e">
        <f t="shared" si="62"/>
        <v>#DIV/0!</v>
      </c>
      <c r="Z33" s="44">
        <v>4.5949999999999998E-2</v>
      </c>
      <c r="AA33" s="11">
        <f t="shared" si="41"/>
        <v>-1</v>
      </c>
      <c r="AC33" s="22"/>
      <c r="AD33" s="23">
        <f>IF(ISERROR(VLOOKUP($B33,[1]Hedef!$A$4:$ES$45409,7,0)),0,VLOOKUP($B33,[1]Hedef!$A$4:$ES$45409,7,0))</f>
        <v>3.5699999999999996E-2</v>
      </c>
      <c r="AE33" s="23" t="str">
        <f t="shared" si="63"/>
        <v>-</v>
      </c>
      <c r="AF33" s="80" t="e">
        <f t="shared" si="64"/>
        <v>#DIV/0!</v>
      </c>
      <c r="AH33" s="44">
        <v>0.17708000000000002</v>
      </c>
      <c r="AI33" s="11">
        <f t="shared" si="65"/>
        <v>-0.79839620510503728</v>
      </c>
      <c r="AK33" s="22"/>
      <c r="AL33" s="23">
        <f>IF(ISERROR(VLOOKUP($B33,[1]Hedef!$A$4:$ES$45409,9,0)),0,VLOOKUP($B33,[1]Hedef!$A$4:$ES$45409,9,0))</f>
        <v>0</v>
      </c>
      <c r="AM33" s="23">
        <f t="shared" si="66"/>
        <v>0</v>
      </c>
      <c r="AN33" s="80"/>
      <c r="AP33" s="44">
        <v>0</v>
      </c>
      <c r="AQ33" s="11">
        <f t="shared" si="67"/>
        <v>0</v>
      </c>
      <c r="AS33" s="22">
        <f t="shared" si="68"/>
        <v>0</v>
      </c>
      <c r="AT33" s="23">
        <f t="shared" si="68"/>
        <v>7.6619999999999994E-2</v>
      </c>
      <c r="AU33" s="23" t="str">
        <f t="shared" si="69"/>
        <v>-</v>
      </c>
      <c r="AV33" s="80" t="e">
        <f t="shared" si="70"/>
        <v>#DIV/0!</v>
      </c>
      <c r="AX33" s="44">
        <f t="shared" si="71"/>
        <v>0.57081000000000004</v>
      </c>
      <c r="AY33" s="11">
        <f t="shared" si="52"/>
        <v>-0.86576969569559048</v>
      </c>
      <c r="AZ33" s="45"/>
      <c r="BA33" s="12">
        <f>AS33-'GENEL HEDEF'!E33</f>
        <v>-0.85</v>
      </c>
      <c r="BB33" s="15">
        <f>AT33-'GENEL HEDEF'!F33</f>
        <v>0</v>
      </c>
      <c r="BC33" s="86">
        <f t="shared" si="14"/>
        <v>0.85</v>
      </c>
    </row>
    <row r="34" spans="2:55" x14ac:dyDescent="0.15">
      <c r="B34" s="18">
        <v>43</v>
      </c>
      <c r="C34" s="1" t="s">
        <v>23</v>
      </c>
      <c r="E34" s="22"/>
      <c r="F34" s="23">
        <f>IF(ISERROR(VLOOKUP($B34,[1]Hedef!$A$4:$ES$45409,19,0)),0,VLOOKUP($B34,[1]Hedef!$A$4:$ES$45409,19,0))</f>
        <v>5.8799999999999998E-3</v>
      </c>
      <c r="G34" s="23" t="str">
        <f t="shared" si="57"/>
        <v>-</v>
      </c>
      <c r="H34" s="80" t="e">
        <f t="shared" si="58"/>
        <v>#DIV/0!</v>
      </c>
      <c r="J34" s="44">
        <v>3.6490000000000002E-2</v>
      </c>
      <c r="K34" s="11">
        <f t="shared" si="35"/>
        <v>-0.83885996163332421</v>
      </c>
      <c r="M34" s="22"/>
      <c r="N34" s="23">
        <f>IF(ISERROR(VLOOKUP($B34,[1]Hedef!$A$4:$ES$45409,17,0)),0,VLOOKUP($B34,[1]Hedef!$A$4:$ES$45409,17,0))</f>
        <v>8.0640000000000003E-2</v>
      </c>
      <c r="O34" s="23" t="str">
        <f t="shared" si="59"/>
        <v>-</v>
      </c>
      <c r="P34" s="80" t="e">
        <f t="shared" si="60"/>
        <v>#DIV/0!</v>
      </c>
      <c r="R34" s="44">
        <v>5.7000000000000002E-3</v>
      </c>
      <c r="S34" s="11">
        <f t="shared" si="38"/>
        <v>13.147368421052633</v>
      </c>
      <c r="U34" s="22"/>
      <c r="V34" s="23">
        <f>IF(ISERROR(VLOOKUP($B34,[1]Hedef!$A$4:$ES$45409,5,0)),0,VLOOKUP($B34,[1]Hedef!$A$4:$ES$45409,5,0))</f>
        <v>0</v>
      </c>
      <c r="W34" s="23">
        <f t="shared" si="61"/>
        <v>0</v>
      </c>
      <c r="X34" s="80"/>
      <c r="Z34" s="44">
        <v>1.3384999999999999E-2</v>
      </c>
      <c r="AA34" s="11">
        <f t="shared" si="41"/>
        <v>-1</v>
      </c>
      <c r="AC34" s="22"/>
      <c r="AD34" s="23">
        <f>IF(ISERROR(VLOOKUP($B34,[1]Hedef!$A$4:$ES$45409,7,0)),0,VLOOKUP($B34,[1]Hedef!$A$4:$ES$45409,7,0))</f>
        <v>0</v>
      </c>
      <c r="AE34" s="23">
        <f t="shared" si="63"/>
        <v>0</v>
      </c>
      <c r="AF34" s="80"/>
      <c r="AH34" s="44">
        <v>8.1250000000000003E-3</v>
      </c>
      <c r="AI34" s="11">
        <f t="shared" si="65"/>
        <v>-1</v>
      </c>
      <c r="AK34" s="22"/>
      <c r="AL34" s="23">
        <f>IF(ISERROR(VLOOKUP($B34,[1]Hedef!$A$4:$ES$45409,9,0)),0,VLOOKUP($B34,[1]Hedef!$A$4:$ES$45409,9,0))</f>
        <v>0</v>
      </c>
      <c r="AM34" s="23">
        <f t="shared" si="66"/>
        <v>0</v>
      </c>
      <c r="AN34" s="80"/>
      <c r="AP34" s="44">
        <v>0</v>
      </c>
      <c r="AQ34" s="11">
        <f t="shared" si="67"/>
        <v>0</v>
      </c>
      <c r="AS34" s="22">
        <f t="shared" si="68"/>
        <v>0</v>
      </c>
      <c r="AT34" s="23">
        <f t="shared" si="68"/>
        <v>8.652E-2</v>
      </c>
      <c r="AU34" s="23" t="str">
        <f t="shared" si="69"/>
        <v>-</v>
      </c>
      <c r="AV34" s="80" t="e">
        <f t="shared" si="70"/>
        <v>#DIV/0!</v>
      </c>
      <c r="AX34" s="44">
        <f t="shared" si="71"/>
        <v>6.3700000000000007E-2</v>
      </c>
      <c r="AY34" s="11">
        <f t="shared" si="52"/>
        <v>0.35824175824175808</v>
      </c>
      <c r="AZ34" s="45"/>
      <c r="BA34" s="12">
        <f>AS34-'GENEL HEDEF'!E34</f>
        <v>-0.12</v>
      </c>
      <c r="BB34" s="15">
        <f>AT34-'GENEL HEDEF'!F34</f>
        <v>0</v>
      </c>
      <c r="BC34" s="86">
        <f t="shared" si="14"/>
        <v>0.12</v>
      </c>
    </row>
    <row r="35" spans="2:55" x14ac:dyDescent="0.15">
      <c r="B35" s="18">
        <v>18</v>
      </c>
      <c r="C35" s="1" t="s">
        <v>67</v>
      </c>
      <c r="E35" s="22"/>
      <c r="F35" s="23">
        <f>IF(ISERROR(VLOOKUP($B35,[1]Hedef!$A$4:$ES$45409,19,0)),0,VLOOKUP($B35,[1]Hedef!$A$4:$ES$45409,19,0))</f>
        <v>0</v>
      </c>
      <c r="G35" s="23">
        <f t="shared" si="57"/>
        <v>0</v>
      </c>
      <c r="H35" s="80" t="e">
        <f t="shared" si="58"/>
        <v>#DIV/0!</v>
      </c>
      <c r="J35" s="44">
        <v>6.3359999999999994</v>
      </c>
      <c r="K35" s="11">
        <f t="shared" si="35"/>
        <v>-1</v>
      </c>
      <c r="M35" s="22"/>
      <c r="N35" s="23">
        <f>IF(ISERROR(VLOOKUP($B35,[1]Hedef!$A$4:$ES$45409,17,0)),0,VLOOKUP($B35,[1]Hedef!$A$4:$ES$45409,17,0))</f>
        <v>0</v>
      </c>
      <c r="O35" s="23">
        <f t="shared" si="59"/>
        <v>0</v>
      </c>
      <c r="P35" s="80" t="e">
        <f t="shared" si="60"/>
        <v>#DIV/0!</v>
      </c>
      <c r="R35" s="44">
        <v>5.6215999999999999</v>
      </c>
      <c r="S35" s="11">
        <f t="shared" si="38"/>
        <v>-1</v>
      </c>
      <c r="U35" s="22"/>
      <c r="V35" s="23">
        <f>IF(ISERROR(VLOOKUP($B35,[1]Hedef!$A$4:$ES$45409,5,0)),0,VLOOKUP($B35,[1]Hedef!$A$4:$ES$45409,5,0))</f>
        <v>0.7</v>
      </c>
      <c r="W35" s="23" t="str">
        <f t="shared" si="61"/>
        <v>-</v>
      </c>
      <c r="X35" s="80" t="e">
        <f t="shared" si="62"/>
        <v>#DIV/0!</v>
      </c>
      <c r="Z35" s="44">
        <v>1.464</v>
      </c>
      <c r="AA35" s="11">
        <f t="shared" si="41"/>
        <v>-0.52185792349726778</v>
      </c>
      <c r="AC35" s="22"/>
      <c r="AD35" s="23">
        <f>IF(ISERROR(VLOOKUP($B35,[1]Hedef!$A$4:$ES$45409,7,0)),0,VLOOKUP($B35,[1]Hedef!$A$4:$ES$45409,7,0))</f>
        <v>0.14400000000000002</v>
      </c>
      <c r="AE35" s="23" t="str">
        <f t="shared" si="63"/>
        <v>-</v>
      </c>
      <c r="AF35" s="80" t="e">
        <f t="shared" si="64"/>
        <v>#DIV/0!</v>
      </c>
      <c r="AH35" s="44">
        <v>4.1159999999999997</v>
      </c>
      <c r="AI35" s="11">
        <f t="shared" si="65"/>
        <v>-0.96501457725947515</v>
      </c>
      <c r="AK35" s="22"/>
      <c r="AL35" s="23">
        <f>IF(ISERROR(VLOOKUP($B35,[1]Hedef!$A$4:$ES$45409,9,0)),0,VLOOKUP($B35,[1]Hedef!$A$4:$ES$45409,9,0))</f>
        <v>0</v>
      </c>
      <c r="AM35" s="23">
        <f t="shared" si="66"/>
        <v>0</v>
      </c>
      <c r="AN35" s="80" t="e">
        <f>TRUNC(IF((AL35/AK35)&gt;1.2,"120%",(AL35/AK35)),2)</f>
        <v>#DIV/0!</v>
      </c>
      <c r="AP35" s="44">
        <v>9.6000000000000002E-2</v>
      </c>
      <c r="AQ35" s="11">
        <f t="shared" si="67"/>
        <v>-1</v>
      </c>
      <c r="AS35" s="22">
        <f t="shared" si="68"/>
        <v>0</v>
      </c>
      <c r="AT35" s="23">
        <f t="shared" si="68"/>
        <v>0.84399999999999997</v>
      </c>
      <c r="AU35" s="23" t="str">
        <f t="shared" si="69"/>
        <v>-</v>
      </c>
      <c r="AV35" s="80" t="e">
        <f t="shared" si="70"/>
        <v>#DIV/0!</v>
      </c>
      <c r="AX35" s="44">
        <f t="shared" si="71"/>
        <v>17.633599999999998</v>
      </c>
      <c r="AY35" s="11">
        <f t="shared" si="52"/>
        <v>-0.95213682968877589</v>
      </c>
      <c r="AZ35" s="45"/>
      <c r="BA35" s="12">
        <f>AS35-'GENEL HEDEF'!E35</f>
        <v>-24</v>
      </c>
      <c r="BB35" s="15">
        <f>AT35-'GENEL HEDEF'!F35</f>
        <v>0</v>
      </c>
      <c r="BC35" s="86">
        <f t="shared" si="14"/>
        <v>24</v>
      </c>
    </row>
    <row r="36" spans="2:55" x14ac:dyDescent="0.15">
      <c r="B36" s="18">
        <v>51</v>
      </c>
      <c r="C36" s="1" t="s">
        <v>24</v>
      </c>
      <c r="E36" s="22"/>
      <c r="F36" s="23">
        <f>IF(ISERROR(VLOOKUP($B36,[1]Hedef!$A$4:$ES$45409,19,0)),0,VLOOKUP($B36,[1]Hedef!$A$4:$ES$45409,19,0))</f>
        <v>1.932E-2</v>
      </c>
      <c r="G36" s="23" t="str">
        <f t="shared" si="57"/>
        <v>-</v>
      </c>
      <c r="H36" s="80" t="e">
        <f t="shared" si="58"/>
        <v>#DIV/0!</v>
      </c>
      <c r="J36" s="44">
        <v>0.32349</v>
      </c>
      <c r="K36" s="11">
        <f t="shared" si="35"/>
        <v>-0.9402763609385143</v>
      </c>
      <c r="M36" s="22"/>
      <c r="N36" s="23">
        <f>IF(ISERROR(VLOOKUP($B36,[1]Hedef!$A$4:$ES$45409,17,0)),0,VLOOKUP($B36,[1]Hedef!$A$4:$ES$45409,17,0))</f>
        <v>0</v>
      </c>
      <c r="O36" s="23">
        <f t="shared" si="59"/>
        <v>0</v>
      </c>
      <c r="P36" s="80" t="e">
        <f t="shared" si="60"/>
        <v>#DIV/0!</v>
      </c>
      <c r="R36" s="44">
        <v>4.3679999999999997E-2</v>
      </c>
      <c r="S36" s="11">
        <f t="shared" si="38"/>
        <v>-1</v>
      </c>
      <c r="U36" s="22"/>
      <c r="V36" s="23">
        <f>IF(ISERROR(VLOOKUP($B36,[1]Hedef!$A$4:$ES$45409,5,0)),0,VLOOKUP($B36,[1]Hedef!$A$4:$ES$45409,5,0))</f>
        <v>9.5999999999999992E-3</v>
      </c>
      <c r="W36" s="23" t="str">
        <f t="shared" si="61"/>
        <v>-</v>
      </c>
      <c r="X36" s="80" t="e">
        <f t="shared" ref="X36:X38" si="72">TRUNC(IF((V36/U36)&gt;1.2,"120%",(V36/U36)),2)</f>
        <v>#DIV/0!</v>
      </c>
      <c r="Z36" s="44">
        <v>0.15187999999999999</v>
      </c>
      <c r="AA36" s="11">
        <f t="shared" si="41"/>
        <v>-0.93679220437187249</v>
      </c>
      <c r="AC36" s="22"/>
      <c r="AD36" s="23">
        <f>IF(ISERROR(VLOOKUP($B36,[1]Hedef!$A$4:$ES$45409,7,0)),0,VLOOKUP($B36,[1]Hedef!$A$4:$ES$45409,7,0))</f>
        <v>3.1800000000000002E-2</v>
      </c>
      <c r="AE36" s="23" t="str">
        <f t="shared" si="63"/>
        <v>-</v>
      </c>
      <c r="AF36" s="80" t="e">
        <f t="shared" ref="AF36:AF38" si="73">TRUNC(IF((AD36/AC36)&gt;1.2,"120%",(AD36/AC36)),2)</f>
        <v>#DIV/0!</v>
      </c>
      <c r="AH36" s="44">
        <v>0.79520000000000013</v>
      </c>
      <c r="AI36" s="11">
        <f t="shared" si="65"/>
        <v>-0.96001006036217296</v>
      </c>
      <c r="AK36" s="22"/>
      <c r="AL36" s="23">
        <f>IF(ISERROR(VLOOKUP($B36,[1]Hedef!$A$4:$ES$45409,9,0)),0,VLOOKUP($B36,[1]Hedef!$A$4:$ES$45409,9,0))</f>
        <v>0</v>
      </c>
      <c r="AM36" s="23">
        <f t="shared" si="66"/>
        <v>0</v>
      </c>
      <c r="AN36" s="80"/>
      <c r="AP36" s="44">
        <v>0</v>
      </c>
      <c r="AQ36" s="11">
        <f t="shared" si="67"/>
        <v>0</v>
      </c>
      <c r="AS36" s="22">
        <f t="shared" si="68"/>
        <v>0</v>
      </c>
      <c r="AT36" s="23">
        <f t="shared" si="68"/>
        <v>6.0720000000000003E-2</v>
      </c>
      <c r="AU36" s="23" t="str">
        <f t="shared" si="69"/>
        <v>-</v>
      </c>
      <c r="AV36" s="80" t="e">
        <f t="shared" si="70"/>
        <v>#DIV/0!</v>
      </c>
      <c r="AX36" s="44">
        <f t="shared" si="71"/>
        <v>1.3142500000000001</v>
      </c>
      <c r="AY36" s="11">
        <f t="shared" si="52"/>
        <v>-0.95379874453110136</v>
      </c>
      <c r="AZ36" s="45"/>
      <c r="BA36" s="12">
        <f>AS36-'GENEL HEDEF'!E36</f>
        <v>-1.35</v>
      </c>
      <c r="BB36" s="15">
        <f>AT36-'GENEL HEDEF'!F36</f>
        <v>0</v>
      </c>
      <c r="BC36" s="86">
        <f t="shared" si="14"/>
        <v>1.35</v>
      </c>
    </row>
    <row r="37" spans="2:55" x14ac:dyDescent="0.15">
      <c r="B37" s="18">
        <v>19</v>
      </c>
      <c r="C37" s="1" t="s">
        <v>25</v>
      </c>
      <c r="E37" s="22"/>
      <c r="F37" s="23">
        <f>IF(ISERROR(VLOOKUP($B37,[1]Hedef!$A$4:$ES$45409,19,0)),0,VLOOKUP($B37,[1]Hedef!$A$4:$ES$45409,19,0))</f>
        <v>0</v>
      </c>
      <c r="G37" s="23">
        <f t="shared" si="57"/>
        <v>0</v>
      </c>
      <c r="H37" s="80" t="e">
        <f t="shared" si="58"/>
        <v>#DIV/0!</v>
      </c>
      <c r="J37" s="44">
        <v>0.28909999999999997</v>
      </c>
      <c r="K37" s="11">
        <f t="shared" si="35"/>
        <v>-1</v>
      </c>
      <c r="M37" s="22"/>
      <c r="N37" s="23">
        <f>IF(ISERROR(VLOOKUP($B37,[1]Hedef!$A$4:$ES$45409,17,0)),0,VLOOKUP($B37,[1]Hedef!$A$4:$ES$45409,17,0))</f>
        <v>0</v>
      </c>
      <c r="O37" s="23">
        <f t="shared" si="59"/>
        <v>0</v>
      </c>
      <c r="P37" s="80" t="e">
        <f t="shared" si="60"/>
        <v>#DIV/0!</v>
      </c>
      <c r="R37" s="44">
        <v>4.6175000000000008E-2</v>
      </c>
      <c r="S37" s="11">
        <f t="shared" si="38"/>
        <v>-1</v>
      </c>
      <c r="U37" s="22"/>
      <c r="V37" s="23">
        <f>IF(ISERROR(VLOOKUP($B37,[1]Hedef!$A$4:$ES$45409,5,0)),0,VLOOKUP($B37,[1]Hedef!$A$4:$ES$45409,5,0))</f>
        <v>0</v>
      </c>
      <c r="W37" s="23">
        <f t="shared" si="61"/>
        <v>0</v>
      </c>
      <c r="X37" s="80" t="e">
        <f t="shared" si="72"/>
        <v>#DIV/0!</v>
      </c>
      <c r="Z37" s="44">
        <v>1.404E-2</v>
      </c>
      <c r="AA37" s="11">
        <f t="shared" si="41"/>
        <v>-1</v>
      </c>
      <c r="AC37" s="22"/>
      <c r="AD37" s="23">
        <f>IF(ISERROR(VLOOKUP($B37,[1]Hedef!$A$4:$ES$45409,7,0)),0,VLOOKUP($B37,[1]Hedef!$A$4:$ES$45409,7,0))</f>
        <v>0</v>
      </c>
      <c r="AE37" s="23">
        <f t="shared" si="63"/>
        <v>0</v>
      </c>
      <c r="AF37" s="80" t="e">
        <f t="shared" si="73"/>
        <v>#DIV/0!</v>
      </c>
      <c r="AH37" s="44">
        <v>0.166875</v>
      </c>
      <c r="AI37" s="11">
        <f t="shared" si="65"/>
        <v>-1</v>
      </c>
      <c r="AK37" s="22"/>
      <c r="AL37" s="23">
        <f>IF(ISERROR(VLOOKUP($B37,[1]Hedef!$A$4:$ES$45409,9,0)),0,VLOOKUP($B37,[1]Hedef!$A$4:$ES$45409,9,0))</f>
        <v>0</v>
      </c>
      <c r="AM37" s="23">
        <f t="shared" si="66"/>
        <v>0</v>
      </c>
      <c r="AN37" s="80"/>
      <c r="AP37" s="44">
        <v>0</v>
      </c>
      <c r="AQ37" s="11">
        <f t="shared" si="67"/>
        <v>0</v>
      </c>
      <c r="AS37" s="22">
        <f t="shared" si="68"/>
        <v>0</v>
      </c>
      <c r="AT37" s="23">
        <f t="shared" si="68"/>
        <v>0</v>
      </c>
      <c r="AU37" s="23">
        <f t="shared" si="69"/>
        <v>0</v>
      </c>
      <c r="AV37" s="80" t="e">
        <f t="shared" si="70"/>
        <v>#DIV/0!</v>
      </c>
      <c r="AX37" s="44">
        <f t="shared" si="71"/>
        <v>0.51618999999999993</v>
      </c>
      <c r="AY37" s="11">
        <f t="shared" si="52"/>
        <v>-1</v>
      </c>
      <c r="AZ37" s="45"/>
      <c r="BA37" s="12">
        <f>AS37-'GENEL HEDEF'!E37</f>
        <v>-0.74</v>
      </c>
      <c r="BB37" s="15">
        <f>AT37-'GENEL HEDEF'!F37</f>
        <v>0</v>
      </c>
      <c r="BC37" s="86">
        <f t="shared" si="14"/>
        <v>0.74</v>
      </c>
    </row>
    <row r="38" spans="2:55" ht="13" thickBot="1" x14ac:dyDescent="0.2">
      <c r="B38" s="18">
        <v>20</v>
      </c>
      <c r="C38" s="1" t="s">
        <v>63</v>
      </c>
      <c r="E38" s="22"/>
      <c r="F38" s="23">
        <f>IF(ISERROR(VLOOKUP($B38,[1]Hedef!$A$4:$ES$45409,19,0)),0,VLOOKUP($B38,[1]Hedef!$A$4:$ES$45409,19,0))</f>
        <v>0</v>
      </c>
      <c r="G38" s="23">
        <f t="shared" si="57"/>
        <v>0</v>
      </c>
      <c r="H38" s="80" t="e">
        <f t="shared" si="58"/>
        <v>#DIV/0!</v>
      </c>
      <c r="J38" s="44">
        <v>2.0999999999999998E-2</v>
      </c>
      <c r="K38" s="11">
        <f t="shared" si="35"/>
        <v>-1</v>
      </c>
      <c r="M38" s="22"/>
      <c r="N38" s="23">
        <f>IF(ISERROR(VLOOKUP($B38,[1]Hedef!$A$4:$ES$45409,17,0)),0,VLOOKUP($B38,[1]Hedef!$A$4:$ES$45409,17,0))</f>
        <v>0</v>
      </c>
      <c r="O38" s="23">
        <f t="shared" si="59"/>
        <v>0</v>
      </c>
      <c r="P38" s="80" t="e">
        <f t="shared" si="60"/>
        <v>#DIV/0!</v>
      </c>
      <c r="R38" s="44">
        <v>1.2E-2</v>
      </c>
      <c r="S38" s="11">
        <f t="shared" si="38"/>
        <v>-1</v>
      </c>
      <c r="U38" s="22"/>
      <c r="V38" s="23">
        <f>IF(ISERROR(VLOOKUP($B38,[1]Hedef!$A$4:$ES$45409,5,0)),0,VLOOKUP($B38,[1]Hedef!$A$4:$ES$45409,5,0))</f>
        <v>2.4E-2</v>
      </c>
      <c r="W38" s="23" t="str">
        <f t="shared" si="61"/>
        <v>-</v>
      </c>
      <c r="X38" s="80" t="e">
        <f t="shared" si="72"/>
        <v>#DIV/0!</v>
      </c>
      <c r="Z38" s="44">
        <v>0.318</v>
      </c>
      <c r="AA38" s="11">
        <f t="shared" si="41"/>
        <v>-0.92452830188679236</v>
      </c>
      <c r="AC38" s="22"/>
      <c r="AD38" s="23">
        <f>IF(ISERROR(VLOOKUP($B38,[1]Hedef!$A$4:$ES$45409,7,0)),0,VLOOKUP($B38,[1]Hedef!$A$4:$ES$45409,7,0))</f>
        <v>3.6000000000000004E-2</v>
      </c>
      <c r="AE38" s="23" t="str">
        <f t="shared" si="63"/>
        <v>-</v>
      </c>
      <c r="AF38" s="80" t="e">
        <f t="shared" si="73"/>
        <v>#DIV/0!</v>
      </c>
      <c r="AH38" s="44">
        <v>0.45900000000000002</v>
      </c>
      <c r="AI38" s="11">
        <f t="shared" si="65"/>
        <v>-0.92156862745098045</v>
      </c>
      <c r="AK38" s="22"/>
      <c r="AL38" s="23">
        <f>IF(ISERROR(VLOOKUP($B38,[1]Hedef!$A$4:$ES$45409,9,0)),0,VLOOKUP($B38,[1]Hedef!$A$4:$ES$45409,9,0))</f>
        <v>0</v>
      </c>
      <c r="AM38" s="23">
        <f t="shared" si="66"/>
        <v>0</v>
      </c>
      <c r="AN38" s="80"/>
      <c r="AP38" s="44">
        <v>0</v>
      </c>
      <c r="AQ38" s="11">
        <f t="shared" si="67"/>
        <v>0</v>
      </c>
      <c r="AS38" s="22">
        <f t="shared" si="68"/>
        <v>0</v>
      </c>
      <c r="AT38" s="23">
        <f t="shared" si="68"/>
        <v>6.0000000000000005E-2</v>
      </c>
      <c r="AU38" s="23" t="str">
        <f t="shared" si="69"/>
        <v>-</v>
      </c>
      <c r="AV38" s="80" t="e">
        <f t="shared" si="70"/>
        <v>#DIV/0!</v>
      </c>
      <c r="AX38" s="44">
        <f t="shared" si="71"/>
        <v>0.81</v>
      </c>
      <c r="AY38" s="11">
        <f t="shared" si="52"/>
        <v>-0.92592592592592582</v>
      </c>
      <c r="AZ38" s="45"/>
      <c r="BA38" s="12">
        <f>AS38-'GENEL HEDEF'!E38</f>
        <v>-0.9</v>
      </c>
      <c r="BB38" s="15">
        <f>AT38-'GENEL HEDEF'!F38</f>
        <v>0</v>
      </c>
      <c r="BC38" s="86">
        <f t="shared" si="14"/>
        <v>0.9</v>
      </c>
    </row>
    <row r="39" spans="2:55" ht="14" thickTop="1" thickBot="1" x14ac:dyDescent="0.2">
      <c r="B39" s="18"/>
      <c r="C39" s="2" t="s">
        <v>26</v>
      </c>
      <c r="E39" s="67">
        <f>SUM(E31:E38)</f>
        <v>0</v>
      </c>
      <c r="F39" s="67">
        <f>SUM(F31:F38)</f>
        <v>0.24431999999999998</v>
      </c>
      <c r="G39" s="67">
        <f>SUM(G31:G38)</f>
        <v>0</v>
      </c>
      <c r="H39" s="39" t="e">
        <f>TRUNC(IF((F39/E39)&gt;1.2,"120%",(F39/E39)),2)</f>
        <v>#DIV/0!</v>
      </c>
      <c r="I39" s="109"/>
      <c r="J39" s="48"/>
      <c r="K39" s="48"/>
      <c r="L39" s="109"/>
      <c r="M39" s="67">
        <f>SUM(M31:M38)</f>
        <v>0</v>
      </c>
      <c r="N39" s="67">
        <f>SUM(N31:N38)</f>
        <v>0.13224</v>
      </c>
      <c r="O39" s="67">
        <f>SUM(O31:O38)</f>
        <v>0</v>
      </c>
      <c r="P39" s="39" t="e">
        <f>TRUNC(IF((N39/M39)&gt;1.2,"120%",(N39/M39)),2)</f>
        <v>#DIV/0!</v>
      </c>
      <c r="Q39" s="109"/>
      <c r="R39" s="48"/>
      <c r="S39" s="48"/>
      <c r="T39" s="109"/>
      <c r="U39" s="67">
        <f>SUM(U31:U38)</f>
        <v>0</v>
      </c>
      <c r="V39" s="67">
        <f>SUM(V31:V38)</f>
        <v>0.82684000000000002</v>
      </c>
      <c r="W39" s="67">
        <f>SUM(W31:W38)</f>
        <v>0</v>
      </c>
      <c r="X39" s="39" t="e">
        <f>TRUNC(IF((V39/U39)&gt;1.2,"120%",(V39/U39)),2)</f>
        <v>#DIV/0!</v>
      </c>
      <c r="Y39" s="78"/>
      <c r="Z39" s="48"/>
      <c r="AA39" s="48"/>
      <c r="AB39" s="109"/>
      <c r="AC39" s="67">
        <f>SUM(AC31:AC38)</f>
        <v>0</v>
      </c>
      <c r="AD39" s="67">
        <f>SUM(AD31:AD38)</f>
        <v>0.36277999999999999</v>
      </c>
      <c r="AE39" s="67">
        <f>SUM(AE31:AE38)</f>
        <v>0</v>
      </c>
      <c r="AF39" s="39" t="e">
        <f>TRUNC(IF((AD39/AC39)&gt;1.2,"120%",(AD39/AC39)),2)</f>
        <v>#DIV/0!</v>
      </c>
      <c r="AG39" s="109"/>
      <c r="AH39" s="48"/>
      <c r="AI39" s="48"/>
      <c r="AJ39" s="109"/>
      <c r="AK39" s="67">
        <f>SUM(AK31:AK38)</f>
        <v>0</v>
      </c>
      <c r="AL39" s="67">
        <f>SUM(AL31:AL38)</f>
        <v>0</v>
      </c>
      <c r="AM39" s="67">
        <f>SUM(AM31:AM38)</f>
        <v>0</v>
      </c>
      <c r="AN39" s="39" t="e">
        <f>TRUNC(IF((AL39/AK39)&gt;1.2,"120%",(AL39/AK39)),2)</f>
        <v>#DIV/0!</v>
      </c>
      <c r="AO39" s="78"/>
      <c r="AP39" s="48"/>
      <c r="AQ39" s="48"/>
      <c r="AR39" s="109"/>
      <c r="AS39" s="67">
        <f>SUM(AS31:AS38)</f>
        <v>0</v>
      </c>
      <c r="AT39" s="67">
        <f>SUM(AT31:AT38)</f>
        <v>1.5661800000000001</v>
      </c>
      <c r="AU39" s="67">
        <f>SUM(AU31:AU38)</f>
        <v>0</v>
      </c>
      <c r="AV39" s="39" t="e">
        <f>TRUNC(IF((AT39/AS39)&gt;1.2,"120%",(AT39/AS39)),2)</f>
        <v>#DIV/0!</v>
      </c>
      <c r="AX39" s="67"/>
      <c r="AY39" s="48"/>
      <c r="AZ39" s="45"/>
      <c r="BA39" s="8"/>
      <c r="BB39" s="9"/>
      <c r="BC39" s="86">
        <f t="shared" si="14"/>
        <v>0</v>
      </c>
    </row>
    <row r="40" spans="2:55" ht="13" thickTop="1" x14ac:dyDescent="0.15">
      <c r="B40" s="31">
        <v>22</v>
      </c>
      <c r="C40" s="1" t="s">
        <v>47</v>
      </c>
      <c r="E40" s="22"/>
      <c r="F40" s="23">
        <f>IF(ISERROR(VLOOKUP($B40,[1]Hedef!$A$4:$ES$45409,19,0)),0,VLOOKUP($B40,[1]Hedef!$A$4:$ES$45409,19,0))</f>
        <v>10</v>
      </c>
      <c r="G40" s="23" t="str">
        <f>IF((E40-F40)&lt;0, "-", (E40-F40))</f>
        <v>-</v>
      </c>
      <c r="H40" s="80" t="e">
        <f t="shared" ref="H40:H44" si="74">TRUNC(IF((F40/E40)&gt;1.2,"120%",(F40/E40)),2)</f>
        <v>#DIV/0!</v>
      </c>
      <c r="J40" s="44">
        <v>332</v>
      </c>
      <c r="K40" s="11">
        <f>IF(ISERROR((F40-J40)/J40),0,(F40-J40)/J40)</f>
        <v>-0.96987951807228912</v>
      </c>
      <c r="M40" s="22"/>
      <c r="N40" s="23">
        <f>IF(ISERROR(VLOOKUP($B40,[1]Hedef!$A$4:$ES$45409,17,0)),0,VLOOKUP($B40,[1]Hedef!$A$4:$ES$45409,17,0))</f>
        <v>15</v>
      </c>
      <c r="O40" s="23" t="str">
        <f>IF((M40-N40)&lt;0, "-", (M40-N40))</f>
        <v>-</v>
      </c>
      <c r="P40" s="80" t="e">
        <f t="shared" ref="P40:P44" si="75">TRUNC(IF((N40/M40)&gt;1.2,"120%",(N40/M40)),2)</f>
        <v>#DIV/0!</v>
      </c>
      <c r="R40" s="44">
        <v>122</v>
      </c>
      <c r="S40" s="11">
        <f>IF(ISERROR((N40-R40)/R40),0,(N40-R40)/R40)</f>
        <v>-0.87704918032786883</v>
      </c>
      <c r="U40" s="22"/>
      <c r="V40" s="23">
        <f>IF(ISERROR(VLOOKUP($B40,[1]Hedef!$A$4:$ES$45409,5,0)),0,VLOOKUP($B40,[1]Hedef!$A$4:$ES$45409,5,0))</f>
        <v>36</v>
      </c>
      <c r="W40" s="23" t="str">
        <f>IF((U40-V40)&lt;0, "-", (U40-V40))</f>
        <v>-</v>
      </c>
      <c r="X40" s="80" t="e">
        <f t="shared" ref="X40:X42" si="76">TRUNC(IF((V40/U40)&gt;1.2,"120%",(V40/U40)),2)</f>
        <v>#DIV/0!</v>
      </c>
      <c r="Z40" s="44">
        <v>1887</v>
      </c>
      <c r="AA40" s="11">
        <f>IF(ISERROR((V40-Z40)/Z40),0,(V40-Z40)/Z40)</f>
        <v>-0.98092209856915735</v>
      </c>
      <c r="AC40" s="22"/>
      <c r="AD40" s="23">
        <f>IF(ISERROR(VLOOKUP($B40,[1]Hedef!$A$4:$ES$45409,7,0)),0,VLOOKUP($B40,[1]Hedef!$A$4:$ES$45409,7,0))</f>
        <v>36</v>
      </c>
      <c r="AE40" s="23" t="str">
        <f>IF((AC40-AD40)&lt;0, "-", (AC40-AD40))</f>
        <v>-</v>
      </c>
      <c r="AF40" s="80" t="e">
        <f t="shared" ref="AF40:AF42" si="77">TRUNC(IF((AD40/AC40)&gt;1.2,"120%",(AD40/AC40)),2)</f>
        <v>#DIV/0!</v>
      </c>
      <c r="AH40" s="44">
        <v>352</v>
      </c>
      <c r="AI40" s="11">
        <f>IF(ISERROR((AD40-AH40)/AH40),0,(AD40-AH40)/AH40)</f>
        <v>-0.89772727272727271</v>
      </c>
      <c r="AK40" s="22"/>
      <c r="AL40" s="23">
        <f>IF(ISERROR(VLOOKUP($B40,[1]Hedef!$A$4:$ES$45409,9,0)),0,VLOOKUP($B40,[1]Hedef!$A$4:$ES$45409,9,0))</f>
        <v>0</v>
      </c>
      <c r="AM40" s="23">
        <f>IF((AK40-AL40)&lt;0, "-", (AK40-AL40))</f>
        <v>0</v>
      </c>
      <c r="AN40" s="80"/>
      <c r="AP40" s="44">
        <v>0</v>
      </c>
      <c r="AQ40" s="11">
        <f>IF(ISERROR((AL40-AP40)/AP40),0,(AL40-AP40)/AP40)</f>
        <v>0</v>
      </c>
      <c r="AS40" s="22">
        <f t="shared" ref="AS40:AT44" si="78">+E40+M40+U40+AC40+AK40</f>
        <v>0</v>
      </c>
      <c r="AT40" s="23">
        <f t="shared" si="78"/>
        <v>97</v>
      </c>
      <c r="AU40" s="23" t="str">
        <f>IF((AS40-AT40)&lt;0, "-", (AS40-AT40))</f>
        <v>-</v>
      </c>
      <c r="AV40" s="80" t="e">
        <f t="shared" ref="AV40:AV44" si="79">TRUNC(IF((AT40/AS40)&gt;1.2,"120%",(AT40/AS40)),2)</f>
        <v>#DIV/0!</v>
      </c>
      <c r="AX40" s="44">
        <f>+R40+J40+Z40+AH40+AP40</f>
        <v>2693</v>
      </c>
      <c r="AY40" s="11">
        <f>IF(ISERROR((AT40-AX40)/AX40),0,(AT40-AX40)/AX40)</f>
        <v>-0.96398069067953951</v>
      </c>
      <c r="AZ40" s="45"/>
      <c r="BA40" s="12">
        <f>AS40-'GENEL HEDEF'!E40</f>
        <v>-3150</v>
      </c>
      <c r="BB40" s="15">
        <f>AT40-'GENEL HEDEF'!F40</f>
        <v>0</v>
      </c>
      <c r="BC40" s="86">
        <f t="shared" si="14"/>
        <v>3150</v>
      </c>
    </row>
    <row r="41" spans="2:55" x14ac:dyDescent="0.15">
      <c r="B41" s="31">
        <v>999</v>
      </c>
      <c r="C41" s="1" t="s">
        <v>48</v>
      </c>
      <c r="E41" s="22"/>
      <c r="F41" s="23">
        <f>IF(ISERROR(VLOOKUP($B41,[1]Hedef!$A$4:$ES$45409,19,0)),0,VLOOKUP($B41,[1]Hedef!$A$4:$ES$45409,19,0))</f>
        <v>40</v>
      </c>
      <c r="G41" s="23" t="str">
        <f>IF((E41-F41)&lt;0, "-", (E41-F41))</f>
        <v>-</v>
      </c>
      <c r="H41" s="80" t="e">
        <f t="shared" si="74"/>
        <v>#DIV/0!</v>
      </c>
      <c r="J41" s="44">
        <v>156</v>
      </c>
      <c r="K41" s="11">
        <f t="shared" si="35"/>
        <v>-0.74358974358974361</v>
      </c>
      <c r="M41" s="22"/>
      <c r="N41" s="23">
        <f>IF(ISERROR(VLOOKUP($B41,[1]Hedef!$A$4:$ES$45409,17,0)),0,VLOOKUP($B41,[1]Hedef!$A$4:$ES$45409,17,0))</f>
        <v>5</v>
      </c>
      <c r="O41" s="23" t="str">
        <f>IF((M41-N41)&lt;0, "-", (M41-N41))</f>
        <v>-</v>
      </c>
      <c r="P41" s="80" t="e">
        <f t="shared" si="75"/>
        <v>#DIV/0!</v>
      </c>
      <c r="R41" s="44">
        <v>282</v>
      </c>
      <c r="S41" s="11">
        <f t="shared" si="38"/>
        <v>-0.98226950354609932</v>
      </c>
      <c r="U41" s="22"/>
      <c r="V41" s="23">
        <f>IF(ISERROR(VLOOKUP($B41,[1]Hedef!$A$4:$ES$45409,5,0)),0,VLOOKUP($B41,[1]Hedef!$A$4:$ES$45409,5,0))</f>
        <v>0</v>
      </c>
      <c r="W41" s="23">
        <f>IF((U41-V41)&lt;0, "-", (U41-V41))</f>
        <v>0</v>
      </c>
      <c r="X41" s="80" t="e">
        <f t="shared" si="76"/>
        <v>#DIV/0!</v>
      </c>
      <c r="Z41" s="44">
        <v>11</v>
      </c>
      <c r="AA41" s="11">
        <f t="shared" si="41"/>
        <v>-1</v>
      </c>
      <c r="AC41" s="22"/>
      <c r="AD41" s="23">
        <f>IF(ISERROR(VLOOKUP($B41,[1]Hedef!$A$4:$ES$45409,7,0)),0,VLOOKUP($B41,[1]Hedef!$A$4:$ES$45409,7,0))</f>
        <v>9</v>
      </c>
      <c r="AE41" s="23" t="str">
        <f>IF((AC41-AD41)&lt;0, "-", (AC41-AD41))</f>
        <v>-</v>
      </c>
      <c r="AF41" s="80" t="e">
        <f t="shared" si="77"/>
        <v>#DIV/0!</v>
      </c>
      <c r="AH41" s="44">
        <v>90</v>
      </c>
      <c r="AI41" s="11">
        <f t="shared" ref="AI41:AI44" si="80">IF(ISERROR((AD41-AH41)/AH41),0,(AD41-AH41)/AH41)</f>
        <v>-0.9</v>
      </c>
      <c r="AK41" s="22"/>
      <c r="AL41" s="23">
        <f>IF(ISERROR(VLOOKUP($B41,[1]Hedef!$A$4:$ES$45409,9,0)),0,VLOOKUP($B41,[1]Hedef!$A$4:$ES$45409,9,0))</f>
        <v>0</v>
      </c>
      <c r="AM41" s="23">
        <f>IF((AK41-AL41)&lt;0, "-", (AK41-AL41))</f>
        <v>0</v>
      </c>
      <c r="AN41" s="80"/>
      <c r="AP41" s="44">
        <v>0</v>
      </c>
      <c r="AQ41" s="11">
        <f t="shared" ref="AQ41:AQ44" si="81">IF(ISERROR((AL41-AP41)/AP41),0,(AL41-AP41)/AP41)</f>
        <v>0</v>
      </c>
      <c r="AS41" s="22">
        <f t="shared" si="78"/>
        <v>0</v>
      </c>
      <c r="AT41" s="23">
        <f t="shared" si="78"/>
        <v>54</v>
      </c>
      <c r="AU41" s="23" t="str">
        <f>IF((AS41-AT41)&lt;0, "-", (AS41-AT41))</f>
        <v>-</v>
      </c>
      <c r="AV41" s="80" t="e">
        <f t="shared" si="79"/>
        <v>#DIV/0!</v>
      </c>
      <c r="AX41" s="44">
        <f>+R41+J41+Z41+AH41+AP41</f>
        <v>539</v>
      </c>
      <c r="AY41" s="11">
        <f t="shared" si="52"/>
        <v>-0.8998144712430427</v>
      </c>
      <c r="AZ41" s="45"/>
      <c r="BA41" s="12">
        <f>AS41-'GENEL HEDEF'!E41</f>
        <v>-765</v>
      </c>
      <c r="BB41" s="15">
        <f>AT41-'GENEL HEDEF'!F41</f>
        <v>0</v>
      </c>
      <c r="BC41" s="86">
        <f t="shared" si="14"/>
        <v>765</v>
      </c>
    </row>
    <row r="42" spans="2:55" x14ac:dyDescent="0.15">
      <c r="B42" s="18">
        <v>888</v>
      </c>
      <c r="C42" s="1" t="s">
        <v>27</v>
      </c>
      <c r="E42" s="22"/>
      <c r="F42" s="23">
        <f>IF(ISERROR(VLOOKUP($B42,[1]Hedef!$A$4:$ES$45409,19,0)),0,VLOOKUP($B42,[1]Hedef!$A$4:$ES$45409,19,0))</f>
        <v>6</v>
      </c>
      <c r="G42" s="23" t="str">
        <f>IF((E42-F42)&lt;0, "-", (E42-F42))</f>
        <v>-</v>
      </c>
      <c r="H42" s="80" t="e">
        <f t="shared" si="74"/>
        <v>#DIV/0!</v>
      </c>
      <c r="J42" s="44">
        <v>122</v>
      </c>
      <c r="K42" s="11">
        <f t="shared" si="35"/>
        <v>-0.95081967213114749</v>
      </c>
      <c r="M42" s="22"/>
      <c r="N42" s="23">
        <f>IF(ISERROR(VLOOKUP($B42,[1]Hedef!$A$4:$ES$45409,17,0)),0,VLOOKUP($B42,[1]Hedef!$A$4:$ES$45409,17,0))</f>
        <v>0</v>
      </c>
      <c r="O42" s="23">
        <f>IF((M42-N42)&lt;0, "-", (M42-N42))</f>
        <v>0</v>
      </c>
      <c r="P42" s="80" t="e">
        <f t="shared" si="75"/>
        <v>#DIV/0!</v>
      </c>
      <c r="R42" s="44">
        <v>11</v>
      </c>
      <c r="S42" s="11">
        <f t="shared" si="38"/>
        <v>-1</v>
      </c>
      <c r="U42" s="22"/>
      <c r="V42" s="23">
        <f>IF(ISERROR(VLOOKUP($B42,[1]Hedef!$A$4:$ES$45409,5,0)),0,VLOOKUP($B42,[1]Hedef!$A$4:$ES$45409,5,0))</f>
        <v>0</v>
      </c>
      <c r="W42" s="23">
        <f>IF((U42-V42)&lt;0, "-", (U42-V42))</f>
        <v>0</v>
      </c>
      <c r="X42" s="80" t="e">
        <f t="shared" si="76"/>
        <v>#DIV/0!</v>
      </c>
      <c r="Z42" s="44">
        <v>70.5625</v>
      </c>
      <c r="AA42" s="11">
        <f t="shared" si="41"/>
        <v>-1</v>
      </c>
      <c r="AC42" s="22"/>
      <c r="AD42" s="23">
        <f>IF(ISERROR(VLOOKUP($B42,[1]Hedef!$A$4:$ES$45409,7,0)),0,VLOOKUP($B42,[1]Hedef!$A$4:$ES$45409,7,0))</f>
        <v>1</v>
      </c>
      <c r="AE42" s="23" t="str">
        <f>IF((AC42-AD42)&lt;0, "-", (AC42-AD42))</f>
        <v>-</v>
      </c>
      <c r="AF42" s="80" t="e">
        <f t="shared" si="77"/>
        <v>#DIV/0!</v>
      </c>
      <c r="AH42" s="44">
        <v>18</v>
      </c>
      <c r="AI42" s="11">
        <f t="shared" si="80"/>
        <v>-0.94444444444444442</v>
      </c>
      <c r="AK42" s="22"/>
      <c r="AL42" s="23">
        <f>IF(ISERROR(VLOOKUP($B42,[1]Hedef!$A$4:$ES$45409,9,0)),0,VLOOKUP($B42,[1]Hedef!$A$4:$ES$45409,9,0))</f>
        <v>0</v>
      </c>
      <c r="AM42" s="23">
        <f>IF((AK42-AL42)&lt;0, "-", (AK42-AL42))</f>
        <v>0</v>
      </c>
      <c r="AN42" s="80"/>
      <c r="AP42" s="44">
        <v>0</v>
      </c>
      <c r="AQ42" s="11">
        <f t="shared" si="81"/>
        <v>0</v>
      </c>
      <c r="AS42" s="22">
        <f t="shared" si="78"/>
        <v>0</v>
      </c>
      <c r="AT42" s="23">
        <f t="shared" si="78"/>
        <v>7</v>
      </c>
      <c r="AU42" s="23" t="str">
        <f>IF((AS42-AT42)&lt;0, "-", (AS42-AT42))</f>
        <v>-</v>
      </c>
      <c r="AV42" s="80" t="e">
        <f t="shared" si="79"/>
        <v>#DIV/0!</v>
      </c>
      <c r="AX42" s="44">
        <f>+R42+J42+Z42+AH42+AP42</f>
        <v>221.5625</v>
      </c>
      <c r="AY42" s="11">
        <f t="shared" si="52"/>
        <v>-0.96840620592383642</v>
      </c>
      <c r="AZ42" s="45"/>
      <c r="BA42" s="12">
        <f>AS42-'GENEL HEDEF'!E42</f>
        <v>-644</v>
      </c>
      <c r="BB42" s="15">
        <f>AT42-'GENEL HEDEF'!F42</f>
        <v>0</v>
      </c>
      <c r="BC42" s="86">
        <f t="shared" si="14"/>
        <v>644</v>
      </c>
    </row>
    <row r="43" spans="2:55" x14ac:dyDescent="0.15">
      <c r="B43" s="18">
        <v>14</v>
      </c>
      <c r="C43" s="1" t="s">
        <v>131</v>
      </c>
      <c r="E43" s="22"/>
      <c r="F43" s="23">
        <f>IF(ISERROR(VLOOKUP($B43,[1]Hedef!$A$4:$ES$45409,19,0)),0,VLOOKUP($B43,[1]Hedef!$A$4:$ES$45409,19,0))</f>
        <v>0</v>
      </c>
      <c r="G43" s="23">
        <f>IF((E43-F43)&lt;0, "-", (E43-F43))</f>
        <v>0</v>
      </c>
      <c r="H43" s="80" t="e">
        <f t="shared" si="74"/>
        <v>#DIV/0!</v>
      </c>
      <c r="J43" s="44">
        <v>1</v>
      </c>
      <c r="K43" s="11">
        <f t="shared" si="35"/>
        <v>-1</v>
      </c>
      <c r="M43" s="22"/>
      <c r="N43" s="23">
        <f>IF(ISERROR(VLOOKUP($B43,[1]Hedef!$A$4:$ES$45409,17,0)),0,VLOOKUP($B43,[1]Hedef!$A$4:$ES$45409,17,0))</f>
        <v>0</v>
      </c>
      <c r="O43" s="23">
        <f>IF((M43-N43)&lt;0, "-", (M43-N43))</f>
        <v>0</v>
      </c>
      <c r="P43" s="80" t="e">
        <f t="shared" si="75"/>
        <v>#DIV/0!</v>
      </c>
      <c r="R43" s="44">
        <v>1</v>
      </c>
      <c r="S43" s="11">
        <f t="shared" si="38"/>
        <v>-1</v>
      </c>
      <c r="U43" s="22"/>
      <c r="V43" s="23">
        <f>IF(ISERROR(VLOOKUP($B43,[1]Hedef!$A$4:$ES$45409,5,0)),0,VLOOKUP($B43,[1]Hedef!$A$4:$ES$45409,5,0))</f>
        <v>0</v>
      </c>
      <c r="W43" s="23">
        <f>IF((U43-V43)&lt;0, "-", (U43-V43))</f>
        <v>0</v>
      </c>
      <c r="X43" s="80"/>
      <c r="Z43" s="44">
        <v>0</v>
      </c>
      <c r="AA43" s="11">
        <f t="shared" si="41"/>
        <v>0</v>
      </c>
      <c r="AC43" s="22"/>
      <c r="AD43" s="23">
        <f>IF(ISERROR(VLOOKUP($B43,[1]Hedef!$A$4:$ES$45409,7,0)),0,VLOOKUP($B43,[1]Hedef!$A$4:$ES$45409,7,0))</f>
        <v>0</v>
      </c>
      <c r="AE43" s="23">
        <f>IF((AC43-AD43)&lt;0, "-", (AC43-AD43))</f>
        <v>0</v>
      </c>
      <c r="AF43" s="80"/>
      <c r="AH43" s="44">
        <v>0</v>
      </c>
      <c r="AI43" s="11">
        <f t="shared" si="80"/>
        <v>0</v>
      </c>
      <c r="AK43" s="22"/>
      <c r="AL43" s="23">
        <f>IF(ISERROR(VLOOKUP($B43,[1]Hedef!$A$4:$ES$45409,9,0)),0,VLOOKUP($B43,[1]Hedef!$A$4:$ES$45409,9,0))</f>
        <v>0</v>
      </c>
      <c r="AM43" s="23">
        <f>IF((AK43-AL43)&lt;0, "-", (AK43-AL43))</f>
        <v>0</v>
      </c>
      <c r="AN43" s="80"/>
      <c r="AP43" s="44">
        <v>0</v>
      </c>
      <c r="AQ43" s="11">
        <f t="shared" si="81"/>
        <v>0</v>
      </c>
      <c r="AS43" s="22">
        <f t="shared" si="78"/>
        <v>0</v>
      </c>
      <c r="AT43" s="23">
        <f t="shared" si="78"/>
        <v>0</v>
      </c>
      <c r="AU43" s="23">
        <f>IF((AS43-AT43)&lt;0, "-", (AS43-AT43))</f>
        <v>0</v>
      </c>
      <c r="AV43" s="80" t="e">
        <f t="shared" si="79"/>
        <v>#DIV/0!</v>
      </c>
      <c r="AX43" s="44">
        <f>+R43+J43+Z43+AH43+AP43</f>
        <v>2</v>
      </c>
      <c r="AY43" s="11">
        <f t="shared" si="52"/>
        <v>-1</v>
      </c>
      <c r="AZ43" s="45"/>
      <c r="BA43" s="12">
        <f>AS43-'GENEL HEDEF'!E43</f>
        <v>-3</v>
      </c>
      <c r="BB43" s="15">
        <f>AT43-'GENEL HEDEF'!F43</f>
        <v>0</v>
      </c>
      <c r="BC43" s="86">
        <f t="shared" si="14"/>
        <v>3</v>
      </c>
    </row>
    <row r="44" spans="2:55" ht="13" thickBot="1" x14ac:dyDescent="0.2">
      <c r="B44" s="18">
        <v>17</v>
      </c>
      <c r="C44" s="1" t="s">
        <v>61</v>
      </c>
      <c r="E44" s="22"/>
      <c r="F44" s="23">
        <f>IF(ISERROR(VLOOKUP($B44,[1]Hedef!$A$4:$ES$45409,19,0)),0,VLOOKUP($B44,[1]Hedef!$A$4:$ES$45409,19,0))</f>
        <v>0</v>
      </c>
      <c r="G44" s="23">
        <f>IF((E44-F44)&lt;0, "-", (E44-F44))</f>
        <v>0</v>
      </c>
      <c r="H44" s="80" t="e">
        <f t="shared" si="74"/>
        <v>#DIV/0!</v>
      </c>
      <c r="J44" s="44">
        <v>2</v>
      </c>
      <c r="K44" s="11">
        <f t="shared" si="35"/>
        <v>-1</v>
      </c>
      <c r="M44" s="22"/>
      <c r="N44" s="23">
        <f>IF(ISERROR(VLOOKUP($B44,[1]Hedef!$A$4:$ES$45409,17,0)),0,VLOOKUP($B44,[1]Hedef!$A$4:$ES$45409,17,0))</f>
        <v>0</v>
      </c>
      <c r="O44" s="23">
        <f>IF((M44-N44)&lt;0, "-", (M44-N44))</f>
        <v>0</v>
      </c>
      <c r="P44" s="80" t="e">
        <f t="shared" si="75"/>
        <v>#DIV/0!</v>
      </c>
      <c r="R44" s="44">
        <v>1</v>
      </c>
      <c r="S44" s="11">
        <f t="shared" si="38"/>
        <v>-1</v>
      </c>
      <c r="U44" s="22"/>
      <c r="V44" s="23">
        <f>IF(ISERROR(VLOOKUP($B44,[1]Hedef!$A$4:$ES$45409,5,0)),0,VLOOKUP($B44,[1]Hedef!$A$4:$ES$45409,5,0))</f>
        <v>0</v>
      </c>
      <c r="W44" s="23">
        <f>IF((U44-V44)&lt;0, "-", (U44-V44))</f>
        <v>0</v>
      </c>
      <c r="X44" s="80" t="e">
        <f>TRUNC(IF((V44/U44)&gt;1.2,"120%",(V44/U44)),2)</f>
        <v>#DIV/0!</v>
      </c>
      <c r="Z44" s="44">
        <v>20.416666666666671</v>
      </c>
      <c r="AA44" s="11">
        <f t="shared" si="41"/>
        <v>-1</v>
      </c>
      <c r="AC44" s="22"/>
      <c r="AD44" s="23">
        <f>IF(ISERROR(VLOOKUP($B44,[1]Hedef!$A$4:$ES$45409,7,0)),0,VLOOKUP($B44,[1]Hedef!$A$4:$ES$45409,7,0))</f>
        <v>8</v>
      </c>
      <c r="AE44" s="23" t="str">
        <f>IF((AC44-AD44)&lt;0, "-", (AC44-AD44))</f>
        <v>-</v>
      </c>
      <c r="AF44" s="80" t="e">
        <f>TRUNC(IF((AD44/AC44)&gt;1.2,"120%",(AD44/AC44)),2)</f>
        <v>#DIV/0!</v>
      </c>
      <c r="AH44" s="44">
        <v>35</v>
      </c>
      <c r="AI44" s="11">
        <f t="shared" si="80"/>
        <v>-0.77142857142857146</v>
      </c>
      <c r="AK44" s="22"/>
      <c r="AL44" s="23">
        <f>IF(ISERROR(VLOOKUP($B44,[1]Hedef!$A$4:$ES$45409,9,0)),0,VLOOKUP($B44,[1]Hedef!$A$4:$ES$45409,9,0))</f>
        <v>0</v>
      </c>
      <c r="AM44" s="23">
        <f>IF((AK44-AL44)&lt;0, "-", (AK44-AL44))</f>
        <v>0</v>
      </c>
      <c r="AN44" s="80"/>
      <c r="AP44" s="44">
        <v>0</v>
      </c>
      <c r="AQ44" s="11">
        <f t="shared" si="81"/>
        <v>0</v>
      </c>
      <c r="AS44" s="22">
        <f t="shared" si="78"/>
        <v>0</v>
      </c>
      <c r="AT44" s="23">
        <f t="shared" si="78"/>
        <v>8</v>
      </c>
      <c r="AU44" s="23" t="str">
        <f>IF((AS44-AT44)&lt;0, "-", (AS44-AT44))</f>
        <v>-</v>
      </c>
      <c r="AV44" s="80" t="e">
        <f t="shared" si="79"/>
        <v>#DIV/0!</v>
      </c>
      <c r="AX44" s="44">
        <f>+R44+J44+Z44+AH44+AP44</f>
        <v>58.416666666666671</v>
      </c>
      <c r="AY44" s="11">
        <f t="shared" si="52"/>
        <v>-0.86305278174037092</v>
      </c>
      <c r="AZ44" s="45"/>
      <c r="BA44" s="12">
        <f>AS44-'GENEL HEDEF'!E44</f>
        <v>-75</v>
      </c>
      <c r="BB44" s="15">
        <f>AT44-'GENEL HEDEF'!F44</f>
        <v>0</v>
      </c>
      <c r="BC44" s="86">
        <f t="shared" si="14"/>
        <v>75</v>
      </c>
    </row>
    <row r="45" spans="2:55" ht="14" thickTop="1" thickBot="1" x14ac:dyDescent="0.2">
      <c r="B45" s="18"/>
      <c r="C45" s="2" t="s">
        <v>28</v>
      </c>
      <c r="E45" s="67">
        <f>SUM(E40:E44)</f>
        <v>0</v>
      </c>
      <c r="F45" s="67">
        <f>SUM(F40:F44)</f>
        <v>56</v>
      </c>
      <c r="G45" s="67">
        <f>SUM(G41:G44)</f>
        <v>0</v>
      </c>
      <c r="H45" s="39" t="e">
        <f>TRUNC(IF((F45/E45)&gt;1.2,"120%",(F45/E45)),2)</f>
        <v>#DIV/0!</v>
      </c>
      <c r="I45" s="109"/>
      <c r="J45" s="48"/>
      <c r="K45" s="48"/>
      <c r="L45" s="109"/>
      <c r="M45" s="67">
        <f>SUM(M40:M44)</f>
        <v>0</v>
      </c>
      <c r="N45" s="67">
        <f>SUM(N40:N44)</f>
        <v>20</v>
      </c>
      <c r="O45" s="67">
        <f>SUM(O41:O44)</f>
        <v>0</v>
      </c>
      <c r="P45" s="39" t="e">
        <f>TRUNC(IF((N45/M45)&gt;1.2,"120%",(N45/M45)),2)</f>
        <v>#DIV/0!</v>
      </c>
      <c r="Q45" s="109"/>
      <c r="R45" s="48"/>
      <c r="S45" s="48"/>
      <c r="T45" s="109"/>
      <c r="U45" s="67">
        <f>SUM(U40:U44)</f>
        <v>0</v>
      </c>
      <c r="V45" s="67">
        <f>SUM(V40:V44)</f>
        <v>36</v>
      </c>
      <c r="W45" s="67">
        <f>SUM(W41:W44)</f>
        <v>0</v>
      </c>
      <c r="X45" s="39" t="e">
        <f>TRUNC(IF((V45/U45)&gt;1.2,"120%",(V45/U45)),2)</f>
        <v>#DIV/0!</v>
      </c>
      <c r="Y45" s="78"/>
      <c r="Z45" s="48"/>
      <c r="AA45" s="48"/>
      <c r="AB45" s="109"/>
      <c r="AC45" s="67">
        <f>SUM(AC40:AC44)</f>
        <v>0</v>
      </c>
      <c r="AD45" s="67">
        <f>SUM(AD40:AD44)</f>
        <v>54</v>
      </c>
      <c r="AE45" s="67">
        <f>SUM(AE41:AE44)</f>
        <v>0</v>
      </c>
      <c r="AF45" s="39" t="e">
        <f>TRUNC(IF((AD45/AC45)&gt;1.2,"120%",(AD45/AC45)),2)</f>
        <v>#DIV/0!</v>
      </c>
      <c r="AG45" s="109"/>
      <c r="AH45" s="48"/>
      <c r="AI45" s="48"/>
      <c r="AJ45" s="109"/>
      <c r="AK45" s="67">
        <f>SUM(AK40:AK44)</f>
        <v>0</v>
      </c>
      <c r="AL45" s="67">
        <f>SUM(AL40:AL44)</f>
        <v>0</v>
      </c>
      <c r="AM45" s="67">
        <f>SUM(AM41:AM44)</f>
        <v>0</v>
      </c>
      <c r="AN45" s="39" t="e">
        <f>TRUNC(IF((AL45/AK45)&gt;1.2,"120%",(AL45/AK45)),2)</f>
        <v>#DIV/0!</v>
      </c>
      <c r="AO45" s="78"/>
      <c r="AP45" s="48"/>
      <c r="AQ45" s="48"/>
      <c r="AR45" s="109"/>
      <c r="AS45" s="67">
        <f>SUM(AS40:AS44)</f>
        <v>0</v>
      </c>
      <c r="AT45" s="67">
        <f>SUM(AT40:AT44)</f>
        <v>166</v>
      </c>
      <c r="AU45" s="67">
        <f>SUM(AU41:AU44)</f>
        <v>0</v>
      </c>
      <c r="AV45" s="39" t="e">
        <f>TRUNC(IF((AT45/AS45)&gt;1.2,"120%",(AT45/AS45)),2)</f>
        <v>#DIV/0!</v>
      </c>
      <c r="AX45" s="67"/>
      <c r="AY45" s="48"/>
      <c r="AZ45" s="45"/>
      <c r="BA45" s="8"/>
      <c r="BB45" s="9"/>
      <c r="BC45" s="86">
        <f t="shared" si="14"/>
        <v>0</v>
      </c>
    </row>
    <row r="46" spans="2:55" ht="13" thickTop="1" x14ac:dyDescent="0.15">
      <c r="B46" s="18">
        <v>52</v>
      </c>
      <c r="C46" s="1" t="s">
        <v>68</v>
      </c>
      <c r="E46" s="22"/>
      <c r="F46" s="23">
        <f>IF(ISERROR(VLOOKUP($B46,[1]Hedef!$A$4:$ES$45409,19,0)),0,VLOOKUP($B46,[1]Hedef!$A$4:$ES$45409,19,0))</f>
        <v>0</v>
      </c>
      <c r="G46" s="23">
        <f t="shared" ref="G46:G56" si="82">IF((E46-F46)&lt;0, "-", (E46-F46))</f>
        <v>0</v>
      </c>
      <c r="H46" s="80" t="e">
        <f t="shared" ref="H46:H56" si="83">TRUNC(IF((F46/E46)&gt;1.2,"120%",(F46/E46)),2)</f>
        <v>#DIV/0!</v>
      </c>
      <c r="J46" s="44">
        <v>2.4E-2</v>
      </c>
      <c r="K46" s="11">
        <f t="shared" si="35"/>
        <v>-1</v>
      </c>
      <c r="M46" s="22"/>
      <c r="N46" s="23">
        <f>IF(ISERROR(VLOOKUP($B46,[1]Hedef!$A$4:$ES$45409,17,0)),0,VLOOKUP($B46,[1]Hedef!$A$4:$ES$45409,17,0))</f>
        <v>0</v>
      </c>
      <c r="O46" s="23">
        <f t="shared" ref="O46:O56" si="84">IF((M46-N46)&lt;0, "-", (M46-N46))</f>
        <v>0</v>
      </c>
      <c r="P46" s="80" t="e">
        <f t="shared" ref="P46:P56" si="85">TRUNC(IF((N46/M46)&gt;1.2,"120%",(N46/M46)),2)</f>
        <v>#DIV/0!</v>
      </c>
      <c r="R46" s="44">
        <v>0.16800000000000001</v>
      </c>
      <c r="S46" s="11">
        <f t="shared" si="38"/>
        <v>-1</v>
      </c>
      <c r="U46" s="22"/>
      <c r="V46" s="23">
        <f>IF(ISERROR(VLOOKUP($B46,[1]Hedef!$A$4:$ES$45409,5,0)),0,VLOOKUP($B46,[1]Hedef!$A$4:$ES$45409,5,0))</f>
        <v>0</v>
      </c>
      <c r="W46" s="23">
        <f t="shared" ref="W46:W56" si="86">IF((U46-V46)&lt;0, "-", (U46-V46))</f>
        <v>0</v>
      </c>
      <c r="X46" s="80" t="e">
        <f t="shared" ref="X46:X50" si="87">TRUNC(IF((V46/U46)&gt;1.2,"120%",(V46/U46)),2)</f>
        <v>#DIV/0!</v>
      </c>
      <c r="Z46" s="44">
        <v>2.3544999999999998</v>
      </c>
      <c r="AA46" s="11">
        <f t="shared" si="41"/>
        <v>-1</v>
      </c>
      <c r="AC46" s="22"/>
      <c r="AD46" s="23">
        <f>IF(ISERROR(VLOOKUP($B46,[1]Hedef!$A$4:$ES$45409,7,0)),0,VLOOKUP($B46,[1]Hedef!$A$4:$ES$45409,7,0))</f>
        <v>0.216</v>
      </c>
      <c r="AE46" s="23" t="str">
        <f t="shared" ref="AE46" si="88">IF((AC46-AD46)&lt;0, "-", (AC46-AD46))</f>
        <v>-</v>
      </c>
      <c r="AF46" s="80" t="e">
        <f t="shared" ref="AF46:AF50" si="89">TRUNC(IF((AD46/AC46)&gt;1.2,"120%",(AD46/AC46)),2)</f>
        <v>#DIV/0!</v>
      </c>
      <c r="AH46" s="44">
        <v>0.32200000000000001</v>
      </c>
      <c r="AI46" s="11">
        <f t="shared" ref="AI46" si="90">IF(ISERROR((AD46-AH46)/AH46),0,(AD46-AH46)/AH46)</f>
        <v>-0.32919254658385094</v>
      </c>
      <c r="AK46" s="22"/>
      <c r="AL46" s="23">
        <f>IF(ISERROR(VLOOKUP($B46,[1]Hedef!$A$4:$ES$45409,9,0)),0,VLOOKUP($B46,[1]Hedef!$A$4:$ES$45409,9,0))</f>
        <v>0.20699999999999999</v>
      </c>
      <c r="AM46" s="23" t="str">
        <f t="shared" ref="AM46" si="91">IF((AK46-AL46)&lt;0, "-", (AK46-AL46))</f>
        <v>-</v>
      </c>
      <c r="AN46" s="80" t="e">
        <f>TRUNC(IF((AL46/AK46)&gt;1.2,"120%",(AL46/AK46)),2)</f>
        <v>#DIV/0!</v>
      </c>
      <c r="AP46" s="44">
        <v>1.6545000000000001</v>
      </c>
      <c r="AQ46" s="11">
        <f t="shared" ref="AQ46" si="92">IF(ISERROR((AL46-AP46)/AP46),0,(AL46-AP46)/AP46)</f>
        <v>-0.87488667271078868</v>
      </c>
      <c r="AS46" s="22">
        <f t="shared" ref="AS46:AS56" si="93">+E46+M46+U46+AC46+AK46</f>
        <v>0</v>
      </c>
      <c r="AT46" s="23">
        <f t="shared" ref="AT46:AT56" si="94">+F46+N46+V46+AD46+AL46</f>
        <v>0.42299999999999999</v>
      </c>
      <c r="AU46" s="23" t="str">
        <f t="shared" ref="AU46:AU56" si="95">IF((AS46-AT46)&lt;0, "-", (AS46-AT46))</f>
        <v>-</v>
      </c>
      <c r="AV46" s="80" t="e">
        <f t="shared" ref="AV46:AV56" si="96">TRUNC(IF((AT46/AS46)&gt;1.2,"120%",(AT46/AS46)),2)</f>
        <v>#DIV/0!</v>
      </c>
      <c r="AX46" s="44">
        <f t="shared" ref="AX46:AX56" si="97">+R46+J46+Z46+AH46+AP46</f>
        <v>4.5229999999999997</v>
      </c>
      <c r="AY46" s="11">
        <f t="shared" si="52"/>
        <v>-0.90647800132655321</v>
      </c>
      <c r="AZ46" s="45"/>
      <c r="BA46" s="12">
        <f>AS46-'GENEL HEDEF'!E46</f>
        <v>-7.9</v>
      </c>
      <c r="BB46" s="15">
        <f>AT46-'GENEL HEDEF'!F46</f>
        <v>0</v>
      </c>
      <c r="BC46" s="86">
        <f t="shared" si="14"/>
        <v>7.9</v>
      </c>
    </row>
    <row r="47" spans="2:55" x14ac:dyDescent="0.15">
      <c r="B47" s="31">
        <v>55</v>
      </c>
      <c r="C47" s="1" t="s">
        <v>69</v>
      </c>
      <c r="E47" s="22"/>
      <c r="F47" s="23">
        <f>IF(ISERROR(VLOOKUP($B47,[1]Hedef!$A$4:$ES$45409,19,0)),0,VLOOKUP($B47,[1]Hedef!$A$4:$ES$45409,19,0))</f>
        <v>1.6E-2</v>
      </c>
      <c r="G47" s="23" t="str">
        <f t="shared" ref="G47:G51" si="98">IF((E47-F47)&lt;0, "-", (E47-F47))</f>
        <v>-</v>
      </c>
      <c r="H47" s="80" t="e">
        <f t="shared" si="83"/>
        <v>#DIV/0!</v>
      </c>
      <c r="J47" s="44">
        <v>5.3200000000000004E-2</v>
      </c>
      <c r="K47" s="11">
        <f>IF(ISERROR((F47-J47)/J47),0,(F47-J47)/J47)</f>
        <v>-0.6992481203007519</v>
      </c>
      <c r="M47" s="22"/>
      <c r="N47" s="23">
        <f>IF(ISERROR(VLOOKUP($B47,[1]Hedef!$A$4:$ES$45409,17,0)),0,VLOOKUP($B47,[1]Hedef!$A$4:$ES$45409,17,0))</f>
        <v>0</v>
      </c>
      <c r="O47" s="23">
        <f t="shared" ref="O47:O51" si="99">IF((M47-N47)&lt;0, "-", (M47-N47))</f>
        <v>0</v>
      </c>
      <c r="P47" s="80" t="e">
        <f t="shared" si="85"/>
        <v>#DIV/0!</v>
      </c>
      <c r="R47" s="44">
        <v>2.3199999999999998E-2</v>
      </c>
      <c r="S47" s="11">
        <f>IF(ISERROR((N47-R47)/R47),0,(N47-R47)/R47)</f>
        <v>-1</v>
      </c>
      <c r="U47" s="22"/>
      <c r="V47" s="23">
        <f>IF(ISERROR(VLOOKUP($B47,[1]Hedef!$A$4:$ES$45409,5,0)),0,VLOOKUP($B47,[1]Hedef!$A$4:$ES$45409,5,0))</f>
        <v>0</v>
      </c>
      <c r="W47" s="23">
        <f t="shared" ref="W47:W51" si="100">IF((U47-V47)&lt;0, "-", (U47-V47))</f>
        <v>0</v>
      </c>
      <c r="X47" s="80" t="e">
        <f t="shared" si="87"/>
        <v>#DIV/0!</v>
      </c>
      <c r="Z47" s="44">
        <v>7.5600000000000001E-2</v>
      </c>
      <c r="AA47" s="11">
        <f>IF(ISERROR((V47-Z47)/Z47),0,(V47-Z47)/Z47)</f>
        <v>-1</v>
      </c>
      <c r="AC47" s="22"/>
      <c r="AD47" s="23">
        <f>IF(ISERROR(VLOOKUP($B47,[1]Hedef!$A$4:$ES$45409,7,0)),0,VLOOKUP($B47,[1]Hedef!$A$4:$ES$45409,7,0))</f>
        <v>2.4199999999999999E-2</v>
      </c>
      <c r="AE47" s="23" t="str">
        <f t="shared" ref="AE47:AE51" si="101">IF((AC47-AD47)&lt;0, "-", (AC47-AD47))</f>
        <v>-</v>
      </c>
      <c r="AF47" s="80" t="e">
        <f t="shared" si="89"/>
        <v>#DIV/0!</v>
      </c>
      <c r="AH47" s="44">
        <v>0.10440000000000001</v>
      </c>
      <c r="AI47" s="11">
        <f>IF(ISERROR((AD47-AH47)/AH47),0,(AD47-AH47)/AH47)</f>
        <v>-0.76819923371647514</v>
      </c>
      <c r="AK47" s="22"/>
      <c r="AL47" s="23">
        <f>IF(ISERROR(VLOOKUP($B47,[1]Hedef!$A$4:$ES$45409,9,0)),0,VLOOKUP($B47,[1]Hedef!$A$4:$ES$45409,9,0))</f>
        <v>0</v>
      </c>
      <c r="AM47" s="23">
        <f t="shared" ref="AM47:AM51" si="102">IF((AK47-AL47)&lt;0, "-", (AK47-AL47))</f>
        <v>0</v>
      </c>
      <c r="AN47" s="80"/>
      <c r="AP47" s="44">
        <v>0</v>
      </c>
      <c r="AQ47" s="11">
        <f>IF(ISERROR((AL47-AP47)/AP47),0,(AL47-AP47)/AP47)</f>
        <v>0</v>
      </c>
      <c r="AS47" s="22">
        <f t="shared" si="93"/>
        <v>0</v>
      </c>
      <c r="AT47" s="23">
        <f t="shared" si="94"/>
        <v>4.02E-2</v>
      </c>
      <c r="AU47" s="23" t="str">
        <f>IF((AS47-AT47)&lt;0, "-", (AS47-AT47))</f>
        <v>-</v>
      </c>
      <c r="AV47" s="80" t="e">
        <f t="shared" si="96"/>
        <v>#DIV/0!</v>
      </c>
      <c r="AX47" s="44">
        <f t="shared" si="97"/>
        <v>0.25640000000000002</v>
      </c>
      <c r="AY47" s="11">
        <f>IF(ISERROR((AT47-AX47)/AX47),0,(AT47-AX47)/AX47)</f>
        <v>-0.84321372854914189</v>
      </c>
      <c r="AZ47" s="45"/>
      <c r="BA47" s="12">
        <f>AS47-'GENEL HEDEF'!E47</f>
        <v>-0.36</v>
      </c>
      <c r="BB47" s="15">
        <f>AT47-'GENEL HEDEF'!F47</f>
        <v>0</v>
      </c>
      <c r="BC47" s="86">
        <f>BA47*-1</f>
        <v>0.36</v>
      </c>
    </row>
    <row r="48" spans="2:55" x14ac:dyDescent="0.15">
      <c r="B48" s="18">
        <v>61</v>
      </c>
      <c r="C48" s="1" t="s">
        <v>46</v>
      </c>
      <c r="E48" s="22"/>
      <c r="F48" s="23">
        <f>IF(ISERROR(VLOOKUP($B48,[1]Hedef!$A$4:$ES$45409,19,0)),0,VLOOKUP($B48,[1]Hedef!$A$4:$ES$45409,19,0))</f>
        <v>0</v>
      </c>
      <c r="G48" s="23">
        <f t="shared" si="98"/>
        <v>0</v>
      </c>
      <c r="H48" s="80" t="e">
        <f t="shared" si="83"/>
        <v>#DIV/0!</v>
      </c>
      <c r="J48" s="44">
        <v>0.5</v>
      </c>
      <c r="K48" s="11">
        <f t="shared" si="35"/>
        <v>-1</v>
      </c>
      <c r="M48" s="22"/>
      <c r="N48" s="23">
        <f>IF(ISERROR(VLOOKUP($B48,[1]Hedef!$A$4:$ES$45409,17,0)),0,VLOOKUP($B48,[1]Hedef!$A$4:$ES$45409,17,0))</f>
        <v>0</v>
      </c>
      <c r="O48" s="23">
        <f t="shared" si="99"/>
        <v>0</v>
      </c>
      <c r="P48" s="80" t="e">
        <f t="shared" si="85"/>
        <v>#DIV/0!</v>
      </c>
      <c r="R48" s="44">
        <v>2.5000000000000001E-2</v>
      </c>
      <c r="S48" s="11">
        <f t="shared" si="38"/>
        <v>-1</v>
      </c>
      <c r="U48" s="22"/>
      <c r="V48" s="23">
        <f>IF(ISERROR(VLOOKUP($B48,[1]Hedef!$A$4:$ES$45409,5,0)),0,VLOOKUP($B48,[1]Hedef!$A$4:$ES$45409,5,0))</f>
        <v>0</v>
      </c>
      <c r="W48" s="23">
        <f t="shared" si="100"/>
        <v>0</v>
      </c>
      <c r="X48" s="80" t="e">
        <f t="shared" si="87"/>
        <v>#DIV/0!</v>
      </c>
      <c r="Z48" s="44">
        <v>0.15</v>
      </c>
      <c r="AA48" s="11">
        <f t="shared" si="41"/>
        <v>-1</v>
      </c>
      <c r="AC48" s="22"/>
      <c r="AD48" s="23">
        <f>IF(ISERROR(VLOOKUP($B48,[1]Hedef!$A$4:$ES$45409,7,0)),0,VLOOKUP($B48,[1]Hedef!$A$4:$ES$45409,7,0))</f>
        <v>2.5000000000000001E-2</v>
      </c>
      <c r="AE48" s="23" t="str">
        <f t="shared" si="101"/>
        <v>-</v>
      </c>
      <c r="AF48" s="80" t="e">
        <f t="shared" si="89"/>
        <v>#DIV/0!</v>
      </c>
      <c r="AH48" s="44">
        <v>0.05</v>
      </c>
      <c r="AI48" s="11">
        <f t="shared" ref="AI48:AI50" si="103">IF(ISERROR((AD48-AH48)/AH48),0,(AD48-AH48)/AH48)</f>
        <v>-0.5</v>
      </c>
      <c r="AK48" s="22"/>
      <c r="AL48" s="23">
        <f>IF(ISERROR(VLOOKUP($B48,[1]Hedef!$A$4:$ES$45409,9,0)),0,VLOOKUP($B48,[1]Hedef!$A$4:$ES$45409,9,0))</f>
        <v>0</v>
      </c>
      <c r="AM48" s="23">
        <f t="shared" si="102"/>
        <v>0</v>
      </c>
      <c r="AN48" s="80"/>
      <c r="AP48" s="44">
        <v>0</v>
      </c>
      <c r="AQ48" s="11">
        <f t="shared" ref="AQ48:AQ53" si="104">IF(ISERROR((AL48-AP48)/AP48),0,(AL48-AP48)/AP48)</f>
        <v>0</v>
      </c>
      <c r="AS48" s="22">
        <f t="shared" si="93"/>
        <v>0</v>
      </c>
      <c r="AT48" s="23">
        <f t="shared" si="94"/>
        <v>2.5000000000000001E-2</v>
      </c>
      <c r="AU48" s="23" t="str">
        <f t="shared" si="95"/>
        <v>-</v>
      </c>
      <c r="AV48" s="80" t="e">
        <f t="shared" si="96"/>
        <v>#DIV/0!</v>
      </c>
      <c r="AX48" s="44">
        <f t="shared" si="97"/>
        <v>0.72500000000000009</v>
      </c>
      <c r="AY48" s="11">
        <f t="shared" si="52"/>
        <v>-0.96551724137931028</v>
      </c>
      <c r="AZ48" s="45"/>
      <c r="BA48" s="12">
        <f>AS48-'GENEL HEDEF'!E48</f>
        <v>-0.9</v>
      </c>
      <c r="BB48" s="15">
        <f>AT48-'GENEL HEDEF'!F48</f>
        <v>0</v>
      </c>
      <c r="BC48" s="86">
        <f t="shared" si="14"/>
        <v>0.9</v>
      </c>
    </row>
    <row r="49" spans="2:55" ht="12.75" customHeight="1" x14ac:dyDescent="0.15">
      <c r="B49" s="31">
        <v>27</v>
      </c>
      <c r="C49" s="1" t="s">
        <v>158</v>
      </c>
      <c r="E49" s="22"/>
      <c r="F49" s="23">
        <f>IF(ISERROR(VLOOKUP($B49,[1]Hedef!$A$4:$ES$45409,19,0)),0,VLOOKUP($B49,[1]Hedef!$A$4:$ES$45409,19,0))</f>
        <v>0</v>
      </c>
      <c r="G49" s="23">
        <f t="shared" si="98"/>
        <v>0</v>
      </c>
      <c r="H49" s="80" t="e">
        <f t="shared" ref="H49" si="105">TRUNC(IF((F49/E49)&gt;1.2,"120%",(F49/E49)),2)</f>
        <v>#DIV/0!</v>
      </c>
      <c r="J49" s="44">
        <v>0.125</v>
      </c>
      <c r="K49" s="11">
        <f t="shared" si="35"/>
        <v>-1</v>
      </c>
      <c r="M49" s="22"/>
      <c r="N49" s="23">
        <f>IF(ISERROR(VLOOKUP($B49,[1]Hedef!$A$4:$ES$45409,17,0)),0,VLOOKUP($B49,[1]Hedef!$A$4:$ES$45409,17,0))</f>
        <v>0</v>
      </c>
      <c r="O49" s="23">
        <f t="shared" si="99"/>
        <v>0</v>
      </c>
      <c r="P49" s="80" t="e">
        <f t="shared" si="85"/>
        <v>#DIV/0!</v>
      </c>
      <c r="R49" s="44">
        <v>0.15</v>
      </c>
      <c r="S49" s="11">
        <f t="shared" si="38"/>
        <v>-1</v>
      </c>
      <c r="U49" s="22"/>
      <c r="V49" s="23">
        <f>IF(ISERROR(VLOOKUP($B49,[1]Hedef!$A$4:$ES$45409,5,0)),0,VLOOKUP($B49,[1]Hedef!$A$4:$ES$45409,5,0))</f>
        <v>0</v>
      </c>
      <c r="W49" s="23">
        <f t="shared" si="100"/>
        <v>0</v>
      </c>
      <c r="X49" s="80" t="e">
        <f t="shared" ref="X49" si="106">TRUNC(IF((V49/U49)&gt;1.2,"120%",(V49/U49)),2)</f>
        <v>#DIV/0!</v>
      </c>
      <c r="Z49" s="44">
        <v>0.15</v>
      </c>
      <c r="AA49" s="11">
        <f t="shared" si="41"/>
        <v>-1</v>
      </c>
      <c r="AC49" s="22"/>
      <c r="AD49" s="23">
        <f>IF(ISERROR(VLOOKUP($B49,[1]Hedef!$A$4:$ES$45409,7,0)),0,VLOOKUP($B49,[1]Hedef!$A$4:$ES$45409,7,0))</f>
        <v>0</v>
      </c>
      <c r="AE49" s="23">
        <f t="shared" si="101"/>
        <v>0</v>
      </c>
      <c r="AF49" s="80" t="e">
        <f t="shared" ref="AF49" si="107">TRUNC(IF((AD49/AC49)&gt;1.2,"120%",(AD49/AC49)),2)</f>
        <v>#DIV/0!</v>
      </c>
      <c r="AH49" s="44">
        <v>0</v>
      </c>
      <c r="AI49" s="11">
        <f t="shared" si="103"/>
        <v>0</v>
      </c>
      <c r="AK49" s="22"/>
      <c r="AL49" s="23">
        <f>IF(ISERROR(VLOOKUP($B49,[1]Hedef!$A$4:$ES$45409,9,0)),0,VLOOKUP($B49,[1]Hedef!$A$4:$ES$45409,9,0))</f>
        <v>0</v>
      </c>
      <c r="AM49" s="23">
        <f t="shared" si="102"/>
        <v>0</v>
      </c>
      <c r="AN49" s="80"/>
      <c r="AP49" s="44">
        <v>0</v>
      </c>
      <c r="AQ49" s="11">
        <f t="shared" si="104"/>
        <v>0</v>
      </c>
      <c r="AS49" s="22">
        <f t="shared" si="93"/>
        <v>0</v>
      </c>
      <c r="AT49" s="23">
        <f t="shared" si="94"/>
        <v>0</v>
      </c>
      <c r="AU49" s="23">
        <f t="shared" si="95"/>
        <v>0</v>
      </c>
      <c r="AV49" s="80" t="e">
        <f t="shared" ref="AV49" si="108">TRUNC(IF((AT49/AS49)&gt;1.2,"120%",(AT49/AS49)),2)</f>
        <v>#DIV/0!</v>
      </c>
      <c r="AX49" s="44">
        <f t="shared" si="97"/>
        <v>0.42500000000000004</v>
      </c>
      <c r="AY49" s="11">
        <f t="shared" si="52"/>
        <v>-1</v>
      </c>
      <c r="AZ49" s="45"/>
      <c r="BA49" s="12">
        <f>AS49-'GENEL HEDEF'!E49</f>
        <v>-0.5</v>
      </c>
      <c r="BB49" s="15">
        <f>AT49-'GENEL HEDEF'!F49</f>
        <v>0</v>
      </c>
      <c r="BC49" s="86">
        <f t="shared" si="14"/>
        <v>0.5</v>
      </c>
    </row>
    <row r="50" spans="2:55" ht="12.75" customHeight="1" x14ac:dyDescent="0.15">
      <c r="B50" s="31">
        <v>71</v>
      </c>
      <c r="C50" s="1" t="s">
        <v>64</v>
      </c>
      <c r="E50" s="22"/>
      <c r="F50" s="23">
        <f>IF(ISERROR(VLOOKUP($B50,[1]Hedef!$A$4:$ES$45409,19,0)),0,VLOOKUP($B50,[1]Hedef!$A$4:$ES$45409,19,0))</f>
        <v>0</v>
      </c>
      <c r="G50" s="23">
        <f t="shared" si="98"/>
        <v>0</v>
      </c>
      <c r="H50" s="80" t="e">
        <f t="shared" si="83"/>
        <v>#DIV/0!</v>
      </c>
      <c r="J50" s="44">
        <v>1.8500000000000003E-2</v>
      </c>
      <c r="K50" s="11">
        <f t="shared" si="35"/>
        <v>-1</v>
      </c>
      <c r="M50" s="22"/>
      <c r="N50" s="23">
        <f>IF(ISERROR(VLOOKUP($B50,[1]Hedef!$A$4:$ES$45409,17,0)),0,VLOOKUP($B50,[1]Hedef!$A$4:$ES$45409,17,0))</f>
        <v>0</v>
      </c>
      <c r="O50" s="23">
        <f t="shared" si="99"/>
        <v>0</v>
      </c>
      <c r="P50" s="80" t="e">
        <f t="shared" si="85"/>
        <v>#DIV/0!</v>
      </c>
      <c r="R50" s="44">
        <v>1.2500000000000001E-2</v>
      </c>
      <c r="S50" s="11">
        <f t="shared" si="38"/>
        <v>-1</v>
      </c>
      <c r="U50" s="22"/>
      <c r="V50" s="23">
        <f>IF(ISERROR(VLOOKUP($B50,[1]Hedef!$A$4:$ES$45409,5,0)),0,VLOOKUP($B50,[1]Hedef!$A$4:$ES$45409,5,0))</f>
        <v>0</v>
      </c>
      <c r="W50" s="23">
        <f t="shared" si="100"/>
        <v>0</v>
      </c>
      <c r="X50" s="80" t="e">
        <f t="shared" si="87"/>
        <v>#DIV/0!</v>
      </c>
      <c r="Z50" s="44">
        <v>8.0000000000000002E-3</v>
      </c>
      <c r="AA50" s="11">
        <f t="shared" si="41"/>
        <v>-1</v>
      </c>
      <c r="AC50" s="22"/>
      <c r="AD50" s="23">
        <f>IF(ISERROR(VLOOKUP($B50,[1]Hedef!$A$4:$ES$45409,7,0)),0,VLOOKUP($B50,[1]Hedef!$A$4:$ES$45409,7,0))</f>
        <v>2.019E-2</v>
      </c>
      <c r="AE50" s="23" t="str">
        <f t="shared" si="101"/>
        <v>-</v>
      </c>
      <c r="AF50" s="80" t="e">
        <f t="shared" si="89"/>
        <v>#DIV/0!</v>
      </c>
      <c r="AH50" s="44">
        <v>1.35E-2</v>
      </c>
      <c r="AI50" s="11">
        <f t="shared" si="103"/>
        <v>0.49555555555555553</v>
      </c>
      <c r="AK50" s="22"/>
      <c r="AL50" s="23">
        <f>IF(ISERROR(VLOOKUP($B50,[1]Hedef!$A$4:$ES$45409,9,0)),0,VLOOKUP($B50,[1]Hedef!$A$4:$ES$45409,9,0))</f>
        <v>0</v>
      </c>
      <c r="AM50" s="23">
        <f t="shared" si="102"/>
        <v>0</v>
      </c>
      <c r="AN50" s="80"/>
      <c r="AP50" s="44">
        <v>0</v>
      </c>
      <c r="AQ50" s="11">
        <f t="shared" si="104"/>
        <v>0</v>
      </c>
      <c r="AS50" s="22">
        <f t="shared" si="93"/>
        <v>0</v>
      </c>
      <c r="AT50" s="23">
        <f t="shared" si="94"/>
        <v>2.019E-2</v>
      </c>
      <c r="AU50" s="23" t="str">
        <f t="shared" si="95"/>
        <v>-</v>
      </c>
      <c r="AV50" s="80" t="e">
        <f t="shared" si="96"/>
        <v>#DIV/0!</v>
      </c>
      <c r="AX50" s="44">
        <f t="shared" si="97"/>
        <v>5.2500000000000005E-2</v>
      </c>
      <c r="AY50" s="11">
        <f t="shared" si="52"/>
        <v>-0.61542857142857144</v>
      </c>
      <c r="AZ50" s="45"/>
      <c r="BA50" s="12">
        <f>AS50-'GENEL HEDEF'!E50</f>
        <v>-0.12</v>
      </c>
      <c r="BB50" s="15">
        <f>AT50-'GENEL HEDEF'!F50</f>
        <v>0</v>
      </c>
      <c r="BC50" s="86">
        <f t="shared" si="14"/>
        <v>0.12</v>
      </c>
    </row>
    <row r="51" spans="2:55" ht="12.75" customHeight="1" x14ac:dyDescent="0.15">
      <c r="B51" s="31">
        <v>111</v>
      </c>
      <c r="C51" s="1" t="s">
        <v>121</v>
      </c>
      <c r="E51" s="22"/>
      <c r="F51" s="23">
        <f>IF(ISERROR(VLOOKUP($B51,[1]Hedef!$A$4:$ES$45409,19,0)),0,VLOOKUP($B51,[1]Hedef!$A$4:$ES$45409,19,0))</f>
        <v>8.9999999999999993E-3</v>
      </c>
      <c r="G51" s="23" t="str">
        <f t="shared" si="98"/>
        <v>-</v>
      </c>
      <c r="H51" s="80" t="e">
        <f t="shared" si="83"/>
        <v>#DIV/0!</v>
      </c>
      <c r="J51" s="44">
        <v>0.14721000000000001</v>
      </c>
      <c r="K51" s="11">
        <f>IF(ISERROR((F51-J51)/J51),0,(F51-J51)/J51)</f>
        <v>-0.93886284899123695</v>
      </c>
      <c r="M51" s="22"/>
      <c r="N51" s="23">
        <f>IF(ISERROR(VLOOKUP($B51,[1]Hedef!$A$4:$ES$45409,17,0)),0,VLOOKUP($B51,[1]Hedef!$A$4:$ES$45409,17,0))</f>
        <v>0</v>
      </c>
      <c r="O51" s="23">
        <f t="shared" si="99"/>
        <v>0</v>
      </c>
      <c r="P51" s="80" t="e">
        <f t="shared" si="85"/>
        <v>#DIV/0!</v>
      </c>
      <c r="R51" s="44">
        <v>1.669E-2</v>
      </c>
      <c r="S51" s="11">
        <f>IF(ISERROR((N51-R51)/R51),0,(N51-R51)/R51)</f>
        <v>-1</v>
      </c>
      <c r="U51" s="22"/>
      <c r="V51" s="23">
        <f>IF(ISERROR(VLOOKUP($B51,[1]Hedef!$A$4:$ES$45409,5,0)),0,VLOOKUP($B51,[1]Hedef!$A$4:$ES$45409,5,0))</f>
        <v>0</v>
      </c>
      <c r="W51" s="23">
        <f t="shared" si="100"/>
        <v>0</v>
      </c>
      <c r="X51" s="80"/>
      <c r="Z51" s="44">
        <v>0</v>
      </c>
      <c r="AA51" s="11">
        <f t="shared" si="41"/>
        <v>0</v>
      </c>
      <c r="AC51" s="22"/>
      <c r="AD51" s="23">
        <f>IF(ISERROR(VLOOKUP($B51,[1]Hedef!$A$4:$ES$45409,7,0)),0,VLOOKUP($B51,[1]Hedef!$A$4:$ES$45409,7,0))</f>
        <v>0</v>
      </c>
      <c r="AE51" s="23">
        <f t="shared" si="101"/>
        <v>0</v>
      </c>
      <c r="AF51" s="80"/>
      <c r="AH51" s="44">
        <v>0</v>
      </c>
      <c r="AI51" s="11">
        <f>IF(ISERROR((AD51-AH51)/AH51),0,(AD51-AH51)/AH51)</f>
        <v>0</v>
      </c>
      <c r="AK51" s="22"/>
      <c r="AL51" s="23">
        <f>IF(ISERROR(VLOOKUP($B51,[1]Hedef!$A$4:$ES$45409,9,0)),0,VLOOKUP($B51,[1]Hedef!$A$4:$ES$45409,9,0))</f>
        <v>0</v>
      </c>
      <c r="AM51" s="23">
        <f t="shared" si="102"/>
        <v>0</v>
      </c>
      <c r="AN51" s="80"/>
      <c r="AP51" s="44">
        <v>0</v>
      </c>
      <c r="AQ51" s="11">
        <f t="shared" si="104"/>
        <v>0</v>
      </c>
      <c r="AS51" s="22">
        <f t="shared" si="93"/>
        <v>0</v>
      </c>
      <c r="AT51" s="23">
        <f t="shared" si="94"/>
        <v>8.9999999999999993E-3</v>
      </c>
      <c r="AU51" s="23" t="str">
        <f>IF((AS51-AT51)&lt;0, "-", (AS51-AT51))</f>
        <v>-</v>
      </c>
      <c r="AV51" s="80" t="e">
        <f t="shared" si="96"/>
        <v>#DIV/0!</v>
      </c>
      <c r="AX51" s="44">
        <f t="shared" si="97"/>
        <v>0.16390000000000002</v>
      </c>
      <c r="AY51" s="11">
        <f t="shared" si="52"/>
        <v>-0.94508846857840145</v>
      </c>
      <c r="AZ51" s="45"/>
      <c r="BA51" s="12">
        <f>AS51-'GENEL HEDEF'!E51</f>
        <v>-0.3</v>
      </c>
      <c r="BB51" s="15">
        <f>AT51-'GENEL HEDEF'!F51</f>
        <v>0</v>
      </c>
      <c r="BC51" s="86">
        <f>BA51*-1</f>
        <v>0.3</v>
      </c>
    </row>
    <row r="52" spans="2:55" ht="12.75" customHeight="1" x14ac:dyDescent="0.15">
      <c r="B52" s="31">
        <v>135</v>
      </c>
      <c r="C52" s="1" t="s">
        <v>120</v>
      </c>
      <c r="E52" s="22"/>
      <c r="F52" s="23">
        <f>IF(ISERROR(VLOOKUP($B52,[1]Hedef!$A$4:$ES$45409,19,0)),0,VLOOKUP($B52,[1]Hedef!$A$4:$ES$45409,19,0))</f>
        <v>1.7476000000000002E-2</v>
      </c>
      <c r="G52" s="23" t="str">
        <f t="shared" si="82"/>
        <v>-</v>
      </c>
      <c r="H52" s="80" t="e">
        <f t="shared" si="83"/>
        <v>#DIV/0!</v>
      </c>
      <c r="J52" s="44">
        <v>0.60474400000000006</v>
      </c>
      <c r="K52" s="11">
        <f t="shared" si="35"/>
        <v>-0.97110182159723779</v>
      </c>
      <c r="M52" s="22"/>
      <c r="N52" s="23">
        <f>IF(ISERROR(VLOOKUP($B52,[1]Hedef!$A$4:$ES$45409,17,0)),0,VLOOKUP($B52,[1]Hedef!$A$4:$ES$45409,17,0))</f>
        <v>0</v>
      </c>
      <c r="O52" s="23">
        <f t="shared" si="84"/>
        <v>0</v>
      </c>
      <c r="P52" s="80" t="e">
        <f t="shared" si="85"/>
        <v>#DIV/0!</v>
      </c>
      <c r="R52" s="44">
        <v>1.8213960000000002</v>
      </c>
      <c r="S52" s="11">
        <f t="shared" si="38"/>
        <v>-1</v>
      </c>
      <c r="U52" s="22"/>
      <c r="V52" s="23">
        <f>IF(ISERROR(VLOOKUP($B52,[1]Hedef!$A$4:$ES$45409,5,0)),0,VLOOKUP($B52,[1]Hedef!$A$4:$ES$45409,5,0))</f>
        <v>0</v>
      </c>
      <c r="W52" s="23">
        <f t="shared" si="86"/>
        <v>0</v>
      </c>
      <c r="X52" s="80" t="e">
        <f t="shared" ref="X52:X56" si="109">TRUNC(IF((V52/U52)&gt;1.2,"120%",(V52/U52)),2)</f>
        <v>#DIV/0!</v>
      </c>
      <c r="Z52" s="44">
        <v>0.13616299999999995</v>
      </c>
      <c r="AA52" s="11">
        <f t="shared" si="41"/>
        <v>-1</v>
      </c>
      <c r="AC52" s="22"/>
      <c r="AD52" s="23">
        <f>IF(ISERROR(VLOOKUP($B52,[1]Hedef!$A$4:$ES$45409,7,0)),0,VLOOKUP($B52,[1]Hedef!$A$4:$ES$45409,7,0))</f>
        <v>0</v>
      </c>
      <c r="AE52" s="23">
        <f t="shared" ref="AE52:AE54" si="110">IF((AC52-AD52)&lt;0, "-", (AC52-AD52))</f>
        <v>0</v>
      </c>
      <c r="AF52" s="80" t="e">
        <f t="shared" ref="AF52:AF56" si="111">TRUNC(IF((AD52/AC52)&gt;1.2,"120%",(AD52/AC52)),2)</f>
        <v>#DIV/0!</v>
      </c>
      <c r="AH52" s="44">
        <v>3.9002000000000002E-2</v>
      </c>
      <c r="AI52" s="11">
        <f t="shared" ref="AI52:AI56" si="112">IF(ISERROR((AD52-AH52)/AH52),0,(AD52-AH52)/AH52)</f>
        <v>-1</v>
      </c>
      <c r="AK52" s="22"/>
      <c r="AL52" s="23">
        <f>IF(ISERROR(VLOOKUP($B52,[1]Hedef!$A$4:$ES$45409,9,0)),0,VLOOKUP($B52,[1]Hedef!$A$4:$ES$45409,9,0))</f>
        <v>0</v>
      </c>
      <c r="AM52" s="23">
        <f t="shared" ref="AM52:AM54" si="113">IF((AK52-AL52)&lt;0, "-", (AK52-AL52))</f>
        <v>0</v>
      </c>
      <c r="AN52" s="80"/>
      <c r="AP52" s="44">
        <v>0</v>
      </c>
      <c r="AQ52" s="11">
        <f t="shared" si="104"/>
        <v>0</v>
      </c>
      <c r="AS52" s="22">
        <f t="shared" si="93"/>
        <v>0</v>
      </c>
      <c r="AT52" s="23">
        <f t="shared" si="94"/>
        <v>1.7476000000000002E-2</v>
      </c>
      <c r="AU52" s="23" t="str">
        <f t="shared" si="95"/>
        <v>-</v>
      </c>
      <c r="AV52" s="80" t="e">
        <f t="shared" si="96"/>
        <v>#DIV/0!</v>
      </c>
      <c r="AX52" s="44">
        <f t="shared" si="97"/>
        <v>2.601305</v>
      </c>
      <c r="AY52" s="11">
        <f t="shared" si="52"/>
        <v>-0.99328183354124189</v>
      </c>
      <c r="AZ52" s="45"/>
      <c r="BA52" s="12">
        <f>AS52-'GENEL HEDEF'!E52</f>
        <v>-2.73</v>
      </c>
      <c r="BB52" s="15">
        <f>AT52-'GENEL HEDEF'!F52</f>
        <v>0</v>
      </c>
      <c r="BC52" s="86">
        <f t="shared" si="14"/>
        <v>2.73</v>
      </c>
    </row>
    <row r="53" spans="2:55" x14ac:dyDescent="0.15">
      <c r="B53" s="31">
        <v>222</v>
      </c>
      <c r="C53" s="1" t="s">
        <v>174</v>
      </c>
      <c r="E53" s="22"/>
      <c r="F53" s="23">
        <f>IF(ISERROR(VLOOKUP($B53,[1]Hedef!$A$4:$ES$45409,19,0)),0,VLOOKUP($B53,[1]Hedef!$A$4:$ES$45409,19,0))</f>
        <v>5.9999999999999995E-4</v>
      </c>
      <c r="G53" s="23" t="str">
        <f t="shared" ref="G53" si="114">IF((E53-F53)&lt;0, "-", (E53-F53))</f>
        <v>-</v>
      </c>
      <c r="H53" s="80" t="e">
        <f t="shared" ref="H53" si="115">TRUNC(IF((F53/E53)&gt;1.2,"120%",(F53/E53)),2)</f>
        <v>#DIV/0!</v>
      </c>
      <c r="J53" s="44"/>
      <c r="K53" s="11">
        <f t="shared" ref="K53" si="116">IF(ISERROR((F53-J53)/J53),0,(F53-J53)/J53)</f>
        <v>0</v>
      </c>
      <c r="M53" s="22"/>
      <c r="N53" s="23">
        <f>IF(ISERROR(VLOOKUP($B53,[1]Hedef!$A$4:$ES$45409,17,0)),0,VLOOKUP($B53,[1]Hedef!$A$4:$ES$45409,17,0))</f>
        <v>0</v>
      </c>
      <c r="O53" s="23">
        <f t="shared" ref="O53" si="117">IF((M53-N53)&lt;0, "-", (M53-N53))</f>
        <v>0</v>
      </c>
      <c r="P53" s="80" t="e">
        <f t="shared" ref="P53" si="118">TRUNC(IF((N53/M53)&gt;1.2,"120%",(N53/M53)),2)</f>
        <v>#DIV/0!</v>
      </c>
      <c r="R53" s="44"/>
      <c r="S53" s="11">
        <f t="shared" ref="S53" si="119">IF(ISERROR((N53-R53)/R53),0,(N53-R53)/R53)</f>
        <v>0</v>
      </c>
      <c r="U53" s="22"/>
      <c r="V53" s="23">
        <f>IF(ISERROR(VLOOKUP($B53,[1]Hedef!$A$4:$ES$45409,5,0)),0,VLOOKUP($B53,[1]Hedef!$A$4:$ES$45409,5,0))</f>
        <v>0</v>
      </c>
      <c r="W53" s="23">
        <f t="shared" ref="W53" si="120">IF((U53-V53)&lt;0, "-", (U53-V53))</f>
        <v>0</v>
      </c>
      <c r="X53" s="80"/>
      <c r="Z53" s="44"/>
      <c r="AA53" s="11">
        <f t="shared" ref="AA53" si="121">IF(ISERROR((V53-Z53)/Z53),0,(V53-Z53)/Z53)</f>
        <v>0</v>
      </c>
      <c r="AC53" s="22"/>
      <c r="AD53" s="23">
        <f>IF(ISERROR(VLOOKUP($B53,[1]Hedef!$A$4:$ES$45409,7,0)),0,VLOOKUP($B53,[1]Hedef!$A$4:$ES$45409,7,0))</f>
        <v>0</v>
      </c>
      <c r="AE53" s="23">
        <f t="shared" ref="AE53" si="122">IF((AC53-AD53)&lt;0, "-", (AC53-AD53))</f>
        <v>0</v>
      </c>
      <c r="AF53" s="80"/>
      <c r="AH53" s="44"/>
      <c r="AI53" s="11">
        <f t="shared" ref="AI53" si="123">IF(ISERROR((AD53-AH53)/AH53),0,(AD53-AH53)/AH53)</f>
        <v>0</v>
      </c>
      <c r="AK53" s="22"/>
      <c r="AL53" s="23">
        <f>IF(ISERROR(VLOOKUP($B53,[1]Hedef!$A$4:$ES$45409,9,0)),0,VLOOKUP($B53,[1]Hedef!$A$4:$ES$45409,9,0))</f>
        <v>0</v>
      </c>
      <c r="AM53" s="23">
        <f t="shared" ref="AM53" si="124">IF((AK53-AL53)&lt;0, "-", (AK53-AL53))</f>
        <v>0</v>
      </c>
      <c r="AN53" s="80"/>
      <c r="AP53" s="44"/>
      <c r="AQ53" s="11">
        <f t="shared" si="104"/>
        <v>0</v>
      </c>
      <c r="AS53" s="22">
        <f t="shared" ref="AS53" si="125">+E53+M53+U53+AC53+AK53</f>
        <v>0</v>
      </c>
      <c r="AT53" s="23">
        <f t="shared" ref="AT53" si="126">+F53+N53+V53+AD53+AL53</f>
        <v>5.9999999999999995E-4</v>
      </c>
      <c r="AU53" s="23" t="str">
        <f t="shared" ref="AU53" si="127">IF((AS53-AT53)&lt;0, "-", (AS53-AT53))</f>
        <v>-</v>
      </c>
      <c r="AV53" s="80" t="e">
        <f t="shared" ref="AV53" si="128">TRUNC(IF((AT53/AS53)&gt;1.2,"120%",(AT53/AS53)),2)</f>
        <v>#DIV/0!</v>
      </c>
      <c r="AX53" s="44">
        <f t="shared" ref="AX53" si="129">+R53+J53+Z53+AH53+AP53</f>
        <v>0</v>
      </c>
      <c r="AY53" s="11">
        <f t="shared" ref="AY53" si="130">IF(ISERROR((AT53-AX53)/AX53),0,(AT53-AX53)/AX53)</f>
        <v>0</v>
      </c>
      <c r="AZ53" s="45"/>
      <c r="BA53" s="12">
        <f>AS53-'GENEL HEDEF'!E53</f>
        <v>-0.25</v>
      </c>
      <c r="BB53" s="15">
        <f>AT53-'GENEL HEDEF'!F53</f>
        <v>0</v>
      </c>
      <c r="BC53" s="86">
        <f t="shared" ref="BC53" si="131">BA53*-1</f>
        <v>0.25</v>
      </c>
    </row>
    <row r="54" spans="2:55" x14ac:dyDescent="0.15">
      <c r="B54" s="31">
        <v>28</v>
      </c>
      <c r="C54" s="1" t="s">
        <v>29</v>
      </c>
      <c r="E54" s="22"/>
      <c r="F54" s="23">
        <f>IF(ISERROR(VLOOKUP($B54,[1]Hedef!$A$4:$ES$45409,19,0)),0,VLOOKUP($B54,[1]Hedef!$A$4:$ES$45409,19,0))</f>
        <v>7.4999999999999997E-2</v>
      </c>
      <c r="G54" s="23" t="str">
        <f t="shared" si="82"/>
        <v>-</v>
      </c>
      <c r="H54" s="80" t="e">
        <f t="shared" si="83"/>
        <v>#DIV/0!</v>
      </c>
      <c r="J54" s="44">
        <v>0.13064000000000001</v>
      </c>
      <c r="K54" s="11">
        <f t="shared" si="35"/>
        <v>-0.4259032455603185</v>
      </c>
      <c r="M54" s="22"/>
      <c r="N54" s="23">
        <f>IF(ISERROR(VLOOKUP($B54,[1]Hedef!$A$4:$ES$45409,17,0)),0,VLOOKUP($B54,[1]Hedef!$A$4:$ES$45409,17,0))</f>
        <v>2.5000000000000001E-2</v>
      </c>
      <c r="O54" s="23" t="str">
        <f t="shared" si="84"/>
        <v>-</v>
      </c>
      <c r="P54" s="80" t="e">
        <f t="shared" si="85"/>
        <v>#DIV/0!</v>
      </c>
      <c r="R54" s="44">
        <v>0</v>
      </c>
      <c r="S54" s="11">
        <f t="shared" si="38"/>
        <v>0</v>
      </c>
      <c r="U54" s="22"/>
      <c r="V54" s="23">
        <f>IF(ISERROR(VLOOKUP($B54,[1]Hedef!$A$4:$ES$45409,5,0)),0,VLOOKUP($B54,[1]Hedef!$A$4:$ES$45409,5,0))</f>
        <v>2</v>
      </c>
      <c r="W54" s="23" t="str">
        <f t="shared" si="86"/>
        <v>-</v>
      </c>
      <c r="X54" s="80" t="e">
        <f t="shared" si="109"/>
        <v>#DIV/0!</v>
      </c>
      <c r="Z54" s="44">
        <v>0.5</v>
      </c>
      <c r="AA54" s="11">
        <f t="shared" si="41"/>
        <v>3</v>
      </c>
      <c r="AC54" s="22"/>
      <c r="AD54" s="23">
        <f>IF(ISERROR(VLOOKUP($B54,[1]Hedef!$A$4:$ES$45409,7,0)),0,VLOOKUP($B54,[1]Hedef!$A$4:$ES$45409,7,0))</f>
        <v>0</v>
      </c>
      <c r="AE54" s="23">
        <f t="shared" si="110"/>
        <v>0</v>
      </c>
      <c r="AF54" s="80" t="e">
        <f t="shared" si="111"/>
        <v>#DIV/0!</v>
      </c>
      <c r="AH54" s="44">
        <v>0</v>
      </c>
      <c r="AI54" s="11">
        <f t="shared" si="112"/>
        <v>0</v>
      </c>
      <c r="AK54" s="22"/>
      <c r="AL54" s="23">
        <f>IF(ISERROR(VLOOKUP($B54,[1]Hedef!$A$4:$ES$45409,9,0)),0,VLOOKUP($B54,[1]Hedef!$A$4:$ES$45409,9,0))</f>
        <v>0</v>
      </c>
      <c r="AM54" s="23">
        <f t="shared" si="113"/>
        <v>0</v>
      </c>
      <c r="AN54" s="80"/>
      <c r="AP54" s="44">
        <v>0</v>
      </c>
      <c r="AQ54" s="11">
        <f t="shared" ref="AQ54:AQ56" si="132">IF(ISERROR((AL54-AP54)/AP54),0,(AL54-AP54)/AP54)</f>
        <v>0</v>
      </c>
      <c r="AS54" s="22">
        <f t="shared" si="93"/>
        <v>0</v>
      </c>
      <c r="AT54" s="23">
        <f t="shared" si="94"/>
        <v>2.1</v>
      </c>
      <c r="AU54" s="23" t="str">
        <f t="shared" si="95"/>
        <v>-</v>
      </c>
      <c r="AV54" s="80" t="e">
        <f t="shared" si="96"/>
        <v>#DIV/0!</v>
      </c>
      <c r="AX54" s="44">
        <f t="shared" si="97"/>
        <v>0.63063999999999998</v>
      </c>
      <c r="AY54" s="11">
        <f t="shared" si="52"/>
        <v>2.3299505264493212</v>
      </c>
      <c r="AZ54" s="45"/>
      <c r="BA54" s="12">
        <f>AS54-'GENEL HEDEF'!E54</f>
        <v>-1.3</v>
      </c>
      <c r="BB54" s="15">
        <f>AT54-'GENEL HEDEF'!F54</f>
        <v>0</v>
      </c>
      <c r="BC54" s="86">
        <f t="shared" si="14"/>
        <v>1.3</v>
      </c>
    </row>
    <row r="55" spans="2:55" x14ac:dyDescent="0.15">
      <c r="B55" s="18">
        <v>32</v>
      </c>
      <c r="C55" s="1" t="s">
        <v>30</v>
      </c>
      <c r="E55" s="22"/>
      <c r="F55" s="23">
        <f>IF(ISERROR(VLOOKUP($B55,[1]Hedef!$A$4:$ES$45409,19,0)),0,VLOOKUP($B55,[1]Hedef!$A$4:$ES$45409,19,0))</f>
        <v>1.7100000000000001E-2</v>
      </c>
      <c r="G55" s="23" t="str">
        <f t="shared" si="82"/>
        <v>-</v>
      </c>
      <c r="H55" s="80" t="e">
        <f t="shared" si="83"/>
        <v>#DIV/0!</v>
      </c>
      <c r="J55" s="44">
        <v>1.5237000000000001</v>
      </c>
      <c r="K55" s="11">
        <f t="shared" si="35"/>
        <v>-0.98877731836975791</v>
      </c>
      <c r="M55" s="22"/>
      <c r="N55" s="23">
        <f>IF(ISERROR(VLOOKUP($B55,[1]Hedef!$A$4:$ES$45409,17,0)),0,VLOOKUP($B55,[1]Hedef!$A$4:$ES$45409,17,0))</f>
        <v>0.03</v>
      </c>
      <c r="O55" s="23" t="str">
        <f t="shared" si="84"/>
        <v>-</v>
      </c>
      <c r="P55" s="80" t="e">
        <f t="shared" si="85"/>
        <v>#DIV/0!</v>
      </c>
      <c r="R55" s="44">
        <v>0.75</v>
      </c>
      <c r="S55" s="11">
        <f t="shared" si="38"/>
        <v>-0.96</v>
      </c>
      <c r="U55" s="22"/>
      <c r="V55" s="23">
        <f>IF(ISERROR(VLOOKUP($B55,[1]Hedef!$A$4:$ES$45409,5,0)),0,VLOOKUP($B55,[1]Hedef!$A$4:$ES$45409,5,0))</f>
        <v>5.9250000000000004E-2</v>
      </c>
      <c r="W55" s="23" t="str">
        <f t="shared" si="86"/>
        <v>-</v>
      </c>
      <c r="X55" s="80" t="e">
        <f t="shared" si="109"/>
        <v>#DIV/0!</v>
      </c>
      <c r="Z55" s="44">
        <v>1.25</v>
      </c>
      <c r="AA55" s="11">
        <f t="shared" si="41"/>
        <v>-0.9526</v>
      </c>
      <c r="AC55" s="22"/>
      <c r="AD55" s="23">
        <f>IF(ISERROR(VLOOKUP($B55,[1]Hedef!$A$4:$ES$45409,7,0)),0,VLOOKUP($B55,[1]Hedef!$A$4:$ES$45409,7,0))</f>
        <v>0.01</v>
      </c>
      <c r="AE55" s="23" t="str">
        <f t="shared" ref="AE55:AE56" si="133">IF((AC55-AD55)&lt;0, "-", (AC55-AD55))</f>
        <v>-</v>
      </c>
      <c r="AF55" s="80" t="e">
        <f t="shared" si="111"/>
        <v>#DIV/0!</v>
      </c>
      <c r="AH55" s="44">
        <v>0.57639999999999991</v>
      </c>
      <c r="AI55" s="11">
        <f t="shared" si="112"/>
        <v>-0.98265093684941007</v>
      </c>
      <c r="AK55" s="22"/>
      <c r="AL55" s="23">
        <f>IF(ISERROR(VLOOKUP($B55,[1]Hedef!$A$4:$ES$45409,9,0)),0,VLOOKUP($B55,[1]Hedef!$A$4:$ES$45409,9,0))</f>
        <v>0</v>
      </c>
      <c r="AM55" s="23">
        <f t="shared" ref="AM55:AM56" si="134">IF((AK55-AL55)&lt;0, "-", (AK55-AL55))</f>
        <v>0</v>
      </c>
      <c r="AN55" s="80"/>
      <c r="AP55" s="44">
        <v>0</v>
      </c>
      <c r="AQ55" s="11">
        <f t="shared" si="132"/>
        <v>0</v>
      </c>
      <c r="AS55" s="22">
        <f t="shared" si="93"/>
        <v>0</v>
      </c>
      <c r="AT55" s="23">
        <f t="shared" si="94"/>
        <v>0.11635</v>
      </c>
      <c r="AU55" s="23" t="str">
        <f t="shared" si="95"/>
        <v>-</v>
      </c>
      <c r="AV55" s="80" t="e">
        <f t="shared" si="96"/>
        <v>#DIV/0!</v>
      </c>
      <c r="AX55" s="44">
        <f t="shared" si="97"/>
        <v>4.1000999999999994</v>
      </c>
      <c r="AY55" s="11">
        <f t="shared" si="52"/>
        <v>-0.97162264335016213</v>
      </c>
      <c r="AZ55" s="45"/>
      <c r="BA55" s="12">
        <f>AS55-'GENEL HEDEF'!E55</f>
        <v>-3.95</v>
      </c>
      <c r="BB55" s="15">
        <f>AT55-'GENEL HEDEF'!F55</f>
        <v>0</v>
      </c>
      <c r="BC55" s="86">
        <f t="shared" si="14"/>
        <v>3.95</v>
      </c>
    </row>
    <row r="56" spans="2:55" ht="13" thickBot="1" x14ac:dyDescent="0.2">
      <c r="B56" s="18">
        <v>42</v>
      </c>
      <c r="C56" s="1" t="s">
        <v>31</v>
      </c>
      <c r="E56" s="22"/>
      <c r="F56" s="23">
        <f>IF(ISERROR(VLOOKUP($B56,[1]Hedef!$A$4:$ES$45409,19,0)),0,VLOOKUP($B56,[1]Hedef!$A$4:$ES$45409,19,0))</f>
        <v>5</v>
      </c>
      <c r="G56" s="23" t="str">
        <f t="shared" si="82"/>
        <v>-</v>
      </c>
      <c r="H56" s="80" t="e">
        <f t="shared" si="83"/>
        <v>#DIV/0!</v>
      </c>
      <c r="J56" s="44">
        <v>19</v>
      </c>
      <c r="K56" s="11">
        <f t="shared" si="35"/>
        <v>-0.73684210526315785</v>
      </c>
      <c r="M56" s="22"/>
      <c r="N56" s="23">
        <f>IF(ISERROR(VLOOKUP($B56,[1]Hedef!$A$4:$ES$45409,17,0)),0,VLOOKUP($B56,[1]Hedef!$A$4:$ES$45409,17,0))</f>
        <v>0</v>
      </c>
      <c r="O56" s="23">
        <f t="shared" si="84"/>
        <v>0</v>
      </c>
      <c r="P56" s="80" t="e">
        <f t="shared" si="85"/>
        <v>#DIV/0!</v>
      </c>
      <c r="R56" s="44">
        <v>20</v>
      </c>
      <c r="S56" s="11">
        <f t="shared" si="38"/>
        <v>-1</v>
      </c>
      <c r="U56" s="22"/>
      <c r="V56" s="23">
        <f>IF(ISERROR(VLOOKUP($B56,[1]Hedef!$A$4:$ES$45409,5,0)),0,VLOOKUP($B56,[1]Hedef!$A$4:$ES$45409,5,0))</f>
        <v>0</v>
      </c>
      <c r="W56" s="23">
        <f t="shared" si="86"/>
        <v>0</v>
      </c>
      <c r="X56" s="80" t="e">
        <f t="shared" si="109"/>
        <v>#DIV/0!</v>
      </c>
      <c r="Z56" s="44">
        <v>2</v>
      </c>
      <c r="AA56" s="11">
        <f t="shared" si="41"/>
        <v>-1</v>
      </c>
      <c r="AC56" s="22"/>
      <c r="AD56" s="23">
        <f>IF(ISERROR(VLOOKUP($B56,[1]Hedef!$A$4:$ES$45409,7,0)),0,VLOOKUP($B56,[1]Hedef!$A$4:$ES$45409,7,0))</f>
        <v>0</v>
      </c>
      <c r="AE56" s="23">
        <f t="shared" si="133"/>
        <v>0</v>
      </c>
      <c r="AF56" s="80" t="e">
        <f t="shared" si="111"/>
        <v>#DIV/0!</v>
      </c>
      <c r="AH56" s="44">
        <v>14</v>
      </c>
      <c r="AI56" s="11">
        <f t="shared" si="112"/>
        <v>-1</v>
      </c>
      <c r="AK56" s="22"/>
      <c r="AL56" s="23">
        <f>IF(ISERROR(VLOOKUP($B56,[1]Hedef!$A$4:$ES$45409,9,0)),0,VLOOKUP($B56,[1]Hedef!$A$4:$ES$45409,9,0))</f>
        <v>0</v>
      </c>
      <c r="AM56" s="23">
        <f t="shared" si="134"/>
        <v>0</v>
      </c>
      <c r="AN56" s="80"/>
      <c r="AP56" s="44">
        <v>0</v>
      </c>
      <c r="AQ56" s="11">
        <f t="shared" si="132"/>
        <v>0</v>
      </c>
      <c r="AS56" s="22">
        <f t="shared" si="93"/>
        <v>0</v>
      </c>
      <c r="AT56" s="23">
        <f t="shared" si="94"/>
        <v>5</v>
      </c>
      <c r="AU56" s="23" t="str">
        <f t="shared" si="95"/>
        <v>-</v>
      </c>
      <c r="AV56" s="80" t="e">
        <f t="shared" si="96"/>
        <v>#DIV/0!</v>
      </c>
      <c r="AX56" s="44">
        <f t="shared" si="97"/>
        <v>55</v>
      </c>
      <c r="AY56" s="11">
        <f t="shared" si="52"/>
        <v>-0.90909090909090906</v>
      </c>
      <c r="AZ56" s="45"/>
      <c r="BA56" s="12">
        <f>AS56-'GENEL HEDEF'!E56</f>
        <v>-64</v>
      </c>
      <c r="BB56" s="15">
        <f>AT56-'GENEL HEDEF'!F56</f>
        <v>0</v>
      </c>
      <c r="BC56" s="86">
        <f t="shared" si="14"/>
        <v>64</v>
      </c>
    </row>
    <row r="57" spans="2:55" ht="14" thickTop="1" thickBot="1" x14ac:dyDescent="0.2">
      <c r="B57" s="18"/>
      <c r="C57" s="2" t="s">
        <v>32</v>
      </c>
      <c r="E57" s="67">
        <f>SUM(E46:E56)</f>
        <v>0</v>
      </c>
      <c r="F57" s="67">
        <f>SUM(F46:F56)</f>
        <v>5.1351760000000004</v>
      </c>
      <c r="G57" s="67">
        <f>SUM(G46:G56)</f>
        <v>0</v>
      </c>
      <c r="H57" s="39" t="e">
        <f>TRUNC(IF((F57/E57)&gt;1.2,"120%",(F57/E57)),2)</f>
        <v>#DIV/0!</v>
      </c>
      <c r="I57" s="109"/>
      <c r="J57" s="67"/>
      <c r="K57" s="48"/>
      <c r="L57" s="109"/>
      <c r="M57" s="67">
        <f>SUM(M46:M56)</f>
        <v>0</v>
      </c>
      <c r="N57" s="67">
        <f>SUM(N46:N56)</f>
        <v>5.5E-2</v>
      </c>
      <c r="O57" s="67">
        <f>SUM(O46:O56)</f>
        <v>0</v>
      </c>
      <c r="P57" s="39" t="e">
        <f>TRUNC(IF((N57/M57)&gt;1.2,"120%",(N57/M57)),2)</f>
        <v>#DIV/0!</v>
      </c>
      <c r="Q57" s="109"/>
      <c r="R57" s="67"/>
      <c r="S57" s="48"/>
      <c r="T57" s="109"/>
      <c r="U57" s="67">
        <f>SUM(U46:U56)</f>
        <v>0</v>
      </c>
      <c r="V57" s="67">
        <f>SUM(V46:V56)</f>
        <v>2.05925</v>
      </c>
      <c r="W57" s="67">
        <f>SUM(W46:W56)</f>
        <v>0</v>
      </c>
      <c r="X57" s="39" t="e">
        <f>TRUNC(IF((V57/U57)&gt;1.2,"120%",(V57/U57)),2)</f>
        <v>#DIV/0!</v>
      </c>
      <c r="Y57" s="78"/>
      <c r="Z57" s="67"/>
      <c r="AA57" s="48"/>
      <c r="AB57" s="109"/>
      <c r="AC57" s="67">
        <f>SUM(AC46:AC56)</f>
        <v>0</v>
      </c>
      <c r="AD57" s="67">
        <f>SUM(AD46:AD56)</f>
        <v>0.29538999999999999</v>
      </c>
      <c r="AE57" s="67">
        <f>SUM(AE46:AE56)</f>
        <v>0</v>
      </c>
      <c r="AF57" s="39" t="e">
        <f>TRUNC(IF((AD57/AC57)&gt;1.2,"120%",(AD57/AC57)),2)</f>
        <v>#DIV/0!</v>
      </c>
      <c r="AG57" s="109"/>
      <c r="AH57" s="67"/>
      <c r="AI57" s="48"/>
      <c r="AJ57" s="109"/>
      <c r="AK57" s="67">
        <f>SUM(AK46:AK56)</f>
        <v>0</v>
      </c>
      <c r="AL57" s="67">
        <f>SUM(AL46:AL56)</f>
        <v>0.20699999999999999</v>
      </c>
      <c r="AM57" s="67">
        <f>SUM(AM46:AM56)</f>
        <v>0</v>
      </c>
      <c r="AN57" s="39" t="e">
        <f>TRUNC(IF((AL57/AK57)&gt;1.2,"120%",(AL57/AK57)),2)</f>
        <v>#DIV/0!</v>
      </c>
      <c r="AO57" s="78"/>
      <c r="AP57" s="67"/>
      <c r="AQ57" s="48"/>
      <c r="AR57" s="109"/>
      <c r="AS57" s="67">
        <f>SUM(AS46:AS56)</f>
        <v>0</v>
      </c>
      <c r="AT57" s="67">
        <f>SUM(AT46:AT56)</f>
        <v>7.7518159999999998</v>
      </c>
      <c r="AU57" s="67">
        <f>SUM(AU46:AU56)</f>
        <v>0</v>
      </c>
      <c r="AV57" s="39" t="e">
        <f>TRUNC(IF((AT57/AS57)&gt;1.2,"120%",(AT57/AS57)),2)</f>
        <v>#DIV/0!</v>
      </c>
      <c r="AX57" s="67"/>
      <c r="AY57" s="48"/>
      <c r="BA57" s="8"/>
      <c r="BB57" s="9"/>
      <c r="BC57" s="86">
        <f t="shared" si="14"/>
        <v>0</v>
      </c>
    </row>
    <row r="58" spans="2:55" ht="13" thickTop="1" x14ac:dyDescent="0.15"/>
    <row r="59" spans="2:55" x14ac:dyDescent="0.15">
      <c r="H59" s="37" t="e">
        <f>TRUNC((H56+H55+H46+H44+H41+H40+H38+H37+H36+H35+H34+H33+H32+H31+H11+H29+H28+H27+H26+H25+H23+H22+H19+H18+H16+H15+H14+H12+H10+H9+H8+H7+H6+H5+H48+H24+H52+H42+H54+H43+H50+H47+H51+H49+H53)/45,2)</f>
        <v>#DIV/0!</v>
      </c>
      <c r="J59" s="69" t="s">
        <v>41</v>
      </c>
      <c r="K59" s="52">
        <f>COUNTIF(K5:K56,"&gt;10%")</f>
        <v>0</v>
      </c>
      <c r="P59" s="37" t="e">
        <f>TRUNC((P56+P55+P46+P44+P41+P40+P38+P37+P36+P35+P34+P33+P32+P31+P11+P29+P28+P27+P26+P25+P23+P22+P19+P18+P16+P15+P14+P12+P10+P9+P8+P7+P6+P5+P48+P24+P52+P42+P54+P43+P50+P47+P51+P49+P53)/45,2)</f>
        <v>#DIV/0!</v>
      </c>
      <c r="R59" s="69" t="s">
        <v>41</v>
      </c>
      <c r="S59" s="52">
        <f>COUNTIF(S5:S56,"&gt;10%")</f>
        <v>3</v>
      </c>
      <c r="U59" s="13" t="s">
        <v>159</v>
      </c>
      <c r="X59" s="37" t="e">
        <f>TRUNC((X56+X55+X46+X44+X41+X40+X38+X37+X36+X35+X34+X33+X32+X31+X11+X29+X28+X27+X26+X25+X23+X22+X20+X17+X16+X15+X14+X12+X10+X9+X8+X7+X6+X5+X48+X24+X52+X42+X54+X43+X50+X47+X51+X49+X53)/38,2)</f>
        <v>#DIV/0!</v>
      </c>
      <c r="Z59" s="69" t="s">
        <v>41</v>
      </c>
      <c r="AA59" s="52">
        <f>COUNTIF(AA5:AA56,"&gt;10%")</f>
        <v>2</v>
      </c>
      <c r="AF59" s="37" t="e">
        <f>TRUNC((AF56+AF55+AF46+AF44+AF41+AF40+AF38+AF37+AF36+AF35+AF34+AF33+AF32+AF31+AF11+AF29+AF28+AF27+AF26+AF25+AF23+AF22+AF20+AF17+AF16+AF15+AF14+AF12+AF10+AF9+AF8+AF7+AF6+AF5+AF48+AF24+AF52+AF42+AF54+AF43+AF50+AF47+AF51+AF49+AF53)/38,2)</f>
        <v>#DIV/0!</v>
      </c>
      <c r="AH59" s="69" t="s">
        <v>41</v>
      </c>
      <c r="AI59" s="52">
        <f>COUNTIF(AI5:AI56,"&gt;10%")</f>
        <v>2</v>
      </c>
      <c r="AN59" s="37" t="e">
        <f>TRUNC((AN56+AN55+AN46+AN44+AN41+AN40+AN38+AN37+AN36+AN35+AN34+AN33+AN32+AN31+AN11+AN29+AN28+AN27+AN26+AN25+AN23+AN22+AN19+AN18+AN16+AN15+AN14+AN12+AN10+AN9+AN8+AN7+AN6+AN5+AN48+AN24+AN52+AN42+AN54+AN43+AN50+AN47+AN51+AN49)/7,2)</f>
        <v>#DIV/0!</v>
      </c>
      <c r="AP59" s="69" t="s">
        <v>41</v>
      </c>
      <c r="AQ59" s="52">
        <f>COUNTIF(AQ5:AQ56,"&gt;10%")</f>
        <v>0</v>
      </c>
      <c r="AV59" s="37" t="e">
        <f>TRUNC((AV56+AV55+AV46+AV44+AV41+AV40+AV38+AV37+AV36+AV35+AV34+AV33+AV32+AV31+AV11+AV29+AV28+AV27+AV26+AV25+AV23+AV22+AV19+AV18+AV16+AV15+AV14+AV12+AV10+AV9+AV8+AV7+AV6+AV5+AV48+AV24+AV52+AV42+AV54+AV43+AV50+AV47+AV51+AV49+AV53)/45,2)</f>
        <v>#DIV/0!</v>
      </c>
      <c r="AX59" s="69" t="s">
        <v>41</v>
      </c>
      <c r="AY59" s="52">
        <f>COUNTIF(AY5:AY56,"&gt;10%")</f>
        <v>3</v>
      </c>
    </row>
    <row r="60" spans="2:55" x14ac:dyDescent="0.15">
      <c r="J60" s="54"/>
      <c r="K60" s="53"/>
      <c r="R60" s="54"/>
      <c r="S60" s="53"/>
      <c r="Z60" s="54"/>
      <c r="AA60" s="53"/>
      <c r="AH60" s="54"/>
      <c r="AI60" s="53"/>
      <c r="AP60" s="54"/>
      <c r="AQ60" s="53"/>
      <c r="AY60" s="53"/>
    </row>
    <row r="61" spans="2:55" ht="13" thickBot="1" x14ac:dyDescent="0.2">
      <c r="B61" s="18"/>
    </row>
    <row r="62" spans="2:55" s="78" customFormat="1" ht="14" thickTop="1" thickBot="1" x14ac:dyDescent="0.2">
      <c r="B62" s="117" t="s">
        <v>40</v>
      </c>
      <c r="C62" s="2" t="s">
        <v>39</v>
      </c>
      <c r="E62" s="41"/>
      <c r="F62" s="41">
        <f>IF(ISERROR(VLOOKUP($B62,[1]Hedef!$A$4:$ES$45409,20,0)),0,VLOOKUP($B62,[1]Hedef!$A$4:$ES$45409,20,0))</f>
        <v>34569.18</v>
      </c>
      <c r="G62" s="41" t="str">
        <f>IF((E62-F62)&lt;0, "-", (E62-F62))</f>
        <v>-</v>
      </c>
      <c r="H62" s="39" t="e">
        <f>IF((F62/E62)&gt;1,"100.0%",(F62/E62))</f>
        <v>#DIV/0!</v>
      </c>
      <c r="J62" s="79"/>
      <c r="M62" s="41"/>
      <c r="N62" s="41">
        <f>IF(ISERROR(VLOOKUP($B62,[1]Hedef!$A$4:$ES$45409,18,0)),0,VLOOKUP($B62,[1]Hedef!$A$4:$ES$45409,18,0))</f>
        <v>36178.03</v>
      </c>
      <c r="O62" s="41" t="str">
        <f>IF((M62-N62)&lt;0, "-", (M62-N62))</f>
        <v>-</v>
      </c>
      <c r="P62" s="39" t="e">
        <f>IF((N62/M62)&gt;1,"100.0%",(N62/M62))</f>
        <v>#DIV/0!</v>
      </c>
      <c r="R62" s="79"/>
      <c r="U62" s="36"/>
      <c r="V62" s="41">
        <f>IF(ISERROR(VLOOKUP($B62,[1]Hedef!$A$4:$ES$45409,6,0)),0,VLOOKUP($B62,[1]Hedef!$A$4:$ES$45409,6,0))</f>
        <v>25976.9</v>
      </c>
      <c r="W62" s="36" t="str">
        <f>IF((U62-V62)&lt;0, "-", (U62-V62))</f>
        <v>-</v>
      </c>
      <c r="X62" s="34" t="e">
        <f>IF((V62/U62)&gt;1,"100.0%",(V62/U62))</f>
        <v>#DIV/0!</v>
      </c>
      <c r="Y62" s="4"/>
      <c r="Z62" s="13"/>
      <c r="AA62" s="4"/>
      <c r="AC62" s="41"/>
      <c r="AD62" s="41">
        <f>IF(ISERROR(VLOOKUP($B62,[1]Hedef!$A$4:$ES$45409,8,0)),0,VLOOKUP($B62,[1]Hedef!$A$4:$ES$45409,8,0))</f>
        <v>25607.19</v>
      </c>
      <c r="AE62" s="41" t="str">
        <f>IF((AC62-AD62)&lt;0, "-", (AC62-AD62))</f>
        <v>-</v>
      </c>
      <c r="AF62" s="39" t="e">
        <f>IF((AD62/AC62)&gt;1,"100.0%",(AD62/AC62))</f>
        <v>#DIV/0!</v>
      </c>
      <c r="AH62" s="79"/>
      <c r="AK62" s="36"/>
      <c r="AL62" s="41">
        <f>IF(ISERROR(VLOOKUP($B62,[1]Hedef!$A$4:$ES$45409,10,0)),0,VLOOKUP($B62,[1]Hedef!$A$4:$ES$45409,10,0))</f>
        <v>5973.3</v>
      </c>
      <c r="AM62" s="36" t="str">
        <f>IF((AK62-AL62)&lt;0, "-", (AK62-AL62))</f>
        <v>-</v>
      </c>
      <c r="AN62" s="34" t="e">
        <f>IF((AL62/AK62)&gt;1,"100.0%",(AL62/AK62))</f>
        <v>#DIV/0!</v>
      </c>
      <c r="AO62" s="4"/>
      <c r="AP62" s="13"/>
      <c r="AQ62" s="4"/>
      <c r="AS62" s="41">
        <f>+E62+M62+U62+AC62+AK62</f>
        <v>0</v>
      </c>
      <c r="AT62" s="41">
        <f>+F62+N62+V62+AD62+AL62</f>
        <v>128304.59999999999</v>
      </c>
      <c r="AU62" s="41" t="str">
        <f>IF((AS62-AT62)&lt;0, "-", (AS62-AT62))</f>
        <v>-</v>
      </c>
      <c r="AV62" s="39" t="e">
        <f>IF((AT62/AS62)&gt;1,"100.0%",(AT62/AS62))</f>
        <v>#DIV/0!</v>
      </c>
      <c r="AX62" s="107"/>
      <c r="BA62" s="79"/>
      <c r="BC62" s="118"/>
    </row>
    <row r="63" spans="2:55" s="78" customFormat="1" ht="14" thickTop="1" thickBot="1" x14ac:dyDescent="0.2">
      <c r="B63" s="118"/>
      <c r="E63" s="79"/>
      <c r="J63" s="79"/>
      <c r="M63" s="79"/>
      <c r="R63" s="79"/>
      <c r="U63" s="13"/>
      <c r="W63" s="4"/>
      <c r="X63" s="4"/>
      <c r="Y63" s="4"/>
      <c r="Z63" s="13"/>
      <c r="AA63" s="4"/>
      <c r="AC63" s="79"/>
      <c r="AH63" s="79"/>
      <c r="AK63" s="13"/>
      <c r="AM63" s="4"/>
      <c r="AN63" s="4"/>
      <c r="AO63" s="4"/>
      <c r="AP63" s="13"/>
      <c r="AQ63" s="4"/>
      <c r="AS63" s="79"/>
      <c r="AX63" s="107"/>
      <c r="BA63" s="79"/>
      <c r="BC63" s="118"/>
    </row>
    <row r="64" spans="2:55" s="78" customFormat="1" ht="14" thickTop="1" thickBot="1" x14ac:dyDescent="0.2">
      <c r="B64" s="55" t="s">
        <v>42</v>
      </c>
      <c r="C64" s="2" t="s">
        <v>43</v>
      </c>
      <c r="E64" s="79"/>
      <c r="F64" s="41">
        <f>IF(ISERROR(VLOOKUP($B64,[1]Hedef!$A$4:$ES$45409,20,0)),0,VLOOKUP($B64,[1]Hedef!$A$4:$ES$45409,20,0))</f>
        <v>0</v>
      </c>
      <c r="G64" s="56">
        <f>F64/F62</f>
        <v>0</v>
      </c>
      <c r="H64" s="107"/>
      <c r="J64" s="79"/>
      <c r="M64" s="79"/>
      <c r="N64" s="41">
        <f>IF(ISERROR(VLOOKUP($B64,[1]Hedef!$A$4:$ES$45409,18,0)),0,VLOOKUP($B64,[1]Hedef!$A$4:$ES$45409,18,0))</f>
        <v>0</v>
      </c>
      <c r="O64" s="56">
        <f>N64/N62</f>
        <v>0</v>
      </c>
      <c r="P64" s="107"/>
      <c r="R64" s="79"/>
      <c r="U64" s="13"/>
      <c r="V64" s="41">
        <f>IF(ISERROR(VLOOKUP($B64,[1]Hedef!$A$4:$ES$45409,6,0)),0,VLOOKUP($B64,[1]Hedef!$A$4:$ES$45409,6,0))</f>
        <v>0</v>
      </c>
      <c r="W64" s="56">
        <f>V64/V62</f>
        <v>0</v>
      </c>
      <c r="X64" s="25"/>
      <c r="Y64" s="4"/>
      <c r="Z64" s="13"/>
      <c r="AA64" s="4"/>
      <c r="AC64" s="79"/>
      <c r="AD64" s="41">
        <f>IF(ISERROR(VLOOKUP($B64,[1]Hedef!$A$4:$ES$45409,8,0)),0,VLOOKUP($B64,[1]Hedef!$A$4:$ES$45409,8,0))</f>
        <v>0</v>
      </c>
      <c r="AE64" s="56">
        <f>AD64/AD62</f>
        <v>0</v>
      </c>
      <c r="AF64" s="107"/>
      <c r="AH64" s="79"/>
      <c r="AK64" s="13"/>
      <c r="AL64" s="41">
        <f>IF(ISERROR(VLOOKUP($B64,[1]Hedef!$A$4:$ES$45409,10,0)),0,VLOOKUP($B64,[1]Hedef!$A$4:$ES$45409,10,0))</f>
        <v>0</v>
      </c>
      <c r="AM64" s="56">
        <f>AL64/AL62</f>
        <v>0</v>
      </c>
      <c r="AN64" s="25"/>
      <c r="AO64" s="4"/>
      <c r="AP64" s="13"/>
      <c r="AQ64" s="4"/>
      <c r="AS64" s="79"/>
      <c r="AT64" s="41">
        <f>+F64+N64+V64+AD64+AL64</f>
        <v>0</v>
      </c>
      <c r="AU64" s="56">
        <f>AT64/AT62</f>
        <v>0</v>
      </c>
      <c r="AV64" s="107"/>
      <c r="AX64" s="107"/>
      <c r="BA64" s="79"/>
      <c r="BC64" s="118"/>
    </row>
    <row r="65" spans="3:3" ht="13" thickTop="1" x14ac:dyDescent="0.15"/>
    <row r="68" spans="3:3" x14ac:dyDescent="0.15">
      <c r="C68" s="150"/>
    </row>
    <row r="69" spans="3:3" x14ac:dyDescent="0.15">
      <c r="C69" s="150"/>
    </row>
    <row r="70" spans="3:3" x14ac:dyDescent="0.15">
      <c r="C70" s="150"/>
    </row>
  </sheetData>
  <autoFilter ref="A4:BC57" xr:uid="{00000000-0009-0000-0000-000001000000}">
    <filterColumn colId="52" showButton="0"/>
  </autoFilter>
  <mergeCells count="8">
    <mergeCell ref="AS2:AV3"/>
    <mergeCell ref="BA4:BB4"/>
    <mergeCell ref="C2:C4"/>
    <mergeCell ref="E2:H3"/>
    <mergeCell ref="M2:P3"/>
    <mergeCell ref="U2:X3"/>
    <mergeCell ref="AC2:AF3"/>
    <mergeCell ref="AK2:AN3"/>
  </mergeCells>
  <conditionalFormatting sqref="H5:H12 P5:P12 X5:X12 AV5:AV12 H14:H16 P14:P16 X14:X16 AV14:AV16 H18:H19 P18:P19 X18:X19 AV18:AV19 H22:H29 P22:P29 X22:X29 AF22:AF29 AV22:AV29 H31:H38 P31:P38 X31:X38 AV31:AV38 H40:H44 P40:P44 X40:X44 AV40:AV44 P46:P56">
    <cfRule type="cellIs" dxfId="213" priority="43" operator="greaterThanOrEqual">
      <formula>1.2</formula>
    </cfRule>
    <cfRule type="cellIs" dxfId="212" priority="44" operator="greaterThanOrEqual">
      <formula>120</formula>
    </cfRule>
  </conditionalFormatting>
  <conditionalFormatting sqref="H46:H56">
    <cfRule type="cellIs" dxfId="211" priority="17" operator="greaterThanOrEqual">
      <formula>1.2</formula>
    </cfRule>
    <cfRule type="cellIs" dxfId="210" priority="18" operator="greaterThanOrEqual">
      <formula>120</formula>
    </cfRule>
  </conditionalFormatting>
  <conditionalFormatting sqref="X46:X56">
    <cfRule type="cellIs" dxfId="209" priority="13" operator="greaterThanOrEqual">
      <formula>1.2</formula>
    </cfRule>
    <cfRule type="cellIs" dxfId="208" priority="14" operator="greaterThanOrEqual">
      <formula>120</formula>
    </cfRule>
  </conditionalFormatting>
  <conditionalFormatting sqref="AF5:AF12 AF31:AF38 AF40:AF44">
    <cfRule type="cellIs" dxfId="207" priority="29" operator="greaterThanOrEqual">
      <formula>1.2</formula>
    </cfRule>
    <cfRule type="cellIs" dxfId="206" priority="30" operator="greaterThanOrEqual">
      <formula>120</formula>
    </cfRule>
  </conditionalFormatting>
  <conditionalFormatting sqref="AF14:AF16">
    <cfRule type="cellIs" dxfId="205" priority="7" operator="greaterThanOrEqual">
      <formula>1.2</formula>
    </cfRule>
    <cfRule type="cellIs" dxfId="204" priority="8" operator="greaterThanOrEqual">
      <formula>120</formula>
    </cfRule>
  </conditionalFormatting>
  <conditionalFormatting sqref="AF18:AF19">
    <cfRule type="cellIs" dxfId="203" priority="5" operator="greaterThanOrEqual">
      <formula>1.2</formula>
    </cfRule>
    <cfRule type="cellIs" dxfId="202" priority="6" operator="greaterThanOrEqual">
      <formula>120</formula>
    </cfRule>
  </conditionalFormatting>
  <conditionalFormatting sqref="AF46:AF56">
    <cfRule type="cellIs" dxfId="201" priority="11" operator="greaterThanOrEqual">
      <formula>1.2</formula>
    </cfRule>
    <cfRule type="cellIs" dxfId="200" priority="12" operator="greaterThanOrEqual">
      <formula>120</formula>
    </cfRule>
  </conditionalFormatting>
  <conditionalFormatting sqref="AN5:AN12">
    <cfRule type="cellIs" dxfId="199" priority="23" operator="greaterThanOrEqual">
      <formula>1.2</formula>
    </cfRule>
    <cfRule type="cellIs" dxfId="198" priority="24" operator="greaterThanOrEqual">
      <formula>120</formula>
    </cfRule>
  </conditionalFormatting>
  <conditionalFormatting sqref="AN14:AN16 AN18:AN19 AN40:AN44">
    <cfRule type="cellIs" dxfId="197" priority="39" operator="greaterThanOrEqual">
      <formula>1.2</formula>
    </cfRule>
    <cfRule type="cellIs" dxfId="196" priority="40" operator="greaterThanOrEqual">
      <formula>120</formula>
    </cfRule>
  </conditionalFormatting>
  <conditionalFormatting sqref="AN22:AN29">
    <cfRule type="cellIs" dxfId="195" priority="1" operator="greaterThanOrEqual">
      <formula>1.2</formula>
    </cfRule>
    <cfRule type="cellIs" dxfId="194" priority="2" operator="greaterThanOrEqual">
      <formula>120</formula>
    </cfRule>
  </conditionalFormatting>
  <conditionalFormatting sqref="AN31:AN38">
    <cfRule type="cellIs" dxfId="193" priority="27" operator="greaterThanOrEqual">
      <formula>1.2</formula>
    </cfRule>
    <cfRule type="cellIs" dxfId="192" priority="28" operator="greaterThanOrEqual">
      <formula>120</formula>
    </cfRule>
  </conditionalFormatting>
  <conditionalFormatting sqref="AN46:AN56">
    <cfRule type="cellIs" dxfId="191" priority="19" operator="greaterThanOrEqual">
      <formula>1.2</formula>
    </cfRule>
    <cfRule type="cellIs" dxfId="190" priority="20" operator="greaterThanOrEqual">
      <formula>120</formula>
    </cfRule>
  </conditionalFormatting>
  <conditionalFormatting sqref="AV46:AV56">
    <cfRule type="cellIs" dxfId="189" priority="9" operator="greaterThanOrEqual">
      <formula>1.2</formula>
    </cfRule>
    <cfRule type="cellIs" dxfId="188" priority="10" operator="greaterThanOrEqual">
      <formula>120</formula>
    </cfRule>
  </conditionalFormatting>
  <pageMargins left="0.70866141732283472" right="0.70866141732283472" top="0.74803149606299213" bottom="0.74803149606299213" header="0.31496062992125984" footer="0.31496062992125984"/>
  <pageSetup scale="4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70"/>
  <sheetViews>
    <sheetView zoomScaleNormal="100" workbookViewId="0">
      <pane xSplit="3" ySplit="4" topLeftCell="D5" activePane="bottomRight" state="frozen"/>
      <selection activeCell="C53" sqref="C53"/>
      <selection pane="topRight" activeCell="C53" sqref="C53"/>
      <selection pane="bottomLeft" activeCell="C53" sqref="C53"/>
      <selection pane="bottomRight" activeCell="R6" sqref="R6"/>
    </sheetView>
  </sheetViews>
  <sheetFormatPr baseColWidth="10" defaultColWidth="9.1640625" defaultRowHeight="12" x14ac:dyDescent="0.15"/>
  <cols>
    <col min="1" max="1" width="1.33203125" style="4" customWidth="1"/>
    <col min="2" max="2" width="2.5" style="19" customWidth="1"/>
    <col min="3" max="3" width="39.33203125" style="4" customWidth="1"/>
    <col min="4" max="4" width="0.5" style="4" customWidth="1"/>
    <col min="5" max="5" width="9.5" style="13" customWidth="1"/>
    <col min="6" max="8" width="7.83203125" style="4" customWidth="1"/>
    <col min="9" max="9" width="1" style="4" customWidth="1"/>
    <col min="10" max="10" width="8.6640625" style="13" customWidth="1"/>
    <col min="11" max="11" width="6" style="4" customWidth="1"/>
    <col min="12" max="12" width="1" style="4" customWidth="1"/>
    <col min="13" max="13" width="9.5" style="13" customWidth="1"/>
    <col min="14" max="16" width="7.83203125" style="4" customWidth="1"/>
    <col min="17" max="17" width="1" style="4" customWidth="1"/>
    <col min="18" max="18" width="8.6640625" style="13" customWidth="1"/>
    <col min="19" max="19" width="5.6640625" style="4" customWidth="1"/>
    <col min="20" max="20" width="1" style="4" customWidth="1"/>
    <col min="21" max="21" width="9.5" style="13" customWidth="1"/>
    <col min="22" max="24" width="7.83203125" style="4" customWidth="1"/>
    <col min="25" max="25" width="0.6640625" style="4" customWidth="1"/>
    <col min="26" max="26" width="8.6640625" style="13" customWidth="1"/>
    <col min="27" max="27" width="5.6640625" style="4" customWidth="1"/>
    <col min="28" max="28" width="1" style="4" customWidth="1"/>
    <col min="29" max="29" width="9.5" style="13" customWidth="1"/>
    <col min="30" max="31" width="7.83203125" style="4" customWidth="1"/>
    <col min="32" max="32" width="8.6640625" style="4" customWidth="1"/>
    <col min="33" max="33" width="1" style="4" customWidth="1"/>
    <col min="34" max="34" width="8.6640625" style="13" customWidth="1"/>
    <col min="35" max="35" width="5.5" style="4" customWidth="1"/>
    <col min="36" max="36" width="1" style="4" customWidth="1"/>
    <col min="37" max="37" width="7.83203125" style="4" customWidth="1"/>
    <col min="38" max="38" width="1" style="4" customWidth="1"/>
    <col min="39" max="39" width="9.5" style="13" customWidth="1"/>
    <col min="40" max="42" width="7.83203125" style="4" customWidth="1"/>
    <col min="43" max="43" width="1" style="4" customWidth="1"/>
    <col min="44" max="44" width="8.6640625" style="25" customWidth="1"/>
    <col min="45" max="45" width="5.5" style="4" customWidth="1"/>
    <col min="46" max="46" width="1" style="4" customWidth="1"/>
    <col min="47" max="47" width="9.1640625" style="13" customWidth="1"/>
    <col min="48" max="48" width="6.5" style="4" customWidth="1"/>
    <col min="49" max="16384" width="9.1640625" style="4"/>
  </cols>
  <sheetData>
    <row r="1" spans="2:48" ht="13" thickBot="1" x14ac:dyDescent="0.2">
      <c r="B1" s="17"/>
      <c r="C1" s="3" t="str">
        <f>'GENEL HEDEF'!C1</f>
        <v>01.05.2023 - 04.05.2023</v>
      </c>
    </row>
    <row r="2" spans="2:48" ht="5.25" customHeight="1" thickTop="1" thickBot="1" x14ac:dyDescent="0.2">
      <c r="B2" s="17"/>
      <c r="C2" s="211" t="s">
        <v>0</v>
      </c>
      <c r="E2" s="203" t="s">
        <v>155</v>
      </c>
      <c r="F2" s="204"/>
      <c r="G2" s="204"/>
      <c r="H2" s="205"/>
      <c r="M2" s="203" t="s">
        <v>193</v>
      </c>
      <c r="N2" s="204"/>
      <c r="O2" s="204"/>
      <c r="P2" s="205"/>
      <c r="U2" s="203" t="s">
        <v>58</v>
      </c>
      <c r="V2" s="204"/>
      <c r="W2" s="204"/>
      <c r="X2" s="205"/>
      <c r="AC2" s="220" t="s">
        <v>194</v>
      </c>
      <c r="AD2" s="221"/>
      <c r="AE2" s="221"/>
      <c r="AF2" s="222"/>
      <c r="AK2" s="211" t="s">
        <v>107</v>
      </c>
      <c r="AM2" s="214" t="s">
        <v>190</v>
      </c>
      <c r="AN2" s="215"/>
      <c r="AO2" s="215"/>
      <c r="AP2" s="216"/>
    </row>
    <row r="3" spans="2:48" ht="12" customHeight="1" thickBot="1" x14ac:dyDescent="0.2">
      <c r="B3" s="17"/>
      <c r="C3" s="212"/>
      <c r="E3" s="206"/>
      <c r="F3" s="207"/>
      <c r="G3" s="207"/>
      <c r="H3" s="208"/>
      <c r="M3" s="206"/>
      <c r="N3" s="207"/>
      <c r="O3" s="207"/>
      <c r="P3" s="208"/>
      <c r="U3" s="206"/>
      <c r="V3" s="207"/>
      <c r="W3" s="207"/>
      <c r="X3" s="208"/>
      <c r="AC3" s="223"/>
      <c r="AD3" s="224"/>
      <c r="AE3" s="224"/>
      <c r="AF3" s="225"/>
      <c r="AK3" s="226"/>
      <c r="AM3" s="217"/>
      <c r="AN3" s="218"/>
      <c r="AO3" s="218"/>
      <c r="AP3" s="219"/>
    </row>
    <row r="4" spans="2:48" ht="12.75" customHeight="1" thickTop="1" thickBot="1" x14ac:dyDescent="0.2">
      <c r="B4" s="17"/>
      <c r="C4" s="213"/>
      <c r="E4" s="5" t="s">
        <v>33</v>
      </c>
      <c r="F4" s="6" t="s">
        <v>34</v>
      </c>
      <c r="G4" s="6" t="s">
        <v>35</v>
      </c>
      <c r="H4" s="7" t="s">
        <v>36</v>
      </c>
      <c r="J4" s="30">
        <v>2022</v>
      </c>
      <c r="K4" s="10"/>
      <c r="M4" s="5" t="s">
        <v>33</v>
      </c>
      <c r="N4" s="6" t="s">
        <v>34</v>
      </c>
      <c r="O4" s="6" t="s">
        <v>35</v>
      </c>
      <c r="P4" s="7" t="s">
        <v>36</v>
      </c>
      <c r="Q4" s="30"/>
      <c r="R4" s="30">
        <v>2022</v>
      </c>
      <c r="S4" s="10"/>
      <c r="U4" s="5" t="s">
        <v>33</v>
      </c>
      <c r="V4" s="6" t="s">
        <v>34</v>
      </c>
      <c r="W4" s="6" t="s">
        <v>35</v>
      </c>
      <c r="X4" s="7" t="s">
        <v>36</v>
      </c>
      <c r="Z4" s="30">
        <v>2022</v>
      </c>
      <c r="AA4" s="10"/>
      <c r="AB4" s="73"/>
      <c r="AC4" s="5" t="s">
        <v>33</v>
      </c>
      <c r="AD4" s="6" t="s">
        <v>34</v>
      </c>
      <c r="AE4" s="6" t="s">
        <v>35</v>
      </c>
      <c r="AF4" s="7" t="s">
        <v>36</v>
      </c>
      <c r="AH4" s="30">
        <v>2022</v>
      </c>
      <c r="AI4" s="10"/>
      <c r="AK4" s="104" t="s">
        <v>34</v>
      </c>
      <c r="AM4" s="5" t="s">
        <v>33</v>
      </c>
      <c r="AN4" s="6" t="s">
        <v>34</v>
      </c>
      <c r="AO4" s="6" t="s">
        <v>35</v>
      </c>
      <c r="AP4" s="7" t="s">
        <v>36</v>
      </c>
      <c r="AR4" s="30">
        <v>2022</v>
      </c>
      <c r="AS4" s="10"/>
      <c r="AU4" s="209" t="s">
        <v>37</v>
      </c>
      <c r="AV4" s="210"/>
    </row>
    <row r="5" spans="2:48" ht="12.75" customHeight="1" thickTop="1" x14ac:dyDescent="0.15">
      <c r="B5" s="31">
        <v>10000</v>
      </c>
      <c r="C5" s="88" t="s">
        <v>1</v>
      </c>
      <c r="E5" s="22"/>
      <c r="F5" s="23">
        <f>IF(ISERROR(VLOOKUP($B5,[1]Hedef!$A$4:$ES$45409,37,0)),0,VLOOKUP($B5,[1]Hedef!$A$4:$ES$45409,37,0))</f>
        <v>4.1445000000000003E-2</v>
      </c>
      <c r="G5" s="21" t="str">
        <f t="shared" ref="G5:G12" si="0">IF((E5-F5)&lt;0, "-", (E5-F5))</f>
        <v>-</v>
      </c>
      <c r="H5" s="80" t="e">
        <f>TRUNC(IF((F5/E5)&gt;1.2,"120%",(F5/E5)),2)</f>
        <v>#DIV/0!</v>
      </c>
      <c r="J5" s="44">
        <v>1.0914299999999999</v>
      </c>
      <c r="K5" s="11">
        <f>IF(ISERROR((F5-J5)/J5),0,(F5-J5)/J5)</f>
        <v>-0.96202688216376686</v>
      </c>
      <c r="M5" s="22"/>
      <c r="N5" s="23">
        <f>IF(ISERROR(VLOOKUP($B5,[1]Hedef!$A$4:$ES$45409,35,0)),0,VLOOKUP($B5,[1]Hedef!$A$4:$ES$45409,35,0))</f>
        <v>3.3149999999999999E-2</v>
      </c>
      <c r="O5" s="21" t="str">
        <f t="shared" ref="O5:O12" si="1">IF((M5-N5)&lt;0, "-", (M5-N5))</f>
        <v>-</v>
      </c>
      <c r="P5" s="80" t="e">
        <f t="shared" ref="P5:P12" si="2">TRUNC(IF((N5/M5)&gt;1.2,"120%",(N5/M5)),2)</f>
        <v>#DIV/0!</v>
      </c>
      <c r="R5" s="44">
        <v>0.32125500000000001</v>
      </c>
      <c r="S5" s="11">
        <f>IF(ISERROR((N5-R5)/R5),0,(N5-R5)/R5)</f>
        <v>-0.89681094457673804</v>
      </c>
      <c r="U5" s="22"/>
      <c r="V5" s="23">
        <f>IF(ISERROR(VLOOKUP($B5,[1]Hedef!$A$4:$ES$45409,33,0)),0,VLOOKUP($B5,[1]Hedef!$A$4:$ES$45409,33,0))</f>
        <v>1.5389999999999999E-2</v>
      </c>
      <c r="W5" s="21" t="str">
        <f t="shared" ref="W5:W12" si="3">IF((U5-V5)&lt;0, "-", (U5-V5))</f>
        <v>-</v>
      </c>
      <c r="X5" s="80" t="e">
        <f t="shared" ref="X5:X12" si="4">TRUNC(IF((V5/U5)&gt;1.2,"120%",(V5/U5)),2)</f>
        <v>#DIV/0!</v>
      </c>
      <c r="Z5" s="44">
        <v>0.51951999999999998</v>
      </c>
      <c r="AA5" s="11">
        <f>IF(ISERROR((V5-Z5)/Z5),0,(V5-Z5)/Z5)</f>
        <v>-0.9703765013858946</v>
      </c>
      <c r="AB5" s="72"/>
      <c r="AC5" s="22"/>
      <c r="AD5" s="23">
        <f>IF(ISERROR(VLOOKUP($B5,[1]Hedef!$A$4:$ES$45409,29,0)),0,VLOOKUP($B5,[1]Hedef!$A$4:$ES$45409,29,0))</f>
        <v>1.82E-3</v>
      </c>
      <c r="AE5" s="21" t="str">
        <f t="shared" ref="AE5:AE12" si="5">IF((AC5-AD5)&lt;0, "-", (AC5-AD5))</f>
        <v>-</v>
      </c>
      <c r="AF5" s="80" t="e">
        <f t="shared" ref="AF5:AF12" si="6">TRUNC(IF((AD5/AC5)&gt;1.2,"120%",(AD5/AC5)),2)</f>
        <v>#DIV/0!</v>
      </c>
      <c r="AH5" s="44">
        <v>0.26476</v>
      </c>
      <c r="AI5" s="11">
        <f t="shared" ref="AI5:AI12" si="7">IF(ISERROR((AD5-AH5)/AH5),0,(AD5-AH5)/AH5)</f>
        <v>-0.99312584982625773</v>
      </c>
      <c r="AK5" s="128">
        <f>IF(ISERROR(VLOOKUP($B5,[1]Hedef!$A$4:$ES$45409,31,0)),0,VLOOKUP($B5,[1]Hedef!$A$4:$ES$45409,31,0))</f>
        <v>0</v>
      </c>
      <c r="AM5" s="22">
        <f t="shared" ref="AM5:AM12" si="8">+U5+M5+E5+AC5</f>
        <v>0</v>
      </c>
      <c r="AN5" s="23">
        <f t="shared" ref="AN5:AN12" si="9">V5+N5+F5+AD5+AK5</f>
        <v>9.1805000000000012E-2</v>
      </c>
      <c r="AO5" s="21" t="str">
        <f t="shared" ref="AO5:AO12" si="10">IF((AM5-AN5)&lt;0, "-", (AM5-AN5))</f>
        <v>-</v>
      </c>
      <c r="AP5" s="80" t="e">
        <f t="shared" ref="AP5:AP12" si="11">TRUNC(IF((AN5/AM5)&gt;1.2,"120%",(AN5/AM5)),2)</f>
        <v>#DIV/0!</v>
      </c>
      <c r="AR5" s="44">
        <f t="shared" ref="AR5:AR12" si="12">+AH5+Z5+R5+J5</f>
        <v>2.1969649999999996</v>
      </c>
      <c r="AS5" s="11">
        <f>IF(ISERROR((AN5-AR5)/AR5),0,(AN5-AR5)/AR5)</f>
        <v>-0.95821280721358781</v>
      </c>
      <c r="AT5" s="45"/>
      <c r="AU5" s="12">
        <f>AM5-'GENEL HEDEF'!M5</f>
        <v>-2.2999999999999998</v>
      </c>
      <c r="AV5" s="15">
        <f>AN5-'GENEL HEDEF'!N5</f>
        <v>0</v>
      </c>
    </row>
    <row r="6" spans="2:48" ht="12" customHeight="1" x14ac:dyDescent="0.15">
      <c r="B6" s="18">
        <v>2</v>
      </c>
      <c r="C6" s="1" t="s">
        <v>2</v>
      </c>
      <c r="E6" s="22"/>
      <c r="F6" s="23">
        <f>IF(ISERROR(VLOOKUP($B6,[1]Hedef!$A$4:$ES$45409,37,0)),0,VLOOKUP($B6,[1]Hedef!$A$4:$ES$45409,37,0))</f>
        <v>6.3750000000000001E-2</v>
      </c>
      <c r="G6" s="23" t="str">
        <f t="shared" si="0"/>
        <v>-</v>
      </c>
      <c r="H6" s="80" t="e">
        <f t="shared" ref="H6:H12" si="13">TRUNC(IF((F6/E6)&gt;1.2,"120%",(F6/E6)),2)</f>
        <v>#DIV/0!</v>
      </c>
      <c r="J6" s="44">
        <v>1.9347500000000002</v>
      </c>
      <c r="K6" s="11">
        <f>IF(ISERROR((F6-J6)/J6),0,(F6-J6)/J6)</f>
        <v>-0.9670500064607831</v>
      </c>
      <c r="M6" s="22"/>
      <c r="N6" s="23">
        <f>IF(ISERROR(VLOOKUP($B6,[1]Hedef!$A$4:$ES$45409,35,0)),0,VLOOKUP($B6,[1]Hedef!$A$4:$ES$45409,35,0))</f>
        <v>8.7500000000000008E-3</v>
      </c>
      <c r="O6" s="23" t="str">
        <f t="shared" si="1"/>
        <v>-</v>
      </c>
      <c r="P6" s="80" t="e">
        <f t="shared" si="2"/>
        <v>#DIV/0!</v>
      </c>
      <c r="R6" s="44">
        <v>4.1464999999999996</v>
      </c>
      <c r="S6" s="11">
        <f>IF(ISERROR((N6-R6)/R6),0,(N6-R6)/R6)</f>
        <v>-0.99788978656698424</v>
      </c>
      <c r="U6" s="22"/>
      <c r="V6" s="23">
        <f>IF(ISERROR(VLOOKUP($B6,[1]Hedef!$A$4:$ES$45409,33,0)),0,VLOOKUP($B6,[1]Hedef!$A$4:$ES$45409,33,0))</f>
        <v>2.1000000000000001E-2</v>
      </c>
      <c r="W6" s="23" t="str">
        <f t="shared" si="3"/>
        <v>-</v>
      </c>
      <c r="X6" s="80" t="e">
        <f t="shared" si="4"/>
        <v>#DIV/0!</v>
      </c>
      <c r="Z6" s="44">
        <v>1.7429999999999999</v>
      </c>
      <c r="AA6" s="11">
        <f>IF(ISERROR((V6-Z6)/Z6),0,(V6-Z6)/Z6)</f>
        <v>-0.98795180722891573</v>
      </c>
      <c r="AB6" s="72"/>
      <c r="AC6" s="22"/>
      <c r="AD6" s="23">
        <f>IF(ISERROR(VLOOKUP($B6,[1]Hedef!$A$4:$ES$45409,29,0)),0,VLOOKUP($B6,[1]Hedef!$A$4:$ES$45409,29,0))</f>
        <v>8.5000000000000006E-3</v>
      </c>
      <c r="AE6" s="23" t="str">
        <f t="shared" si="5"/>
        <v>-</v>
      </c>
      <c r="AF6" s="80" t="e">
        <f t="shared" si="6"/>
        <v>#DIV/0!</v>
      </c>
      <c r="AH6" s="44">
        <v>1.5219999999999998</v>
      </c>
      <c r="AI6" s="11">
        <f t="shared" si="7"/>
        <v>-0.99441524310118268</v>
      </c>
      <c r="AK6" s="129">
        <f>IF(ISERROR(VLOOKUP($B6,[1]Hedef!$A$4:$ES$45409,31,0)),0,VLOOKUP($B6,[1]Hedef!$A$4:$ES$45409,31,0))</f>
        <v>0</v>
      </c>
      <c r="AM6" s="22">
        <f t="shared" si="8"/>
        <v>0</v>
      </c>
      <c r="AN6" s="23">
        <f t="shared" si="9"/>
        <v>0.10200000000000001</v>
      </c>
      <c r="AO6" s="23" t="str">
        <f t="shared" si="10"/>
        <v>-</v>
      </c>
      <c r="AP6" s="80" t="e">
        <f t="shared" si="11"/>
        <v>#DIV/0!</v>
      </c>
      <c r="AR6" s="44">
        <f t="shared" si="12"/>
        <v>9.3462499999999995</v>
      </c>
      <c r="AS6" s="11">
        <f>IF(ISERROR((AN6-AR6)/AR6),0,(AN6-AR6)/AR6)</f>
        <v>-0.98908653203156338</v>
      </c>
      <c r="AT6" s="45"/>
      <c r="AU6" s="12">
        <f>AM6-'GENEL HEDEF'!M6</f>
        <v>-6</v>
      </c>
      <c r="AV6" s="15">
        <f>AN6-'GENEL HEDEF'!N6</f>
        <v>0</v>
      </c>
    </row>
    <row r="7" spans="2:48" ht="12" customHeight="1" x14ac:dyDescent="0.15">
      <c r="B7" s="18">
        <v>3</v>
      </c>
      <c r="C7" s="1" t="s">
        <v>65</v>
      </c>
      <c r="E7" s="22"/>
      <c r="F7" s="23">
        <f>IF(ISERROR(VLOOKUP($B7,[1]Hedef!$A$4:$ES$45409,37,0)),0,VLOOKUP($B7,[1]Hedef!$A$4:$ES$45409,37,0))</f>
        <v>2.58E-2</v>
      </c>
      <c r="G7" s="23" t="str">
        <f t="shared" si="0"/>
        <v>-</v>
      </c>
      <c r="H7" s="80" t="e">
        <f t="shared" si="13"/>
        <v>#DIV/0!</v>
      </c>
      <c r="J7" s="44">
        <v>6.4600000000000005E-2</v>
      </c>
      <c r="K7" s="11">
        <f>IF(ISERROR((F7-J7)/J7),0,(F7-J7)/J7)</f>
        <v>-0.60061919504643957</v>
      </c>
      <c r="M7" s="22"/>
      <c r="N7" s="23">
        <f>IF(ISERROR(VLOOKUP($B7,[1]Hedef!$A$4:$ES$45409,35,0)),0,VLOOKUP($B7,[1]Hedef!$A$4:$ES$45409,35,0))</f>
        <v>0</v>
      </c>
      <c r="O7" s="23">
        <f t="shared" si="1"/>
        <v>0</v>
      </c>
      <c r="P7" s="80" t="e">
        <f t="shared" si="2"/>
        <v>#DIV/0!</v>
      </c>
      <c r="R7" s="44">
        <v>-4.0000000000000001E-3</v>
      </c>
      <c r="S7" s="11">
        <f>IF(ISERROR((N7-R7)/R7),0,(N7-R7)/R7)</f>
        <v>-1</v>
      </c>
      <c r="U7" s="22"/>
      <c r="V7" s="23">
        <f>IF(ISERROR(VLOOKUP($B7,[1]Hedef!$A$4:$ES$45409,33,0)),0,VLOOKUP($B7,[1]Hedef!$A$4:$ES$45409,33,0))</f>
        <v>6.0000000000000001E-3</v>
      </c>
      <c r="W7" s="23" t="str">
        <f t="shared" si="3"/>
        <v>-</v>
      </c>
      <c r="X7" s="80" t="e">
        <f t="shared" si="4"/>
        <v>#DIV/0!</v>
      </c>
      <c r="Z7" s="44">
        <v>2.0099999999999996E-2</v>
      </c>
      <c r="AA7" s="11">
        <f>IF(ISERROR((V7-Z7)/Z7),0,(V7-Z7)/Z7)</f>
        <v>-0.70149253731343275</v>
      </c>
      <c r="AB7" s="72"/>
      <c r="AC7" s="22"/>
      <c r="AD7" s="23">
        <f>IF(ISERROR(VLOOKUP($B7,[1]Hedef!$A$4:$ES$45409,29,0)),0,VLOOKUP($B7,[1]Hedef!$A$4:$ES$45409,29,0))</f>
        <v>4.0000000000000001E-3</v>
      </c>
      <c r="AE7" s="23" t="str">
        <f t="shared" si="5"/>
        <v>-</v>
      </c>
      <c r="AF7" s="80" t="e">
        <f t="shared" si="6"/>
        <v>#DIV/0!</v>
      </c>
      <c r="AH7" s="44">
        <v>0.10119999999999998</v>
      </c>
      <c r="AI7" s="11">
        <f t="shared" si="7"/>
        <v>-0.96047430830039526</v>
      </c>
      <c r="AK7" s="129">
        <f>IF(ISERROR(VLOOKUP($B7,[1]Hedef!$A$4:$ES$45409,31,0)),0,VLOOKUP($B7,[1]Hedef!$A$4:$ES$45409,31,0))</f>
        <v>1E-3</v>
      </c>
      <c r="AM7" s="22">
        <f t="shared" si="8"/>
        <v>0</v>
      </c>
      <c r="AN7" s="23">
        <f t="shared" si="9"/>
        <v>3.6799999999999999E-2</v>
      </c>
      <c r="AO7" s="23" t="str">
        <f t="shared" si="10"/>
        <v>-</v>
      </c>
      <c r="AP7" s="80" t="e">
        <f t="shared" si="11"/>
        <v>#DIV/0!</v>
      </c>
      <c r="AR7" s="44">
        <f t="shared" si="12"/>
        <v>0.18189999999999998</v>
      </c>
      <c r="AS7" s="11">
        <f>IF(ISERROR((AN7-AR7)/AR7),0,(AN7-AR7)/AR7)</f>
        <v>-0.79769103903243543</v>
      </c>
      <c r="AT7" s="45"/>
      <c r="AU7" s="12">
        <f>AM7-'GENEL HEDEF'!M7</f>
        <v>-1.54</v>
      </c>
      <c r="AV7" s="15">
        <f>AN7-'GENEL HEDEF'!N7</f>
        <v>0</v>
      </c>
    </row>
    <row r="8" spans="2:48" ht="12" customHeight="1" x14ac:dyDescent="0.15">
      <c r="B8" s="18">
        <v>4</v>
      </c>
      <c r="C8" s="1" t="s">
        <v>3</v>
      </c>
      <c r="E8" s="22"/>
      <c r="F8" s="23">
        <f>IF(ISERROR(VLOOKUP($B8,[1]Hedef!$A$4:$ES$45409,37,0)),0,VLOOKUP($B8,[1]Hedef!$A$4:$ES$45409,37,0))</f>
        <v>8.6999999999999994E-2</v>
      </c>
      <c r="G8" s="23" t="str">
        <f t="shared" si="0"/>
        <v>-</v>
      </c>
      <c r="H8" s="80" t="e">
        <f t="shared" si="13"/>
        <v>#DIV/0!</v>
      </c>
      <c r="J8" s="44">
        <v>2.4729999999999999</v>
      </c>
      <c r="K8" s="11">
        <f t="shared" ref="K8:K16" si="14">IF(ISERROR((F8-J8)/J8),0,(F8-J8)/J8)</f>
        <v>-0.96482005661140302</v>
      </c>
      <c r="M8" s="22"/>
      <c r="N8" s="23">
        <f>IF(ISERROR(VLOOKUP($B8,[1]Hedef!$A$4:$ES$45409,35,0)),0,VLOOKUP($B8,[1]Hedef!$A$4:$ES$45409,35,0))</f>
        <v>2.6000000000000002E-2</v>
      </c>
      <c r="O8" s="23" t="str">
        <f t="shared" si="1"/>
        <v>-</v>
      </c>
      <c r="P8" s="80" t="e">
        <f t="shared" si="2"/>
        <v>#DIV/0!</v>
      </c>
      <c r="R8" s="44">
        <v>2.6459999999999999</v>
      </c>
      <c r="S8" s="11">
        <f t="shared" ref="S8:S16" si="15">IF(ISERROR((N8-R8)/R8),0,(N8-R8)/R8)</f>
        <v>-0.99017384731670455</v>
      </c>
      <c r="U8" s="22"/>
      <c r="V8" s="23">
        <f>IF(ISERROR(VLOOKUP($B8,[1]Hedef!$A$4:$ES$45409,33,0)),0,VLOOKUP($B8,[1]Hedef!$A$4:$ES$45409,33,0))</f>
        <v>1.2E-2</v>
      </c>
      <c r="W8" s="23" t="str">
        <f t="shared" si="3"/>
        <v>-</v>
      </c>
      <c r="X8" s="80" t="e">
        <f t="shared" si="4"/>
        <v>#DIV/0!</v>
      </c>
      <c r="Z8" s="44">
        <v>2.9580000000000006</v>
      </c>
      <c r="AA8" s="11">
        <f t="shared" ref="AA8:AA16" si="16">IF(ISERROR((V8-Z8)/Z8),0,(V8-Z8)/Z8)</f>
        <v>-0.99594320486815413</v>
      </c>
      <c r="AB8" s="72"/>
      <c r="AC8" s="22"/>
      <c r="AD8" s="23">
        <f>IF(ISERROR(VLOOKUP($B8,[1]Hedef!$A$4:$ES$45409,29,0)),0,VLOOKUP($B8,[1]Hedef!$A$4:$ES$45409,29,0))</f>
        <v>3.4000000000000002E-2</v>
      </c>
      <c r="AE8" s="23" t="str">
        <f t="shared" si="5"/>
        <v>-</v>
      </c>
      <c r="AF8" s="80" t="e">
        <f t="shared" si="6"/>
        <v>#DIV/0!</v>
      </c>
      <c r="AH8" s="44">
        <v>2.3855</v>
      </c>
      <c r="AI8" s="11">
        <f t="shared" si="7"/>
        <v>-0.9857472228044436</v>
      </c>
      <c r="AK8" s="129">
        <f>IF(ISERROR(VLOOKUP($B8,[1]Hedef!$A$4:$ES$45409,31,0)),0,VLOOKUP($B8,[1]Hedef!$A$4:$ES$45409,31,0))</f>
        <v>1.4E-2</v>
      </c>
      <c r="AM8" s="22">
        <f t="shared" si="8"/>
        <v>0</v>
      </c>
      <c r="AN8" s="23">
        <f t="shared" si="9"/>
        <v>0.17300000000000001</v>
      </c>
      <c r="AO8" s="23" t="str">
        <f t="shared" si="10"/>
        <v>-</v>
      </c>
      <c r="AP8" s="80" t="e">
        <f t="shared" si="11"/>
        <v>#DIV/0!</v>
      </c>
      <c r="AR8" s="44">
        <f t="shared" si="12"/>
        <v>10.4625</v>
      </c>
      <c r="AS8" s="11">
        <f t="shared" ref="AS8:AS16" si="17">IF(ISERROR((AN8-AR8)/AR8),0,(AN8-AR8)/AR8)</f>
        <v>-0.98346475507765829</v>
      </c>
      <c r="AT8" s="45"/>
      <c r="AU8" s="12">
        <f>AM8-'GENEL HEDEF'!M8</f>
        <v>-10.199999999999999</v>
      </c>
      <c r="AV8" s="15">
        <f>AN8-'GENEL HEDEF'!N8</f>
        <v>0</v>
      </c>
    </row>
    <row r="9" spans="2:48" ht="12" customHeight="1" x14ac:dyDescent="0.15">
      <c r="B9" s="18">
        <v>5</v>
      </c>
      <c r="C9" s="1" t="s">
        <v>4</v>
      </c>
      <c r="E9" s="22"/>
      <c r="F9" s="23">
        <f>IF(ISERROR(VLOOKUP($B9,[1]Hedef!$A$4:$ES$45409,37,0)),0,VLOOKUP($B9,[1]Hedef!$A$4:$ES$45409,37,0))</f>
        <v>-8.9999999999999993E-3</v>
      </c>
      <c r="G9" s="23">
        <f t="shared" si="0"/>
        <v>8.9999999999999993E-3</v>
      </c>
      <c r="H9" s="80" t="e">
        <f t="shared" si="13"/>
        <v>#DIV/0!</v>
      </c>
      <c r="J9" s="44">
        <v>0.41700000000000004</v>
      </c>
      <c r="K9" s="11">
        <f t="shared" si="14"/>
        <v>-1.0215827338129497</v>
      </c>
      <c r="M9" s="22"/>
      <c r="N9" s="23">
        <f>IF(ISERROR(VLOOKUP($B9,[1]Hedef!$A$4:$ES$45409,35,0)),0,VLOOKUP($B9,[1]Hedef!$A$4:$ES$45409,35,0))</f>
        <v>-5.0000000000000001E-3</v>
      </c>
      <c r="O9" s="23">
        <f t="shared" si="1"/>
        <v>5.0000000000000001E-3</v>
      </c>
      <c r="P9" s="80" t="e">
        <f t="shared" si="2"/>
        <v>#DIV/0!</v>
      </c>
      <c r="R9" s="44">
        <v>0.26450000000000001</v>
      </c>
      <c r="S9" s="11">
        <f t="shared" si="15"/>
        <v>-1.0189035916824196</v>
      </c>
      <c r="U9" s="22"/>
      <c r="V9" s="23">
        <f>IF(ISERROR(VLOOKUP($B9,[1]Hedef!$A$4:$ES$45409,33,0)),0,VLOOKUP($B9,[1]Hedef!$A$4:$ES$45409,33,0))</f>
        <v>2E-3</v>
      </c>
      <c r="W9" s="23" t="str">
        <f t="shared" si="3"/>
        <v>-</v>
      </c>
      <c r="X9" s="80" t="e">
        <f t="shared" si="4"/>
        <v>#DIV/0!</v>
      </c>
      <c r="Z9" s="44">
        <v>0.31800000000000006</v>
      </c>
      <c r="AA9" s="11">
        <f t="shared" si="16"/>
        <v>-0.99371069182389937</v>
      </c>
      <c r="AB9" s="72"/>
      <c r="AC9" s="22"/>
      <c r="AD9" s="23">
        <f>IF(ISERROR(VLOOKUP($B9,[1]Hedef!$A$4:$ES$45409,29,0)),0,VLOOKUP($B9,[1]Hedef!$A$4:$ES$45409,29,0))</f>
        <v>1.1000000000000001E-2</v>
      </c>
      <c r="AE9" s="23" t="str">
        <f t="shared" si="5"/>
        <v>-</v>
      </c>
      <c r="AF9" s="80" t="e">
        <f t="shared" si="6"/>
        <v>#DIV/0!</v>
      </c>
      <c r="AH9" s="44">
        <v>0.41850000000000009</v>
      </c>
      <c r="AI9" s="11">
        <f t="shared" si="7"/>
        <v>-0.97371565113500591</v>
      </c>
      <c r="AK9" s="129">
        <f>IF(ISERROR(VLOOKUP($B9,[1]Hedef!$A$4:$ES$45409,31,0)),0,VLOOKUP($B9,[1]Hedef!$A$4:$ES$45409,31,0))</f>
        <v>0</v>
      </c>
      <c r="AM9" s="22">
        <f t="shared" si="8"/>
        <v>0</v>
      </c>
      <c r="AN9" s="23">
        <f t="shared" si="9"/>
        <v>-9.9999999999999915E-4</v>
      </c>
      <c r="AO9" s="23">
        <f t="shared" si="10"/>
        <v>9.9999999999999915E-4</v>
      </c>
      <c r="AP9" s="80" t="e">
        <f t="shared" si="11"/>
        <v>#DIV/0!</v>
      </c>
      <c r="AR9" s="44">
        <f t="shared" si="12"/>
        <v>1.4180000000000001</v>
      </c>
      <c r="AS9" s="11">
        <f t="shared" si="17"/>
        <v>-1.0007052186177714</v>
      </c>
      <c r="AT9" s="45"/>
      <c r="AU9" s="12">
        <f>AM9-'GENEL HEDEF'!M9</f>
        <v>-2</v>
      </c>
      <c r="AV9" s="15">
        <f>AN9-'GENEL HEDEF'!N9</f>
        <v>0</v>
      </c>
    </row>
    <row r="10" spans="2:48" ht="12" customHeight="1" x14ac:dyDescent="0.15">
      <c r="B10" s="18">
        <v>6</v>
      </c>
      <c r="C10" s="1" t="s">
        <v>5</v>
      </c>
      <c r="E10" s="22"/>
      <c r="F10" s="23">
        <f>IF(ISERROR(VLOOKUP($B10,[1]Hedef!$A$4:$ES$45409,37,0)),0,VLOOKUP($B10,[1]Hedef!$A$4:$ES$45409,37,0))</f>
        <v>6.2500000000000003E-3</v>
      </c>
      <c r="G10" s="23" t="str">
        <f t="shared" si="0"/>
        <v>-</v>
      </c>
      <c r="H10" s="80" t="e">
        <f t="shared" si="13"/>
        <v>#DIV/0!</v>
      </c>
      <c r="J10" s="44">
        <v>0.25075000000000003</v>
      </c>
      <c r="K10" s="11">
        <f t="shared" si="14"/>
        <v>-0.97507477567298106</v>
      </c>
      <c r="M10" s="22"/>
      <c r="N10" s="23">
        <f>IF(ISERROR(VLOOKUP($B10,[1]Hedef!$A$4:$ES$45409,35,0)),0,VLOOKUP($B10,[1]Hedef!$A$4:$ES$45409,35,0))</f>
        <v>-5.0000000000000001E-4</v>
      </c>
      <c r="O10" s="23">
        <f t="shared" si="1"/>
        <v>5.0000000000000001E-4</v>
      </c>
      <c r="P10" s="80" t="e">
        <f t="shared" si="2"/>
        <v>#DIV/0!</v>
      </c>
      <c r="R10" s="44">
        <v>0.16800000000000001</v>
      </c>
      <c r="S10" s="11">
        <f t="shared" si="15"/>
        <v>-1.0029761904761905</v>
      </c>
      <c r="U10" s="22"/>
      <c r="V10" s="23">
        <f>IF(ISERROR(VLOOKUP($B10,[1]Hedef!$A$4:$ES$45409,33,0)),0,VLOOKUP($B10,[1]Hedef!$A$4:$ES$45409,33,0))</f>
        <v>2.7499999999999998E-3</v>
      </c>
      <c r="W10" s="23" t="str">
        <f t="shared" si="3"/>
        <v>-</v>
      </c>
      <c r="X10" s="80" t="e">
        <f t="shared" si="4"/>
        <v>#DIV/0!</v>
      </c>
      <c r="Z10" s="44">
        <v>9.6750000000000003E-2</v>
      </c>
      <c r="AA10" s="11">
        <f t="shared" si="16"/>
        <v>-0.9715762273901809</v>
      </c>
      <c r="AB10" s="72"/>
      <c r="AC10" s="22"/>
      <c r="AD10" s="23">
        <f>IF(ISERROR(VLOOKUP($B10,[1]Hedef!$A$4:$ES$45409,29,0)),0,VLOOKUP($B10,[1]Hedef!$A$4:$ES$45409,29,0))</f>
        <v>1.0499999999999999E-2</v>
      </c>
      <c r="AE10" s="23" t="str">
        <f t="shared" si="5"/>
        <v>-</v>
      </c>
      <c r="AF10" s="80" t="e">
        <f t="shared" si="6"/>
        <v>#DIV/0!</v>
      </c>
      <c r="AH10" s="44">
        <v>0.34199999999999997</v>
      </c>
      <c r="AI10" s="11">
        <f t="shared" si="7"/>
        <v>-0.9692982456140351</v>
      </c>
      <c r="AK10" s="129">
        <f>IF(ISERROR(VLOOKUP($B10,[1]Hedef!$A$4:$ES$45409,31,0)),0,VLOOKUP($B10,[1]Hedef!$A$4:$ES$45409,31,0))</f>
        <v>0</v>
      </c>
      <c r="AM10" s="22">
        <f t="shared" si="8"/>
        <v>0</v>
      </c>
      <c r="AN10" s="23">
        <f t="shared" si="9"/>
        <v>1.9E-2</v>
      </c>
      <c r="AO10" s="23" t="str">
        <f t="shared" si="10"/>
        <v>-</v>
      </c>
      <c r="AP10" s="80" t="e">
        <f t="shared" si="11"/>
        <v>#DIV/0!</v>
      </c>
      <c r="AR10" s="44">
        <f t="shared" si="12"/>
        <v>0.85750000000000004</v>
      </c>
      <c r="AS10" s="11">
        <f t="shared" si="17"/>
        <v>-0.97784256559766758</v>
      </c>
      <c r="AT10" s="45"/>
      <c r="AU10" s="12">
        <f>AM10-'GENEL HEDEF'!M10</f>
        <v>-0.96</v>
      </c>
      <c r="AV10" s="15">
        <f>AN10-'GENEL HEDEF'!N10</f>
        <v>0</v>
      </c>
    </row>
    <row r="11" spans="2:48" ht="12" customHeight="1" x14ac:dyDescent="0.15">
      <c r="B11" s="31">
        <v>54</v>
      </c>
      <c r="C11" s="1" t="s">
        <v>151</v>
      </c>
      <c r="E11" s="22"/>
      <c r="F11" s="23">
        <f>IF(ISERROR(VLOOKUP($B11,[1]Hedef!$A$4:$ES$45409,37,0)),0,VLOOKUP($B11,[1]Hedef!$A$4:$ES$45409,37,0))</f>
        <v>1.0999999999999998E-3</v>
      </c>
      <c r="G11" s="23" t="str">
        <f t="shared" ref="G11" si="18">IF((E11-F11)&lt;0, "-", (E11-F11))</f>
        <v>-</v>
      </c>
      <c r="H11" s="80" t="e">
        <f t="shared" si="13"/>
        <v>#DIV/0!</v>
      </c>
      <c r="J11" s="44">
        <v>2.8770000000000004E-2</v>
      </c>
      <c r="K11" s="11">
        <f t="shared" ref="K11" si="19">IF(ISERROR((F11-J11)/J11),0,(F11-J11)/J11)</f>
        <v>-0.9617657281890859</v>
      </c>
      <c r="M11" s="22"/>
      <c r="N11" s="23">
        <f>IF(ISERROR(VLOOKUP($B11,[1]Hedef!$A$4:$ES$45409,35,0)),0,VLOOKUP($B11,[1]Hedef!$A$4:$ES$45409,35,0))</f>
        <v>0</v>
      </c>
      <c r="O11" s="23">
        <f t="shared" ref="O11" si="20">IF((M11-N11)&lt;0, "-", (M11-N11))</f>
        <v>0</v>
      </c>
      <c r="P11" s="80" t="e">
        <f t="shared" si="2"/>
        <v>#DIV/0!</v>
      </c>
      <c r="R11" s="44">
        <v>2.0220000000000002E-2</v>
      </c>
      <c r="S11" s="11">
        <f t="shared" ref="S11" si="21">IF(ISERROR((N11-R11)/R11),0,(N11-R11)/R11)</f>
        <v>-1</v>
      </c>
      <c r="U11" s="22"/>
      <c r="V11" s="23">
        <f>IF(ISERROR(VLOOKUP($B11,[1]Hedef!$A$4:$ES$45409,33,0)),0,VLOOKUP($B11,[1]Hedef!$A$4:$ES$45409,33,0))</f>
        <v>0</v>
      </c>
      <c r="W11" s="23">
        <f t="shared" ref="W11" si="22">IF((U11-V11)&lt;0, "-", (U11-V11))</f>
        <v>0</v>
      </c>
      <c r="X11" s="80" t="e">
        <f t="shared" si="4"/>
        <v>#DIV/0!</v>
      </c>
      <c r="Z11" s="44">
        <v>3.8010000000000002E-2</v>
      </c>
      <c r="AA11" s="11">
        <f t="shared" ref="AA11" si="23">IF(ISERROR((V11-Z11)/Z11),0,(V11-Z11)/Z11)</f>
        <v>-1</v>
      </c>
      <c r="AB11" s="72"/>
      <c r="AC11" s="22"/>
      <c r="AD11" s="23">
        <f>IF(ISERROR(VLOOKUP($B11,[1]Hedef!$A$4:$ES$45409,29,0)),0,VLOOKUP($B11,[1]Hedef!$A$4:$ES$45409,29,0))</f>
        <v>0</v>
      </c>
      <c r="AE11" s="23">
        <f t="shared" ref="AE11" si="24">IF((AC11-AD11)&lt;0, "-", (AC11-AD11))</f>
        <v>0</v>
      </c>
      <c r="AF11" s="80" t="e">
        <f t="shared" si="6"/>
        <v>#DIV/0!</v>
      </c>
      <c r="AH11" s="44">
        <v>2.1519999999999997E-2</v>
      </c>
      <c r="AI11" s="11">
        <f t="shared" ref="AI11" si="25">IF(ISERROR((AD11-AH11)/AH11),0,(AD11-AH11)/AH11)</f>
        <v>-1</v>
      </c>
      <c r="AK11" s="129">
        <f>IF(ISERROR(VLOOKUP($B11,[1]Hedef!$A$4:$ES$45409,31,0)),0,VLOOKUP($B11,[1]Hedef!$A$4:$ES$45409,31,0))</f>
        <v>0</v>
      </c>
      <c r="AM11" s="22">
        <f t="shared" si="8"/>
        <v>0</v>
      </c>
      <c r="AN11" s="23">
        <f t="shared" si="9"/>
        <v>1.0999999999999998E-3</v>
      </c>
      <c r="AO11" s="23" t="str">
        <f t="shared" ref="AO11" si="26">IF((AM11-AN11)&lt;0, "-", (AM11-AN11))</f>
        <v>-</v>
      </c>
      <c r="AP11" s="80" t="e">
        <f t="shared" si="11"/>
        <v>#DIV/0!</v>
      </c>
      <c r="AR11" s="44">
        <f t="shared" si="12"/>
        <v>0.10852000000000001</v>
      </c>
      <c r="AS11" s="11">
        <f t="shared" ref="AS11" si="27">IF(ISERROR((AN11-AR11)/AR11),0,(AN11-AR11)/AR11)</f>
        <v>-0.98986361960928859</v>
      </c>
      <c r="AT11" s="45"/>
      <c r="AU11" s="12">
        <f>AM11-'GENEL HEDEF'!M11</f>
        <v>-0.21</v>
      </c>
      <c r="AV11" s="15">
        <f>AN11-'GENEL HEDEF'!N11</f>
        <v>0</v>
      </c>
    </row>
    <row r="12" spans="2:48" ht="12.75" customHeight="1" thickBot="1" x14ac:dyDescent="0.2">
      <c r="B12" s="18">
        <v>7</v>
      </c>
      <c r="C12" s="1" t="s">
        <v>6</v>
      </c>
      <c r="E12" s="22"/>
      <c r="F12" s="23">
        <f>IF(ISERROR(VLOOKUP($B12,[1]Hedef!$A$4:$ES$45409,37,0)),0,VLOOKUP($B12,[1]Hedef!$A$4:$ES$45409,37,0))</f>
        <v>9.5480000000000009E-3</v>
      </c>
      <c r="G12" s="23" t="str">
        <f t="shared" si="0"/>
        <v>-</v>
      </c>
      <c r="H12" s="80" t="e">
        <f t="shared" si="13"/>
        <v>#DIV/0!</v>
      </c>
      <c r="J12" s="44">
        <v>0.25504400000000005</v>
      </c>
      <c r="K12" s="11">
        <f t="shared" si="14"/>
        <v>-0.96256332240711406</v>
      </c>
      <c r="M12" s="22"/>
      <c r="N12" s="23">
        <f>IF(ISERROR(VLOOKUP($B12,[1]Hedef!$A$4:$ES$45409,35,0)),0,VLOOKUP($B12,[1]Hedef!$A$4:$ES$45409,35,0))</f>
        <v>2.944E-3</v>
      </c>
      <c r="O12" s="23" t="str">
        <f t="shared" si="1"/>
        <v>-</v>
      </c>
      <c r="P12" s="80" t="e">
        <f t="shared" si="2"/>
        <v>#DIV/0!</v>
      </c>
      <c r="R12" s="44">
        <v>0.248032</v>
      </c>
      <c r="S12" s="11">
        <f t="shared" si="15"/>
        <v>-0.98813056379821962</v>
      </c>
      <c r="U12" s="22"/>
      <c r="V12" s="23">
        <f>IF(ISERROR(VLOOKUP($B12,[1]Hedef!$A$4:$ES$45409,33,0)),0,VLOOKUP($B12,[1]Hedef!$A$4:$ES$45409,33,0))</f>
        <v>0</v>
      </c>
      <c r="W12" s="23">
        <f t="shared" si="3"/>
        <v>0</v>
      </c>
      <c r="X12" s="80" t="e">
        <f t="shared" si="4"/>
        <v>#DIV/0!</v>
      </c>
      <c r="Z12" s="44">
        <v>0.31676799999999994</v>
      </c>
      <c r="AA12" s="11">
        <f t="shared" si="16"/>
        <v>-1</v>
      </c>
      <c r="AB12" s="72"/>
      <c r="AC12" s="22"/>
      <c r="AD12" s="23">
        <f>IF(ISERROR(VLOOKUP($B12,[1]Hedef!$A$4:$ES$45409,29,0)),0,VLOOKUP($B12,[1]Hedef!$A$4:$ES$45409,29,0))</f>
        <v>0</v>
      </c>
      <c r="AE12" s="23">
        <f t="shared" si="5"/>
        <v>0</v>
      </c>
      <c r="AF12" s="80" t="e">
        <f t="shared" si="6"/>
        <v>#DIV/0!</v>
      </c>
      <c r="AH12" s="44">
        <v>0.21212399999999998</v>
      </c>
      <c r="AI12" s="11">
        <f t="shared" si="7"/>
        <v>-1</v>
      </c>
      <c r="AK12" s="129">
        <f>IF(ISERROR(VLOOKUP($B12,[1]Hedef!$A$4:$ES$45409,31,0)),0,VLOOKUP($B12,[1]Hedef!$A$4:$ES$45409,31,0))</f>
        <v>0</v>
      </c>
      <c r="AM12" s="22">
        <f t="shared" si="8"/>
        <v>0</v>
      </c>
      <c r="AN12" s="23">
        <f t="shared" si="9"/>
        <v>1.2492000000000001E-2</v>
      </c>
      <c r="AO12" s="23" t="str">
        <f t="shared" si="10"/>
        <v>-</v>
      </c>
      <c r="AP12" s="80" t="e">
        <f t="shared" si="11"/>
        <v>#DIV/0!</v>
      </c>
      <c r="AR12" s="44">
        <f t="shared" si="12"/>
        <v>1.031968</v>
      </c>
      <c r="AS12" s="11">
        <f t="shared" si="17"/>
        <v>-0.98789497348755007</v>
      </c>
      <c r="AT12" s="45"/>
      <c r="AU12" s="12">
        <f>AM12-'GENEL HEDEF'!M12</f>
        <v>-1.5</v>
      </c>
      <c r="AV12" s="15">
        <f>AN12-'GENEL HEDEF'!N12</f>
        <v>0</v>
      </c>
    </row>
    <row r="13" spans="2:48" ht="14" thickTop="1" thickBot="1" x14ac:dyDescent="0.2">
      <c r="B13" s="18"/>
      <c r="C13" s="2" t="s">
        <v>7</v>
      </c>
      <c r="D13" s="109"/>
      <c r="E13" s="67">
        <f>SUM(E5:E12)</f>
        <v>0</v>
      </c>
      <c r="F13" s="67">
        <f>SUM(F5:F12)</f>
        <v>0.22589299999999998</v>
      </c>
      <c r="G13" s="67">
        <f>SUM(G5:G12)</f>
        <v>8.9999999999999993E-3</v>
      </c>
      <c r="H13" s="39" t="e">
        <f>TRUNC(IF((F13/E13)&gt;1.2,"120%",(F13/E13)),2)</f>
        <v>#DIV/0!</v>
      </c>
      <c r="I13" s="109"/>
      <c r="J13" s="115"/>
      <c r="K13" s="48"/>
      <c r="L13" s="109"/>
      <c r="M13" s="67">
        <f>SUM(M5:M12)</f>
        <v>0</v>
      </c>
      <c r="N13" s="67">
        <f>SUM(N5:N12)</f>
        <v>6.5343999999999999E-2</v>
      </c>
      <c r="O13" s="67">
        <f>SUM(O5:O12)</f>
        <v>5.4999999999999997E-3</v>
      </c>
      <c r="P13" s="39" t="e">
        <f>TRUNC(IF((N13/M13)&gt;1.2,"120%",(N13/M13)),2)</f>
        <v>#DIV/0!</v>
      </c>
      <c r="Q13" s="109"/>
      <c r="R13" s="115"/>
      <c r="S13" s="48"/>
      <c r="T13" s="109"/>
      <c r="U13" s="67">
        <f>SUM(U5:U12)</f>
        <v>0</v>
      </c>
      <c r="V13" s="67">
        <f>SUM(V5:V12)</f>
        <v>5.9139999999999998E-2</v>
      </c>
      <c r="W13" s="67">
        <f>SUM(W5:W12)</f>
        <v>0</v>
      </c>
      <c r="X13" s="39" t="e">
        <f>TRUNC(IF((V13/U13)&gt;1.2,"120%",(V13/U13)),2)</f>
        <v>#DIV/0!</v>
      </c>
      <c r="Y13" s="109"/>
      <c r="Z13" s="115"/>
      <c r="AA13" s="48"/>
      <c r="AB13" s="74"/>
      <c r="AC13" s="67">
        <f>SUM(AC5:AC12)</f>
        <v>0</v>
      </c>
      <c r="AD13" s="67">
        <f>SUM(AD5:AD12)</f>
        <v>6.9820000000000007E-2</v>
      </c>
      <c r="AE13" s="67">
        <f>SUM(AE5:AE12)</f>
        <v>0</v>
      </c>
      <c r="AF13" s="39" t="e">
        <f>TRUNC(IF((AD13/AC13)&gt;1.2,"120%",(AD13/AC13)),2)</f>
        <v>#DIV/0!</v>
      </c>
      <c r="AG13" s="109"/>
      <c r="AH13" s="115"/>
      <c r="AI13" s="48"/>
      <c r="AJ13" s="109"/>
      <c r="AK13" s="105">
        <f>SUM(AK5:AK12)</f>
        <v>1.4999999999999999E-2</v>
      </c>
      <c r="AL13" s="109"/>
      <c r="AM13" s="67">
        <f>SUM(AM5:AM12)</f>
        <v>0</v>
      </c>
      <c r="AN13" s="67">
        <f>SUM(AN5:AN12)</f>
        <v>0.435197</v>
      </c>
      <c r="AO13" s="67">
        <f>SUM(AO5:AO12)</f>
        <v>9.9999999999999915E-4</v>
      </c>
      <c r="AP13" s="39" t="e">
        <f>TRUNC(IF((AN13/AM13)&gt;1.2,"120%",(AN13/AM13)),2)</f>
        <v>#DIV/0!</v>
      </c>
      <c r="AR13" s="115"/>
      <c r="AS13" s="48"/>
      <c r="AT13" s="45"/>
      <c r="AU13" s="8"/>
      <c r="AV13" s="9"/>
    </row>
    <row r="14" spans="2:48" ht="12.75" customHeight="1" thickTop="1" x14ac:dyDescent="0.15">
      <c r="B14" s="18">
        <v>4000</v>
      </c>
      <c r="C14" s="1" t="s">
        <v>8</v>
      </c>
      <c r="E14" s="22"/>
      <c r="F14" s="23">
        <f>IF(ISERROR(VLOOKUP($B14,[1]Hedef!$A$4:$ES$45409,37,0)),0,VLOOKUP($B14,[1]Hedef!$A$4:$ES$45409,37,0))</f>
        <v>1.89E-2</v>
      </c>
      <c r="G14" s="23" t="str">
        <f>IF((E14-F14)&lt;0, "-", (E14-F14))</f>
        <v>-</v>
      </c>
      <c r="H14" s="80" t="e">
        <f t="shared" ref="H14:H16" si="28">TRUNC(IF((F14/E14)&gt;1.2,"120%",(F14/E14)),2)</f>
        <v>#DIV/0!</v>
      </c>
      <c r="J14" s="44">
        <v>0.11955</v>
      </c>
      <c r="K14" s="11">
        <f t="shared" si="14"/>
        <v>-0.84190715181932241</v>
      </c>
      <c r="M14" s="22"/>
      <c r="N14" s="23">
        <f>IF(ISERROR(VLOOKUP($B14,[1]Hedef!$A$4:$ES$45409,35,0)),0,VLOOKUP($B14,[1]Hedef!$A$4:$ES$45409,35,0))</f>
        <v>2E-3</v>
      </c>
      <c r="O14" s="23" t="str">
        <f>IF((M14-N14)&lt;0, "-", (M14-N14))</f>
        <v>-</v>
      </c>
      <c r="P14" s="80" t="e">
        <f t="shared" ref="P14:P16" si="29">TRUNC(IF((N14/M14)&gt;1.2,"120%",(N14/M14)),2)</f>
        <v>#DIV/0!</v>
      </c>
      <c r="R14" s="44">
        <v>0.14385000000000001</v>
      </c>
      <c r="S14" s="11">
        <f t="shared" si="15"/>
        <v>-0.98609662843239487</v>
      </c>
      <c r="U14" s="22"/>
      <c r="V14" s="23">
        <f>IF(ISERROR(VLOOKUP($B14,[1]Hedef!$A$4:$ES$45409,33,0)),0,VLOOKUP($B14,[1]Hedef!$A$4:$ES$45409,33,0))</f>
        <v>4.3499999999999997E-3</v>
      </c>
      <c r="W14" s="23" t="str">
        <f>IF((U14-V14)&lt;0, "-", (U14-V14))</f>
        <v>-</v>
      </c>
      <c r="X14" s="80" t="e">
        <f t="shared" ref="X14:X16" si="30">TRUNC(IF((V14/U14)&gt;1.2,"120%",(V14/U14)),2)</f>
        <v>#DIV/0!</v>
      </c>
      <c r="Z14" s="44">
        <v>0.17939999999999998</v>
      </c>
      <c r="AA14" s="11">
        <f t="shared" si="16"/>
        <v>-0.97575250836120409</v>
      </c>
      <c r="AB14" s="72"/>
      <c r="AC14" s="22"/>
      <c r="AD14" s="23">
        <f>IF(ISERROR(VLOOKUP($B14,[1]Hedef!$A$4:$ES$45409,29,0)),0,VLOOKUP($B14,[1]Hedef!$A$4:$ES$45409,29,0))</f>
        <v>3.7999999999999996E-3</v>
      </c>
      <c r="AE14" s="23" t="str">
        <f>IF((AC14-AD14)&lt;0, "-", (AC14-AD14))</f>
        <v>-</v>
      </c>
      <c r="AF14" s="80" t="e">
        <f t="shared" ref="AF14:AF16" si="31">TRUNC(IF((AD14/AC14)&gt;1.2,"120%",(AD14/AC14)),2)</f>
        <v>#DIV/0!</v>
      </c>
      <c r="AH14" s="44">
        <v>0.30345</v>
      </c>
      <c r="AI14" s="11">
        <f>IF(ISERROR((AD14-AH14)/AH14),0,(AD14-AH14)/AH14)</f>
        <v>-0.98747734387872788</v>
      </c>
      <c r="AK14" s="129">
        <f>IF(ISERROR(VLOOKUP($B14,[1]Hedef!$A$4:$ES$45409,31,0)),0,VLOOKUP($B14,[1]Hedef!$A$4:$ES$45409,31,0))</f>
        <v>3.0000000000000001E-3</v>
      </c>
      <c r="AM14" s="22">
        <f>+U14+M14+E14+AC14</f>
        <v>0</v>
      </c>
      <c r="AN14" s="23">
        <f>V14+N14+F14+AD14+AK14</f>
        <v>3.2050000000000002E-2</v>
      </c>
      <c r="AO14" s="23" t="str">
        <f>IF((AM14-AN14)&lt;0, "-", (AM14-AN14))</f>
        <v>-</v>
      </c>
      <c r="AP14" s="80" t="e">
        <f t="shared" ref="AP14:AP16" si="32">TRUNC(IF((AN14/AM14)&gt;1.2,"120%",(AN14/AM14)),2)</f>
        <v>#DIV/0!</v>
      </c>
      <c r="AR14" s="44">
        <f>+AH14+Z14+R14+J14</f>
        <v>0.74625000000000008</v>
      </c>
      <c r="AS14" s="11">
        <f t="shared" si="17"/>
        <v>-0.95705192629815738</v>
      </c>
      <c r="AT14" s="45"/>
      <c r="AU14" s="12">
        <f>AM14-'GENEL HEDEF'!M14</f>
        <v>-0.76</v>
      </c>
      <c r="AV14" s="15">
        <f>AN14-'GENEL HEDEF'!N14</f>
        <v>0</v>
      </c>
    </row>
    <row r="15" spans="2:48" ht="12" customHeight="1" x14ac:dyDescent="0.15">
      <c r="B15" s="18">
        <v>3000</v>
      </c>
      <c r="C15" s="1" t="s">
        <v>9</v>
      </c>
      <c r="E15" s="22"/>
      <c r="F15" s="23">
        <f>IF(ISERROR(VLOOKUP($B15,[1]Hedef!$A$4:$ES$45409,37,0)),0,VLOOKUP($B15,[1]Hedef!$A$4:$ES$45409,37,0))</f>
        <v>9.4000000000000004E-3</v>
      </c>
      <c r="G15" s="23" t="str">
        <f>IF((E15-F15)&lt;0, "-", (E15-F15))</f>
        <v>-</v>
      </c>
      <c r="H15" s="80" t="e">
        <f t="shared" si="28"/>
        <v>#DIV/0!</v>
      </c>
      <c r="J15" s="44">
        <v>8.1750000000000003E-2</v>
      </c>
      <c r="K15" s="11">
        <f t="shared" si="14"/>
        <v>-0.8850152905198776</v>
      </c>
      <c r="M15" s="22"/>
      <c r="N15" s="23">
        <f>IF(ISERROR(VLOOKUP($B15,[1]Hedef!$A$4:$ES$45409,35,0)),0,VLOOKUP($B15,[1]Hedef!$A$4:$ES$45409,35,0))</f>
        <v>5.8999999999999999E-3</v>
      </c>
      <c r="O15" s="23" t="str">
        <f>IF((M15-N15)&lt;0, "-", (M15-N15))</f>
        <v>-</v>
      </c>
      <c r="P15" s="80" t="e">
        <f t="shared" si="29"/>
        <v>#DIV/0!</v>
      </c>
      <c r="R15" s="44">
        <v>0.10865</v>
      </c>
      <c r="S15" s="11">
        <f t="shared" si="15"/>
        <v>-0.94569719282098474</v>
      </c>
      <c r="U15" s="22"/>
      <c r="V15" s="23">
        <f>IF(ISERROR(VLOOKUP($B15,[1]Hedef!$A$4:$ES$45409,33,0)),0,VLOOKUP($B15,[1]Hedef!$A$4:$ES$45409,33,0))</f>
        <v>3.8999999999999998E-3</v>
      </c>
      <c r="W15" s="23" t="str">
        <f>IF((U15-V15)&lt;0, "-", (U15-V15))</f>
        <v>-</v>
      </c>
      <c r="X15" s="80" t="e">
        <f t="shared" si="30"/>
        <v>#DIV/0!</v>
      </c>
      <c r="Z15" s="44">
        <v>7.3050000000000004E-2</v>
      </c>
      <c r="AA15" s="11">
        <f t="shared" si="16"/>
        <v>-0.94661190965092401</v>
      </c>
      <c r="AB15" s="72"/>
      <c r="AC15" s="22"/>
      <c r="AD15" s="23">
        <f>IF(ISERROR(VLOOKUP($B15,[1]Hedef!$A$4:$ES$45409,29,0)),0,VLOOKUP($B15,[1]Hedef!$A$4:$ES$45409,29,0))</f>
        <v>7.1999999999999998E-3</v>
      </c>
      <c r="AE15" s="23" t="str">
        <f>IF((AC15-AD15)&lt;0, "-", (AC15-AD15))</f>
        <v>-</v>
      </c>
      <c r="AF15" s="80" t="e">
        <f t="shared" si="31"/>
        <v>#DIV/0!</v>
      </c>
      <c r="AH15" s="44">
        <v>9.6300000000000024E-2</v>
      </c>
      <c r="AI15" s="11">
        <f>IF(ISERROR((AD15-AH15)/AH15),0,(AD15-AH15)/AH15)</f>
        <v>-0.92523364485981308</v>
      </c>
      <c r="AK15" s="129">
        <f>IF(ISERROR(VLOOKUP($B15,[1]Hedef!$A$4:$ES$45409,31,0)),0,VLOOKUP($B15,[1]Hedef!$A$4:$ES$45409,31,0))</f>
        <v>5.0000000000000001E-4</v>
      </c>
      <c r="AM15" s="22">
        <f>+U15+M15+E15+AC15</f>
        <v>0</v>
      </c>
      <c r="AN15" s="23">
        <f>V15+N15+F15+AD15+AK15</f>
        <v>2.69E-2</v>
      </c>
      <c r="AO15" s="23" t="str">
        <f>IF((AM15-AN15)&lt;0, "-", (AM15-AN15))</f>
        <v>-</v>
      </c>
      <c r="AP15" s="80" t="e">
        <f t="shared" si="32"/>
        <v>#DIV/0!</v>
      </c>
      <c r="AR15" s="44">
        <f>+AH15+Z15+R15+J15</f>
        <v>0.35975000000000001</v>
      </c>
      <c r="AS15" s="11">
        <f t="shared" si="17"/>
        <v>-0.92522585128561508</v>
      </c>
      <c r="AT15" s="45"/>
      <c r="AU15" s="12">
        <f>AM15-'GENEL HEDEF'!M15</f>
        <v>-0.38</v>
      </c>
      <c r="AV15" s="15">
        <f>AN15-'GENEL HEDEF'!N15</f>
        <v>0</v>
      </c>
    </row>
    <row r="16" spans="2:48" ht="12.75" customHeight="1" thickBot="1" x14ac:dyDescent="0.2">
      <c r="B16" s="18">
        <v>5000</v>
      </c>
      <c r="C16" s="1" t="s">
        <v>10</v>
      </c>
      <c r="E16" s="22"/>
      <c r="F16" s="23">
        <f>IF(ISERROR(VLOOKUP($B16,[1]Hedef!$A$4:$ES$45409,37,0)),0,VLOOKUP($B16,[1]Hedef!$A$4:$ES$45409,37,0))</f>
        <v>2.3E-3</v>
      </c>
      <c r="G16" s="23" t="str">
        <f>IF((E16-F16)&lt;0, "-", (E16-F16))</f>
        <v>-</v>
      </c>
      <c r="H16" s="80" t="e">
        <f t="shared" si="28"/>
        <v>#DIV/0!</v>
      </c>
      <c r="J16" s="44">
        <v>2.315E-2</v>
      </c>
      <c r="K16" s="11">
        <f t="shared" si="14"/>
        <v>-0.90064794816414684</v>
      </c>
      <c r="M16" s="22"/>
      <c r="N16" s="23">
        <f>IF(ISERROR(VLOOKUP($B16,[1]Hedef!$A$4:$ES$45409,35,0)),0,VLOOKUP($B16,[1]Hedef!$A$4:$ES$45409,35,0))</f>
        <v>0</v>
      </c>
      <c r="O16" s="23">
        <f>IF((M16-N16)&lt;0, "-", (M16-N16))</f>
        <v>0</v>
      </c>
      <c r="P16" s="80" t="e">
        <f t="shared" si="29"/>
        <v>#DIV/0!</v>
      </c>
      <c r="R16" s="44">
        <v>8.6999999999999994E-3</v>
      </c>
      <c r="S16" s="11">
        <f t="shared" si="15"/>
        <v>-1</v>
      </c>
      <c r="U16" s="22"/>
      <c r="V16" s="23">
        <f>IF(ISERROR(VLOOKUP($B16,[1]Hedef!$A$4:$ES$45409,33,0)),0,VLOOKUP($B16,[1]Hedef!$A$4:$ES$45409,33,0))</f>
        <v>0</v>
      </c>
      <c r="W16" s="23">
        <f>IF((U16-V16)&lt;0, "-", (U16-V16))</f>
        <v>0</v>
      </c>
      <c r="X16" s="80" t="e">
        <f t="shared" si="30"/>
        <v>#DIV/0!</v>
      </c>
      <c r="Z16" s="44">
        <v>0.11154999999999998</v>
      </c>
      <c r="AA16" s="11">
        <f t="shared" si="16"/>
        <v>-1</v>
      </c>
      <c r="AB16" s="72"/>
      <c r="AC16" s="22"/>
      <c r="AD16" s="23">
        <f>IF(ISERROR(VLOOKUP($B16,[1]Hedef!$A$4:$ES$45409,29,0)),0,VLOOKUP($B16,[1]Hedef!$A$4:$ES$45409,29,0))</f>
        <v>0</v>
      </c>
      <c r="AE16" s="23">
        <f>IF((AC16-AD16)&lt;0, "-", (AC16-AD16))</f>
        <v>0</v>
      </c>
      <c r="AF16" s="80" t="e">
        <f t="shared" si="31"/>
        <v>#DIV/0!</v>
      </c>
      <c r="AH16" s="44">
        <v>0.12242500000000001</v>
      </c>
      <c r="AI16" s="11">
        <f>IF(ISERROR((AD16-AH16)/AH16),0,(AD16-AH16)/AH16)</f>
        <v>-1</v>
      </c>
      <c r="AK16" s="129">
        <f>IF(ISERROR(VLOOKUP($B16,[1]Hedef!$A$4:$ES$45409,31,0)),0,VLOOKUP($B16,[1]Hedef!$A$4:$ES$45409,31,0))</f>
        <v>1.3000000000000002E-3</v>
      </c>
      <c r="AM16" s="22">
        <f>+U16+M16+E16+AC16</f>
        <v>0</v>
      </c>
      <c r="AN16" s="23">
        <f>V16+N16+F16+AD16+AK16</f>
        <v>3.5999999999999999E-3</v>
      </c>
      <c r="AO16" s="23" t="str">
        <f>IF((AM16-AN16)&lt;0, "-", (AM16-AN16))</f>
        <v>-</v>
      </c>
      <c r="AP16" s="80" t="e">
        <f t="shared" si="32"/>
        <v>#DIV/0!</v>
      </c>
      <c r="AR16" s="44">
        <f>+AH16+Z16+R16+J16</f>
        <v>0.26582499999999998</v>
      </c>
      <c r="AS16" s="11">
        <f t="shared" si="17"/>
        <v>-0.9864572557133453</v>
      </c>
      <c r="AT16" s="45"/>
      <c r="AU16" s="12">
        <f>AM16-'GENEL HEDEF'!M16</f>
        <v>-0.35</v>
      </c>
      <c r="AV16" s="15">
        <f>AN16-'GENEL HEDEF'!N16</f>
        <v>0</v>
      </c>
    </row>
    <row r="17" spans="2:48" ht="14" thickTop="1" thickBot="1" x14ac:dyDescent="0.2">
      <c r="B17" s="18" t="s">
        <v>55</v>
      </c>
      <c r="C17" s="2" t="s">
        <v>11</v>
      </c>
      <c r="D17" s="109"/>
      <c r="E17" s="67">
        <f>SUM(E14:E16)</f>
        <v>0</v>
      </c>
      <c r="F17" s="67">
        <f>SUM(F14:F16)</f>
        <v>3.0599999999999999E-2</v>
      </c>
      <c r="G17" s="67">
        <f>SUM(G14:G16)</f>
        <v>0</v>
      </c>
      <c r="H17" s="39" t="e">
        <f>TRUNC(IF((F17/E17)&gt;1.2,"120%",(F17/E17)),2)</f>
        <v>#DIV/0!</v>
      </c>
      <c r="I17" s="109"/>
      <c r="J17" s="115"/>
      <c r="K17" s="48"/>
      <c r="L17" s="109"/>
      <c r="M17" s="67">
        <f>SUM(M14:M16)</f>
        <v>0</v>
      </c>
      <c r="N17" s="67">
        <f>SUM(N14:N16)</f>
        <v>7.9000000000000008E-3</v>
      </c>
      <c r="O17" s="67">
        <f>SUM(O14:O16)</f>
        <v>0</v>
      </c>
      <c r="P17" s="39" t="e">
        <f>TRUNC(IF((N17/M17)&gt;1.2,"120%",(N17/M17)),2)</f>
        <v>#DIV/0!</v>
      </c>
      <c r="Q17" s="109"/>
      <c r="R17" s="115"/>
      <c r="S17" s="48"/>
      <c r="T17" s="109"/>
      <c r="U17" s="67">
        <f>SUM(U14:U16)</f>
        <v>0</v>
      </c>
      <c r="V17" s="67">
        <f>SUM(V14:V16)</f>
        <v>8.2500000000000004E-3</v>
      </c>
      <c r="W17" s="67">
        <f>SUM(W14:W16)</f>
        <v>0</v>
      </c>
      <c r="X17" s="39" t="e">
        <f>TRUNC(IF((V17/U17)&gt;1.2,"120%",(V17/U17)),2)</f>
        <v>#DIV/0!</v>
      </c>
      <c r="Y17" s="109"/>
      <c r="Z17" s="115"/>
      <c r="AA17" s="48"/>
      <c r="AB17" s="74"/>
      <c r="AC17" s="67">
        <f>SUM(AC14:AC16)</f>
        <v>0</v>
      </c>
      <c r="AD17" s="67">
        <f>SUM(AD14:AD16)</f>
        <v>1.0999999999999999E-2</v>
      </c>
      <c r="AE17" s="67">
        <f>SUM(AE14:AE16)</f>
        <v>0</v>
      </c>
      <c r="AF17" s="39" t="e">
        <f>TRUNC(IF((AD17/AC17)&gt;1.2,"120%",(AD17/AC17)),2)</f>
        <v>#DIV/0!</v>
      </c>
      <c r="AG17" s="109"/>
      <c r="AH17" s="115"/>
      <c r="AI17" s="48"/>
      <c r="AJ17" s="109"/>
      <c r="AK17" s="105">
        <f>SUM(AK14:AK16)</f>
        <v>4.8000000000000004E-3</v>
      </c>
      <c r="AL17" s="109"/>
      <c r="AM17" s="67">
        <f>SUM(AM14:AM16)</f>
        <v>0</v>
      </c>
      <c r="AN17" s="67">
        <f>SUM(AN14:AN16)</f>
        <v>6.2550000000000008E-2</v>
      </c>
      <c r="AO17" s="67">
        <f>SUM(AO14:AO16)</f>
        <v>0</v>
      </c>
      <c r="AP17" s="39" t="e">
        <f>TRUNC(IF((AN17/AM17)&gt;1.2,"120%",(AN17/AM17)),2)</f>
        <v>#DIV/0!</v>
      </c>
      <c r="AR17" s="115"/>
      <c r="AS17" s="48"/>
      <c r="AT17" s="45"/>
      <c r="AU17" s="8"/>
      <c r="AV17" s="9"/>
    </row>
    <row r="18" spans="2:48" ht="12.75" customHeight="1" thickTop="1" x14ac:dyDescent="0.15">
      <c r="B18" s="18">
        <v>1000</v>
      </c>
      <c r="C18" s="1" t="s">
        <v>105</v>
      </c>
      <c r="E18" s="22"/>
      <c r="F18" s="23">
        <f>IF(ISERROR(VLOOKUP($B18,[1]Hedef!$A$4:$ES$45409,37,0)),0,VLOOKUP($B18,[1]Hedef!$A$4:$ES$45409,37,0))</f>
        <v>9.6380000000000007E-3</v>
      </c>
      <c r="G18" s="23" t="str">
        <f>IF((E18-F18)&lt;0, "-", (E18-F18))</f>
        <v>-</v>
      </c>
      <c r="H18" s="80" t="e">
        <f t="shared" ref="H18:H21" si="33">TRUNC(IF((F18/E18)&gt;1.2,"120%",(F18/E18)),2)</f>
        <v>#DIV/0!</v>
      </c>
      <c r="J18" s="44">
        <v>0.26034400000000002</v>
      </c>
      <c r="K18" s="11">
        <f>IF(ISERROR((F18-J18)/J18),0,(F18-J18)/J18)</f>
        <v>-0.9629797498694036</v>
      </c>
      <c r="M18" s="22"/>
      <c r="N18" s="23">
        <f>IF(ISERROR(VLOOKUP($B18,[1]Hedef!$A$4:$ES$45409,35,0)),0,VLOOKUP($B18,[1]Hedef!$A$4:$ES$45409,35,0))</f>
        <v>7.1500000000000001E-3</v>
      </c>
      <c r="O18" s="23" t="str">
        <f>IF((M18-N18)&lt;0, "-", (M18-N18))</f>
        <v>-</v>
      </c>
      <c r="P18" s="80" t="e">
        <f t="shared" ref="P18:P21" si="34">TRUNC(IF((N18/M18)&gt;1.2,"120%",(N18/M18)),2)</f>
        <v>#DIV/0!</v>
      </c>
      <c r="R18" s="44">
        <v>0.37254799999999999</v>
      </c>
      <c r="S18" s="11">
        <f>IF(ISERROR((N18-R18)/R18),0,(N18-R18)/R18)</f>
        <v>-0.98080784221093664</v>
      </c>
      <c r="U18" s="22"/>
      <c r="V18" s="23">
        <f>IF(ISERROR(VLOOKUP($B18,[1]Hedef!$A$4:$ES$45409,33,0)),0,VLOOKUP($B18,[1]Hedef!$A$4:$ES$45409,33,0))</f>
        <v>3.0999999999999999E-3</v>
      </c>
      <c r="W18" s="23" t="str">
        <f>IF((U18-V18)&lt;0, "-", (U18-V18))</f>
        <v>-</v>
      </c>
      <c r="X18" s="80" t="e">
        <f t="shared" ref="X18:X21" si="35">TRUNC(IF((V18/U18)&gt;1.2,"120%",(V18/U18)),2)</f>
        <v>#DIV/0!</v>
      </c>
      <c r="Z18" s="44">
        <v>0.21501999999999999</v>
      </c>
      <c r="AA18" s="11">
        <f>IF(ISERROR((V18-Z18)/Z18),0,(V18-Z18)/Z18)</f>
        <v>-0.98558273648962891</v>
      </c>
      <c r="AB18" s="72"/>
      <c r="AC18" s="22"/>
      <c r="AD18" s="23">
        <f>IF(ISERROR(VLOOKUP($B18,[1]Hedef!$A$4:$ES$45409,29,0)),0,VLOOKUP($B18,[1]Hedef!$A$4:$ES$45409,29,0))</f>
        <v>1.005E-2</v>
      </c>
      <c r="AE18" s="23" t="str">
        <f>IF((AC18-AD18)&lt;0, "-", (AC18-AD18))</f>
        <v>-</v>
      </c>
      <c r="AF18" s="80" t="e">
        <f t="shared" ref="AF18:AF21" si="36">TRUNC(IF((AD18/AC18)&gt;1.2,"120%",(AD18/AC18)),2)</f>
        <v>#DIV/0!</v>
      </c>
      <c r="AH18" s="44">
        <v>0.24227359999999976</v>
      </c>
      <c r="AI18" s="11">
        <f>IF(ISERROR((AD18-AH18)/AH18),0,(AD18-AH18)/AH18)</f>
        <v>-0.95851797306846465</v>
      </c>
      <c r="AK18" s="129">
        <f>IF(ISERROR(VLOOKUP($B18,[1]Hedef!$A$4:$ES$45409,31,0)),0,VLOOKUP($B18,[1]Hedef!$A$4:$ES$45409,31,0))</f>
        <v>0</v>
      </c>
      <c r="AM18" s="22">
        <f>+U18+M18+E18+AC18</f>
        <v>0</v>
      </c>
      <c r="AN18" s="23">
        <f>V18+N18+F18+AD18+AK18</f>
        <v>2.9938000000000003E-2</v>
      </c>
      <c r="AO18" s="23" t="str">
        <f>IF((AM18-AN18)&lt;0, "-", (AM18-AN18))</f>
        <v>-</v>
      </c>
      <c r="AP18" s="80" t="e">
        <f t="shared" ref="AP18:AP21" si="37">TRUNC(IF((AN18/AM18)&gt;1.2,"120%",(AN18/AM18)),2)</f>
        <v>#DIV/0!</v>
      </c>
      <c r="AR18" s="44">
        <f>+AH18+Z18+R18+J18</f>
        <v>1.0901855999999999</v>
      </c>
      <c r="AS18" s="11">
        <f>IF(ISERROR((AN18-AR18)/AR18),0,(AN18-AR18)/AR18)</f>
        <v>-0.97253862094674515</v>
      </c>
      <c r="AT18" s="45"/>
      <c r="AU18" s="12">
        <f>AM18-'GENEL HEDEF'!M18</f>
        <v>-1.1299999999999999</v>
      </c>
      <c r="AV18" s="15">
        <f>AN18-'GENEL HEDEF'!N18</f>
        <v>0</v>
      </c>
    </row>
    <row r="19" spans="2:48" ht="12.75" customHeight="1" thickBot="1" x14ac:dyDescent="0.2">
      <c r="B19" s="18">
        <v>2000</v>
      </c>
      <c r="C19" s="1" t="s">
        <v>12</v>
      </c>
      <c r="E19" s="22"/>
      <c r="F19" s="23">
        <f>IF(ISERROR(VLOOKUP($B19,[1]Hedef!$A$4:$ES$45409,37,0)),0,VLOOKUP($B19,[1]Hedef!$A$4:$ES$45409,37,0))</f>
        <v>6.6700000000000006E-3</v>
      </c>
      <c r="G19" s="23" t="str">
        <f>IF((E19-F19)&lt;0, "-", (E19-F19))</f>
        <v>-</v>
      </c>
      <c r="H19" s="80" t="e">
        <f t="shared" si="33"/>
        <v>#DIV/0!</v>
      </c>
      <c r="J19" s="44">
        <v>0.112425</v>
      </c>
      <c r="K19" s="11">
        <f>IF(ISERROR((F19-J19)/J19),0,(F19-J19)/J19)</f>
        <v>-0.94067155881698916</v>
      </c>
      <c r="M19" s="22"/>
      <c r="N19" s="23">
        <f>IF(ISERROR(VLOOKUP($B19,[1]Hedef!$A$4:$ES$45409,35,0)),0,VLOOKUP($B19,[1]Hedef!$A$4:$ES$45409,35,0))</f>
        <v>5.4449999999999993E-3</v>
      </c>
      <c r="O19" s="23" t="str">
        <f>IF((M19-N19)&lt;0, "-", (M19-N19))</f>
        <v>-</v>
      </c>
      <c r="P19" s="80" t="e">
        <f t="shared" si="34"/>
        <v>#DIV/0!</v>
      </c>
      <c r="R19" s="44">
        <v>0.16561499999999996</v>
      </c>
      <c r="S19" s="11">
        <f>IF(ISERROR((N19-R19)/R19),0,(N19-R19)/R19)</f>
        <v>-0.96712254324789415</v>
      </c>
      <c r="U19" s="22"/>
      <c r="V19" s="23">
        <f>IF(ISERROR(VLOOKUP($B19,[1]Hedef!$A$4:$ES$45409,33,0)),0,VLOOKUP($B19,[1]Hedef!$A$4:$ES$45409,33,0))</f>
        <v>3.9300000000000003E-3</v>
      </c>
      <c r="W19" s="23" t="str">
        <f>IF((U19-V19)&lt;0, "-", (U19-V19))</f>
        <v>-</v>
      </c>
      <c r="X19" s="80" t="e">
        <f t="shared" si="35"/>
        <v>#DIV/0!</v>
      </c>
      <c r="Z19" s="44">
        <v>6.0229999999999999E-2</v>
      </c>
      <c r="AA19" s="11">
        <f>IF(ISERROR((V19-Z19)/Z19),0,(V19-Z19)/Z19)</f>
        <v>-0.93475012452266304</v>
      </c>
      <c r="AB19" s="72"/>
      <c r="AC19" s="22"/>
      <c r="AD19" s="23">
        <f>IF(ISERROR(VLOOKUP($B19,[1]Hedef!$A$4:$ES$45409,29,0)),0,VLOOKUP($B19,[1]Hedef!$A$4:$ES$45409,29,0))</f>
        <v>5.4000000000000003E-3</v>
      </c>
      <c r="AE19" s="23" t="str">
        <f>IF((AC19-AD19)&lt;0, "-", (AC19-AD19))</f>
        <v>-</v>
      </c>
      <c r="AF19" s="80" t="e">
        <f t="shared" si="36"/>
        <v>#DIV/0!</v>
      </c>
      <c r="AH19" s="44">
        <v>0.1087499999999999</v>
      </c>
      <c r="AI19" s="11">
        <f>IF(ISERROR((AD19-AH19)/AH19),0,(AD19-AH19)/AH19)</f>
        <v>-0.95034482758620686</v>
      </c>
      <c r="AK19" s="129">
        <f>IF(ISERROR(VLOOKUP($B19,[1]Hedef!$A$4:$ES$45409,31,0)),0,VLOOKUP($B19,[1]Hedef!$A$4:$ES$45409,31,0))</f>
        <v>0</v>
      </c>
      <c r="AM19" s="22">
        <f>+U19+M19+E19+AC19</f>
        <v>0</v>
      </c>
      <c r="AN19" s="23">
        <f>V19+N19+F19+AD19+AK19</f>
        <v>2.1444999999999999E-2</v>
      </c>
      <c r="AO19" s="23" t="str">
        <f>IF((AM19-AN19)&lt;0, "-", (AM19-AN19))</f>
        <v>-</v>
      </c>
      <c r="AP19" s="80" t="e">
        <f t="shared" si="37"/>
        <v>#DIV/0!</v>
      </c>
      <c r="AR19" s="44">
        <f>+AH19+Z19+R19+J19</f>
        <v>0.44701999999999986</v>
      </c>
      <c r="AS19" s="11">
        <f>IF(ISERROR((AN19-AR19)/AR19),0,(AN19-AR19)/AR19)</f>
        <v>-0.95202675495503553</v>
      </c>
      <c r="AT19" s="45"/>
      <c r="AU19" s="12">
        <f>AM19-'GENEL HEDEF'!M19</f>
        <v>-0.57999999999999996</v>
      </c>
      <c r="AV19" s="15">
        <f>AN19-'GENEL HEDEF'!N19</f>
        <v>0</v>
      </c>
    </row>
    <row r="20" spans="2:48" ht="14" thickTop="1" thickBot="1" x14ac:dyDescent="0.2">
      <c r="B20" s="18" t="s">
        <v>56</v>
      </c>
      <c r="C20" s="2" t="s">
        <v>13</v>
      </c>
      <c r="D20" s="109"/>
      <c r="E20" s="67">
        <f>SUM(E18:E19)</f>
        <v>0</v>
      </c>
      <c r="F20" s="67">
        <f>SUM(F18:F19)</f>
        <v>1.6308000000000003E-2</v>
      </c>
      <c r="G20" s="67">
        <f>SUM(G18:G19)</f>
        <v>0</v>
      </c>
      <c r="H20" s="39" t="e">
        <f t="shared" si="33"/>
        <v>#DIV/0!</v>
      </c>
      <c r="I20" s="109"/>
      <c r="J20" s="115"/>
      <c r="K20" s="48"/>
      <c r="L20" s="109"/>
      <c r="M20" s="67">
        <f>SUM(M18:M19)</f>
        <v>0</v>
      </c>
      <c r="N20" s="67">
        <f>SUM(N18:N19)</f>
        <v>1.2594999999999999E-2</v>
      </c>
      <c r="O20" s="67">
        <f>SUM(O18:O19)</f>
        <v>0</v>
      </c>
      <c r="P20" s="39" t="e">
        <f t="shared" si="34"/>
        <v>#DIV/0!</v>
      </c>
      <c r="Q20" s="109"/>
      <c r="R20" s="115"/>
      <c r="S20" s="48"/>
      <c r="T20" s="109"/>
      <c r="U20" s="67">
        <f>SUM(U18:U19)</f>
        <v>0</v>
      </c>
      <c r="V20" s="67">
        <f>SUM(V18:V19)</f>
        <v>7.0299999999999998E-3</v>
      </c>
      <c r="W20" s="67">
        <f>SUM(W18:W19)</f>
        <v>0</v>
      </c>
      <c r="X20" s="39" t="e">
        <f t="shared" si="35"/>
        <v>#DIV/0!</v>
      </c>
      <c r="Y20" s="109"/>
      <c r="Z20" s="115"/>
      <c r="AA20" s="48"/>
      <c r="AB20" s="74"/>
      <c r="AC20" s="67">
        <f>SUM(AC18:AC19)</f>
        <v>0</v>
      </c>
      <c r="AD20" s="67">
        <f>SUM(AD18:AD19)</f>
        <v>1.545E-2</v>
      </c>
      <c r="AE20" s="67">
        <f>SUM(AE18:AE19)</f>
        <v>0</v>
      </c>
      <c r="AF20" s="39" t="e">
        <f t="shared" si="36"/>
        <v>#DIV/0!</v>
      </c>
      <c r="AG20" s="109"/>
      <c r="AH20" s="115"/>
      <c r="AI20" s="48"/>
      <c r="AJ20" s="109"/>
      <c r="AK20" s="105">
        <f>SUM(AK18:AK19)</f>
        <v>0</v>
      </c>
      <c r="AL20" s="109"/>
      <c r="AM20" s="67">
        <f>SUM(AM18:AM19)</f>
        <v>0</v>
      </c>
      <c r="AN20" s="67">
        <f>SUM(AN18:AN19)</f>
        <v>5.1382999999999998E-2</v>
      </c>
      <c r="AO20" s="67">
        <f>SUM(AO18:AO19)</f>
        <v>0</v>
      </c>
      <c r="AP20" s="39" t="e">
        <f t="shared" si="37"/>
        <v>#DIV/0!</v>
      </c>
      <c r="AR20" s="115"/>
      <c r="AS20" s="48"/>
      <c r="AT20" s="45"/>
      <c r="AU20" s="8"/>
      <c r="AV20" s="9"/>
    </row>
    <row r="21" spans="2:48" ht="14" thickTop="1" thickBot="1" x14ac:dyDescent="0.2">
      <c r="B21" s="18"/>
      <c r="C21" s="2" t="s">
        <v>14</v>
      </c>
      <c r="D21" s="109"/>
      <c r="E21" s="67">
        <f>E20+E17</f>
        <v>0</v>
      </c>
      <c r="F21" s="110">
        <f>F20+F17</f>
        <v>4.6908000000000005E-2</v>
      </c>
      <c r="G21" s="110">
        <f>G20+G17</f>
        <v>0</v>
      </c>
      <c r="H21" s="39" t="e">
        <f t="shared" si="33"/>
        <v>#DIV/0!</v>
      </c>
      <c r="I21" s="109"/>
      <c r="J21" s="115"/>
      <c r="K21" s="48"/>
      <c r="L21" s="109"/>
      <c r="M21" s="67">
        <f>M20+M17</f>
        <v>0</v>
      </c>
      <c r="N21" s="110">
        <f>N20+N17</f>
        <v>2.0494999999999999E-2</v>
      </c>
      <c r="O21" s="110">
        <f>O20+O17</f>
        <v>0</v>
      </c>
      <c r="P21" s="39" t="e">
        <f t="shared" si="34"/>
        <v>#DIV/0!</v>
      </c>
      <c r="Q21" s="109"/>
      <c r="R21" s="115"/>
      <c r="S21" s="48"/>
      <c r="T21" s="109"/>
      <c r="U21" s="67">
        <f>U20+U17</f>
        <v>0</v>
      </c>
      <c r="V21" s="110">
        <f>V20+V17</f>
        <v>1.528E-2</v>
      </c>
      <c r="W21" s="110">
        <f>W20+W17</f>
        <v>0</v>
      </c>
      <c r="X21" s="39" t="e">
        <f t="shared" si="35"/>
        <v>#DIV/0!</v>
      </c>
      <c r="Y21" s="109"/>
      <c r="Z21" s="115"/>
      <c r="AA21" s="48"/>
      <c r="AB21" s="74"/>
      <c r="AC21" s="67">
        <f>AC20+AC17</f>
        <v>0</v>
      </c>
      <c r="AD21" s="67">
        <f>AD20+AD17</f>
        <v>2.6450000000000001E-2</v>
      </c>
      <c r="AE21" s="110">
        <f>AE20+AE17</f>
        <v>0</v>
      </c>
      <c r="AF21" s="39" t="e">
        <f t="shared" si="36"/>
        <v>#DIV/0!</v>
      </c>
      <c r="AG21" s="109"/>
      <c r="AH21" s="115"/>
      <c r="AI21" s="48"/>
      <c r="AJ21" s="109"/>
      <c r="AK21" s="105">
        <f>AK20+AK17</f>
        <v>4.8000000000000004E-3</v>
      </c>
      <c r="AL21" s="109"/>
      <c r="AM21" s="67">
        <f>AM20+AM17</f>
        <v>0</v>
      </c>
      <c r="AN21" s="110">
        <f>AN20+AN17</f>
        <v>0.11393300000000001</v>
      </c>
      <c r="AO21" s="110">
        <f>AO20+AO17</f>
        <v>0</v>
      </c>
      <c r="AP21" s="39" t="e">
        <f t="shared" si="37"/>
        <v>#DIV/0!</v>
      </c>
      <c r="AR21" s="115"/>
      <c r="AS21" s="48"/>
      <c r="AT21" s="45"/>
      <c r="AU21" s="8"/>
      <c r="AV21" s="9"/>
    </row>
    <row r="22" spans="2:48" ht="12.75" customHeight="1" thickTop="1" x14ac:dyDescent="0.15">
      <c r="B22" s="31">
        <v>6000</v>
      </c>
      <c r="C22" s="1" t="s">
        <v>15</v>
      </c>
      <c r="E22" s="22"/>
      <c r="F22" s="23">
        <f>IF(ISERROR(VLOOKUP($B22,[1]Hedef!$A$4:$ES$45409,37,0)),0,VLOOKUP($B22,[1]Hedef!$A$4:$ES$45409,37,0))</f>
        <v>0.41860000000000003</v>
      </c>
      <c r="G22" s="23" t="str">
        <f t="shared" ref="G22:G29" si="38">IF((E22-F22)&lt;0, "-", (E22-F22))</f>
        <v>-</v>
      </c>
      <c r="H22" s="80" t="e">
        <f t="shared" ref="H22:H29" si="39">TRUNC(IF((F22/E22)&gt;1.2,"120%",(F22/E22)),2)</f>
        <v>#DIV/0!</v>
      </c>
      <c r="J22" s="44">
        <v>6.6585999999999892</v>
      </c>
      <c r="K22" s="11">
        <f t="shared" ref="K22:K56" si="40">IF(ISERROR((F22-J22)/J22),0,(F22-J22)/J22)</f>
        <v>-0.93713393205778983</v>
      </c>
      <c r="M22" s="22"/>
      <c r="N22" s="23">
        <f>IF(ISERROR(VLOOKUP($B22,[1]Hedef!$A$4:$ES$45409,35,0)),0,VLOOKUP($B22,[1]Hedef!$A$4:$ES$45409,35,0))</f>
        <v>0.18359999999999999</v>
      </c>
      <c r="O22" s="23" t="str">
        <f t="shared" ref="O22:O29" si="41">IF((M22-N22)&lt;0, "-", (M22-N22))</f>
        <v>-</v>
      </c>
      <c r="P22" s="80" t="e">
        <f t="shared" ref="P22:P29" si="42">TRUNC(IF((N22/M22)&gt;1.2,"120%",(N22/M22)),2)</f>
        <v>#DIV/0!</v>
      </c>
      <c r="R22" s="44">
        <v>4.9922000000000004</v>
      </c>
      <c r="S22" s="11">
        <f t="shared" ref="S22:S56" si="43">IF(ISERROR((N22-R22)/R22),0,(N22-R22)/R22)</f>
        <v>-0.96322262729858577</v>
      </c>
      <c r="U22" s="22"/>
      <c r="V22" s="23">
        <f>IF(ISERROR(VLOOKUP($B22,[1]Hedef!$A$4:$ES$45409,33,0)),0,VLOOKUP($B22,[1]Hedef!$A$4:$ES$45409,33,0))</f>
        <v>5.8399999999999994E-2</v>
      </c>
      <c r="W22" s="23" t="str">
        <f t="shared" ref="W22:W29" si="44">IF((U22-V22)&lt;0, "-", (U22-V22))</f>
        <v>-</v>
      </c>
      <c r="X22" s="80" t="e">
        <f t="shared" ref="X22:X29" si="45">TRUNC(IF((V22/U22)&gt;1.2,"120%",(V22/U22)),2)</f>
        <v>#DIV/0!</v>
      </c>
      <c r="Z22" s="44">
        <v>1.9230000000000012</v>
      </c>
      <c r="AA22" s="11">
        <f t="shared" ref="AA22:AA56" si="46">IF(ISERROR((V22-Z22)/Z22),0,(V22-Z22)/Z22)</f>
        <v>-0.96963078523140922</v>
      </c>
      <c r="AB22" s="72"/>
      <c r="AC22" s="22"/>
      <c r="AD22" s="23">
        <f>IF(ISERROR(VLOOKUP($B22,[1]Hedef!$A$4:$ES$45409,29,0)),0,VLOOKUP($B22,[1]Hedef!$A$4:$ES$45409,29,0))</f>
        <v>0.1226</v>
      </c>
      <c r="AE22" s="23" t="str">
        <f t="shared" ref="AE22:AE29" si="47">IF((AC22-AD22)&lt;0, "-", (AC22-AD22))</f>
        <v>-</v>
      </c>
      <c r="AF22" s="80" t="e">
        <f t="shared" ref="AF22:AF29" si="48">TRUNC(IF((AD22/AC22)&gt;1.2,"120%",(AD22/AC22)),2)</f>
        <v>#DIV/0!</v>
      </c>
      <c r="AH22" s="44">
        <v>3.3525999999999998</v>
      </c>
      <c r="AI22" s="11">
        <f t="shared" ref="AI22:AI29" si="49">IF(ISERROR((AD22-AH22)/AH22),0,(AD22-AH22)/AH22)</f>
        <v>-0.96343136670047136</v>
      </c>
      <c r="AK22" s="129">
        <f>IF(ISERROR(VLOOKUP($B22,[1]Hedef!$A$4:$ES$45409,31,0)),0,VLOOKUP($B22,[1]Hedef!$A$4:$ES$45409,31,0))</f>
        <v>0</v>
      </c>
      <c r="AM22" s="22">
        <f t="shared" ref="AM22:AM29" si="50">+U22+M22+E22+AC22</f>
        <v>0</v>
      </c>
      <c r="AN22" s="23">
        <f t="shared" ref="AN22:AN29" si="51">V22+N22+F22+AD22+AK22</f>
        <v>0.78320000000000012</v>
      </c>
      <c r="AO22" s="23" t="str">
        <f t="shared" ref="AO22:AO29" si="52">IF((AM22-AN22)&lt;0, "-", (AM22-AN22))</f>
        <v>-</v>
      </c>
      <c r="AP22" s="80" t="e">
        <f t="shared" ref="AP22:AP29" si="53">TRUNC(IF((AN22/AM22)&gt;1.2,"120%",(AN22/AM22)),2)</f>
        <v>#DIV/0!</v>
      </c>
      <c r="AR22" s="44">
        <f t="shared" ref="AR22:AR29" si="54">+AH22+Z22+R22+J22</f>
        <v>16.92639999999999</v>
      </c>
      <c r="AS22" s="11">
        <f t="shared" ref="AS22:AS56" si="55">IF(ISERROR((AN22-AR22)/AR22),0,(AN22-AR22)/AR22)</f>
        <v>-0.95372908592494554</v>
      </c>
      <c r="AT22" s="45"/>
      <c r="AU22" s="12">
        <f>AM22-'GENEL HEDEF'!M22</f>
        <v>-16.25</v>
      </c>
      <c r="AV22" s="15">
        <f>AN22-'GENEL HEDEF'!N22</f>
        <v>0</v>
      </c>
    </row>
    <row r="23" spans="2:48" ht="12" customHeight="1" x14ac:dyDescent="0.15">
      <c r="B23" s="18">
        <v>10</v>
      </c>
      <c r="C23" s="1" t="s">
        <v>16</v>
      </c>
      <c r="E23" s="22"/>
      <c r="F23" s="23">
        <f>IF(ISERROR(VLOOKUP($B23,[1]Hedef!$A$4:$ES$45409,37,0)),0,VLOOKUP($B23,[1]Hedef!$A$4:$ES$45409,37,0))</f>
        <v>0.26590000000000003</v>
      </c>
      <c r="G23" s="23" t="str">
        <f t="shared" si="38"/>
        <v>-</v>
      </c>
      <c r="H23" s="80" t="e">
        <f t="shared" si="39"/>
        <v>#DIV/0!</v>
      </c>
      <c r="J23" s="44">
        <v>5.0060999999999991</v>
      </c>
      <c r="K23" s="11">
        <f t="shared" si="40"/>
        <v>-0.94688480054333712</v>
      </c>
      <c r="M23" s="22"/>
      <c r="N23" s="23">
        <f>IF(ISERROR(VLOOKUP($B23,[1]Hedef!$A$4:$ES$45409,35,0)),0,VLOOKUP($B23,[1]Hedef!$A$4:$ES$45409,35,0))</f>
        <v>0.32890000000000003</v>
      </c>
      <c r="O23" s="23" t="str">
        <f t="shared" si="41"/>
        <v>-</v>
      </c>
      <c r="P23" s="80" t="e">
        <f t="shared" si="42"/>
        <v>#DIV/0!</v>
      </c>
      <c r="R23" s="44">
        <v>3.9664500000000014</v>
      </c>
      <c r="S23" s="11">
        <f t="shared" si="43"/>
        <v>-0.91707950434267427</v>
      </c>
      <c r="U23" s="22"/>
      <c r="V23" s="23">
        <f>IF(ISERROR(VLOOKUP($B23,[1]Hedef!$A$4:$ES$45409,33,0)),0,VLOOKUP($B23,[1]Hedef!$A$4:$ES$45409,33,0))</f>
        <v>3.9300000000000002E-2</v>
      </c>
      <c r="W23" s="23" t="str">
        <f t="shared" si="44"/>
        <v>-</v>
      </c>
      <c r="X23" s="80" t="e">
        <f t="shared" si="45"/>
        <v>#DIV/0!</v>
      </c>
      <c r="Z23" s="44">
        <v>2.3590499999999999</v>
      </c>
      <c r="AA23" s="11">
        <f t="shared" si="46"/>
        <v>-0.9833407515737268</v>
      </c>
      <c r="AB23" s="72"/>
      <c r="AC23" s="22"/>
      <c r="AD23" s="23">
        <f>IF(ISERROR(VLOOKUP($B23,[1]Hedef!$A$4:$ES$45409,29,0)),0,VLOOKUP($B23,[1]Hedef!$A$4:$ES$45409,29,0))</f>
        <v>0.2908</v>
      </c>
      <c r="AE23" s="23" t="str">
        <f t="shared" si="47"/>
        <v>-</v>
      </c>
      <c r="AF23" s="80" t="e">
        <f t="shared" si="48"/>
        <v>#DIV/0!</v>
      </c>
      <c r="AH23" s="44">
        <v>3.6425000000000001</v>
      </c>
      <c r="AI23" s="11">
        <f t="shared" si="49"/>
        <v>-0.92016472203157174</v>
      </c>
      <c r="AK23" s="129">
        <f>IF(ISERROR(VLOOKUP($B23,[1]Hedef!$A$4:$ES$45409,31,0)),0,VLOOKUP($B23,[1]Hedef!$A$4:$ES$45409,31,0))</f>
        <v>6.0000000000000001E-3</v>
      </c>
      <c r="AM23" s="22">
        <f t="shared" si="50"/>
        <v>0</v>
      </c>
      <c r="AN23" s="23">
        <f t="shared" si="51"/>
        <v>0.93090000000000006</v>
      </c>
      <c r="AO23" s="23" t="str">
        <f t="shared" si="52"/>
        <v>-</v>
      </c>
      <c r="AP23" s="80" t="e">
        <f t="shared" si="53"/>
        <v>#DIV/0!</v>
      </c>
      <c r="AR23" s="44">
        <f t="shared" si="54"/>
        <v>14.9741</v>
      </c>
      <c r="AS23" s="11">
        <f t="shared" si="55"/>
        <v>-0.93783265772233393</v>
      </c>
      <c r="AT23" s="45"/>
      <c r="AU23" s="12">
        <f>AM23-'GENEL HEDEF'!M23</f>
        <v>-16.600000000000001</v>
      </c>
      <c r="AV23" s="15">
        <f>AN23-'GENEL HEDEF'!N23</f>
        <v>0</v>
      </c>
    </row>
    <row r="24" spans="2:48" ht="12" customHeight="1" x14ac:dyDescent="0.15">
      <c r="B24" s="31">
        <v>60</v>
      </c>
      <c r="C24" s="1" t="s">
        <v>62</v>
      </c>
      <c r="E24" s="22"/>
      <c r="F24" s="23">
        <f>IF(ISERROR(VLOOKUP($B24,[1]Hedef!$A$4:$ES$45409,37,0)),0,VLOOKUP($B24,[1]Hedef!$A$4:$ES$45409,37,0))</f>
        <v>0.11588000000000001</v>
      </c>
      <c r="G24" s="23" t="str">
        <f>IF((E24-F24)&lt;0, "-", (E24-F24))</f>
        <v>-</v>
      </c>
      <c r="H24" s="80" t="e">
        <f t="shared" si="39"/>
        <v>#DIV/0!</v>
      </c>
      <c r="J24" s="44">
        <v>1.1319599999999999</v>
      </c>
      <c r="K24" s="11">
        <f>IF(ISERROR((F24-J24)/J24),0,(F24-J24)/J24)</f>
        <v>-0.89762889148026437</v>
      </c>
      <c r="M24" s="22"/>
      <c r="N24" s="23">
        <f>IF(ISERROR(VLOOKUP($B24,[1]Hedef!$A$4:$ES$45409,35,0)),0,VLOOKUP($B24,[1]Hedef!$A$4:$ES$45409,35,0))</f>
        <v>4.8799999999999996E-2</v>
      </c>
      <c r="O24" s="23" t="str">
        <f>IF((M24-N24)&lt;0, "-", (M24-N24))</f>
        <v>-</v>
      </c>
      <c r="P24" s="80" t="e">
        <f t="shared" si="42"/>
        <v>#DIV/0!</v>
      </c>
      <c r="R24" s="44">
        <v>0.61280000000000001</v>
      </c>
      <c r="S24" s="11">
        <f>IF(ISERROR((N24-R24)/R24),0,(N24-R24)/R24)</f>
        <v>-0.92036553524804188</v>
      </c>
      <c r="U24" s="22"/>
      <c r="V24" s="23">
        <f>IF(ISERROR(VLOOKUP($B24,[1]Hedef!$A$4:$ES$45409,33,0)),0,VLOOKUP($B24,[1]Hedef!$A$4:$ES$45409,33,0))</f>
        <v>2.12E-2</v>
      </c>
      <c r="W24" s="23" t="str">
        <f>IF((U24-V24)&lt;0, "-", (U24-V24))</f>
        <v>-</v>
      </c>
      <c r="X24" s="80" t="e">
        <f t="shared" si="45"/>
        <v>#DIV/0!</v>
      </c>
      <c r="Z24" s="44">
        <v>0.53836000000000006</v>
      </c>
      <c r="AA24" s="11">
        <f>IF(ISERROR((V24-Z24)/Z24),0,(V24-Z24)/Z24)</f>
        <v>-0.96062114570176094</v>
      </c>
      <c r="AB24" s="72"/>
      <c r="AC24" s="22"/>
      <c r="AD24" s="23">
        <f>IF(ISERROR(VLOOKUP($B24,[1]Hedef!$A$4:$ES$45409,29,0)),0,VLOOKUP($B24,[1]Hedef!$A$4:$ES$45409,29,0))</f>
        <v>2.4199999999999999E-2</v>
      </c>
      <c r="AE24" s="23" t="str">
        <f>IF((AC24-AD24)&lt;0, "-", (AC24-AD24))</f>
        <v>-</v>
      </c>
      <c r="AF24" s="80" t="e">
        <f t="shared" si="48"/>
        <v>#DIV/0!</v>
      </c>
      <c r="AH24" s="44">
        <v>0.54255999999999993</v>
      </c>
      <c r="AI24" s="11">
        <f>IF(ISERROR((AD24-AH24)/AH24),0,(AD24-AH24)/AH24)</f>
        <v>-0.95539663815983489</v>
      </c>
      <c r="AK24" s="129">
        <f>IF(ISERROR(VLOOKUP($B24,[1]Hedef!$A$4:$ES$45409,31,0)),0,VLOOKUP($B24,[1]Hedef!$A$4:$ES$45409,31,0))</f>
        <v>5.8999999999999999E-3</v>
      </c>
      <c r="AM24" s="22">
        <f t="shared" si="50"/>
        <v>0</v>
      </c>
      <c r="AN24" s="23">
        <f t="shared" si="51"/>
        <v>0.21597999999999998</v>
      </c>
      <c r="AO24" s="23" t="str">
        <f>IF((AM24-AN24)&lt;0, "-", (AM24-AN24))</f>
        <v>-</v>
      </c>
      <c r="AP24" s="80" t="e">
        <f t="shared" si="53"/>
        <v>#DIV/0!</v>
      </c>
      <c r="AR24" s="44">
        <f t="shared" si="54"/>
        <v>2.8256799999999997</v>
      </c>
      <c r="AS24" s="11">
        <f>IF(ISERROR((AN24-AR24)/AR24),0,(AN24-AR24)/AR24)</f>
        <v>-0.92356530109566548</v>
      </c>
      <c r="AT24" s="45"/>
      <c r="AU24" s="12">
        <f>AM24-'GENEL HEDEF'!M24</f>
        <v>-4.22</v>
      </c>
      <c r="AV24" s="15">
        <f>AN24-'GENEL HEDEF'!N24</f>
        <v>0</v>
      </c>
    </row>
    <row r="25" spans="2:48" ht="12" customHeight="1" x14ac:dyDescent="0.15">
      <c r="B25" s="31">
        <v>45</v>
      </c>
      <c r="C25" s="1" t="s">
        <v>17</v>
      </c>
      <c r="E25" s="22"/>
      <c r="F25" s="23">
        <f>IF(ISERROR(VLOOKUP($B25,[1]Hedef!$A$4:$ES$45409,37,0)),0,VLOOKUP($B25,[1]Hedef!$A$4:$ES$45409,37,0))</f>
        <v>0.19450000000000001</v>
      </c>
      <c r="G25" s="23" t="str">
        <f t="shared" si="38"/>
        <v>-</v>
      </c>
      <c r="H25" s="80" t="e">
        <f t="shared" si="39"/>
        <v>#DIV/0!</v>
      </c>
      <c r="J25" s="44">
        <v>1.8910000000000002</v>
      </c>
      <c r="K25" s="11">
        <f t="shared" si="40"/>
        <v>-0.89714436805922804</v>
      </c>
      <c r="M25" s="22"/>
      <c r="N25" s="23">
        <f>IF(ISERROR(VLOOKUP($B25,[1]Hedef!$A$4:$ES$45409,35,0)),0,VLOOKUP($B25,[1]Hedef!$A$4:$ES$45409,35,0))</f>
        <v>0.10650000000000003</v>
      </c>
      <c r="O25" s="23" t="str">
        <f t="shared" si="41"/>
        <v>-</v>
      </c>
      <c r="P25" s="80" t="e">
        <f t="shared" si="42"/>
        <v>#DIV/0!</v>
      </c>
      <c r="R25" s="44">
        <v>1.8855000000000002</v>
      </c>
      <c r="S25" s="11">
        <f t="shared" si="43"/>
        <v>-0.94351630867143987</v>
      </c>
      <c r="U25" s="22"/>
      <c r="V25" s="23">
        <f>IF(ISERROR(VLOOKUP($B25,[1]Hedef!$A$4:$ES$45409,33,0)),0,VLOOKUP($B25,[1]Hedef!$A$4:$ES$45409,33,0))</f>
        <v>8.1500000000000003E-2</v>
      </c>
      <c r="W25" s="23" t="str">
        <f t="shared" si="44"/>
        <v>-</v>
      </c>
      <c r="X25" s="80" t="e">
        <f t="shared" si="45"/>
        <v>#DIV/0!</v>
      </c>
      <c r="Z25" s="44">
        <v>1.0694999999999997</v>
      </c>
      <c r="AA25" s="11">
        <f t="shared" si="46"/>
        <v>-0.92379616643291251</v>
      </c>
      <c r="AB25" s="72"/>
      <c r="AC25" s="22"/>
      <c r="AD25" s="23">
        <f>IF(ISERROR(VLOOKUP($B25,[1]Hedef!$A$4:$ES$45409,29,0)),0,VLOOKUP($B25,[1]Hedef!$A$4:$ES$45409,29,0))</f>
        <v>1.9E-2</v>
      </c>
      <c r="AE25" s="23" t="str">
        <f t="shared" si="47"/>
        <v>-</v>
      </c>
      <c r="AF25" s="80" t="e">
        <f t="shared" si="48"/>
        <v>#DIV/0!</v>
      </c>
      <c r="AH25" s="44">
        <v>1.3754999999999999</v>
      </c>
      <c r="AI25" s="11">
        <f t="shared" si="49"/>
        <v>-0.98618684114867328</v>
      </c>
      <c r="AK25" s="129">
        <f>IF(ISERROR(VLOOKUP($B25,[1]Hedef!$A$4:$ES$45409,31,0)),0,VLOOKUP($B25,[1]Hedef!$A$4:$ES$45409,31,0))</f>
        <v>6.5000000000000006E-3</v>
      </c>
      <c r="AM25" s="22">
        <f t="shared" si="50"/>
        <v>0</v>
      </c>
      <c r="AN25" s="23">
        <f t="shared" si="51"/>
        <v>0.40800000000000008</v>
      </c>
      <c r="AO25" s="23" t="str">
        <f t="shared" si="52"/>
        <v>-</v>
      </c>
      <c r="AP25" s="80" t="e">
        <f t="shared" si="53"/>
        <v>#DIV/0!</v>
      </c>
      <c r="AR25" s="44">
        <f t="shared" si="54"/>
        <v>6.2214999999999998</v>
      </c>
      <c r="AS25" s="11">
        <f t="shared" si="55"/>
        <v>-0.93442095957566496</v>
      </c>
      <c r="AT25" s="45"/>
      <c r="AU25" s="12">
        <f>AM25-'GENEL HEDEF'!M25</f>
        <v>-9.5</v>
      </c>
      <c r="AV25" s="15">
        <f>AN25-'GENEL HEDEF'!N25</f>
        <v>0</v>
      </c>
    </row>
    <row r="26" spans="2:48" ht="12" customHeight="1" x14ac:dyDescent="0.15">
      <c r="B26" s="31">
        <v>12</v>
      </c>
      <c r="C26" s="1" t="s">
        <v>18</v>
      </c>
      <c r="E26" s="22"/>
      <c r="F26" s="23">
        <f>IF(ISERROR(VLOOKUP($B26,[1]Hedef!$A$4:$ES$45409,37,0)),0,VLOOKUP($B26,[1]Hedef!$A$4:$ES$45409,37,0))</f>
        <v>4.4350000000000001E-2</v>
      </c>
      <c r="G26" s="23" t="str">
        <f t="shared" si="38"/>
        <v>-</v>
      </c>
      <c r="H26" s="80" t="e">
        <f t="shared" si="39"/>
        <v>#DIV/0!</v>
      </c>
      <c r="J26" s="44">
        <v>0.17329999999999998</v>
      </c>
      <c r="K26" s="11">
        <f t="shared" si="40"/>
        <v>-0.74408540103866128</v>
      </c>
      <c r="M26" s="22"/>
      <c r="N26" s="23">
        <f>IF(ISERROR(VLOOKUP($B26,[1]Hedef!$A$4:$ES$45409,35,0)),0,VLOOKUP($B26,[1]Hedef!$A$4:$ES$45409,35,0))</f>
        <v>5.1000000000000004E-3</v>
      </c>
      <c r="O26" s="23" t="str">
        <f t="shared" si="41"/>
        <v>-</v>
      </c>
      <c r="P26" s="80" t="e">
        <f t="shared" si="42"/>
        <v>#DIV/0!</v>
      </c>
      <c r="R26" s="44">
        <v>1.1400000000000002E-2</v>
      </c>
      <c r="S26" s="11">
        <f t="shared" si="43"/>
        <v>-0.55263157894736847</v>
      </c>
      <c r="U26" s="22"/>
      <c r="V26" s="23">
        <f>IF(ISERROR(VLOOKUP($B26,[1]Hedef!$A$4:$ES$45409,33,0)),0,VLOOKUP($B26,[1]Hedef!$A$4:$ES$45409,33,0))</f>
        <v>5.4000000000000003E-3</v>
      </c>
      <c r="W26" s="23" t="str">
        <f t="shared" si="44"/>
        <v>-</v>
      </c>
      <c r="X26" s="80" t="e">
        <f t="shared" si="45"/>
        <v>#DIV/0!</v>
      </c>
      <c r="Z26" s="44">
        <v>7.4999999999999997E-2</v>
      </c>
      <c r="AA26" s="11">
        <f t="shared" si="46"/>
        <v>-0.92799999999999994</v>
      </c>
      <c r="AB26" s="72"/>
      <c r="AC26" s="22"/>
      <c r="AD26" s="23">
        <f>IF(ISERROR(VLOOKUP($B26,[1]Hedef!$A$4:$ES$45409,29,0)),0,VLOOKUP($B26,[1]Hedef!$A$4:$ES$45409,29,0))</f>
        <v>1.3599999999999999E-2</v>
      </c>
      <c r="AE26" s="23" t="str">
        <f t="shared" si="47"/>
        <v>-</v>
      </c>
      <c r="AF26" s="80" t="e">
        <f t="shared" si="48"/>
        <v>#DIV/0!</v>
      </c>
      <c r="AH26" s="44">
        <v>0.25085000000000002</v>
      </c>
      <c r="AI26" s="11">
        <f t="shared" si="49"/>
        <v>-0.9457843332668926</v>
      </c>
      <c r="AK26" s="129">
        <f>IF(ISERROR(VLOOKUP($B26,[1]Hedef!$A$4:$ES$45409,31,0)),0,VLOOKUP($B26,[1]Hedef!$A$4:$ES$45409,31,0))</f>
        <v>0</v>
      </c>
      <c r="AM26" s="22">
        <f t="shared" si="50"/>
        <v>0</v>
      </c>
      <c r="AN26" s="23">
        <f t="shared" si="51"/>
        <v>6.8449999999999997E-2</v>
      </c>
      <c r="AO26" s="23" t="str">
        <f t="shared" si="52"/>
        <v>-</v>
      </c>
      <c r="AP26" s="80" t="e">
        <f t="shared" si="53"/>
        <v>#DIV/0!</v>
      </c>
      <c r="AR26" s="44">
        <f t="shared" si="54"/>
        <v>0.51055000000000006</v>
      </c>
      <c r="AS26" s="11">
        <f t="shared" si="55"/>
        <v>-0.8659289002056606</v>
      </c>
      <c r="AT26" s="45"/>
      <c r="AU26" s="12">
        <f>AM26-'GENEL HEDEF'!M26</f>
        <v>-0.85</v>
      </c>
      <c r="AV26" s="15">
        <f>AN26-'GENEL HEDEF'!N26</f>
        <v>0</v>
      </c>
    </row>
    <row r="27" spans="2:48" ht="12" customHeight="1" x14ac:dyDescent="0.15">
      <c r="B27" s="31">
        <v>13</v>
      </c>
      <c r="C27" s="1" t="s">
        <v>106</v>
      </c>
      <c r="E27" s="22"/>
      <c r="F27" s="23">
        <f>IF(ISERROR(VLOOKUP($B27,[1]Hedef!$A$4:$ES$45409,37,0)),0,VLOOKUP($B27,[1]Hedef!$A$4:$ES$45409,37,0))</f>
        <v>0.42100000000000004</v>
      </c>
      <c r="G27" s="23" t="str">
        <f t="shared" si="38"/>
        <v>-</v>
      </c>
      <c r="H27" s="80" t="e">
        <f t="shared" si="39"/>
        <v>#DIV/0!</v>
      </c>
      <c r="J27" s="44">
        <v>6.803980000000001</v>
      </c>
      <c r="K27" s="11">
        <f t="shared" si="40"/>
        <v>-0.9381244506891554</v>
      </c>
      <c r="M27" s="22"/>
      <c r="N27" s="23">
        <f>IF(ISERROR(VLOOKUP($B27,[1]Hedef!$A$4:$ES$45409,35,0)),0,VLOOKUP($B27,[1]Hedef!$A$4:$ES$45409,35,0))</f>
        <v>7.2680000000000008E-2</v>
      </c>
      <c r="O27" s="23" t="str">
        <f t="shared" si="41"/>
        <v>-</v>
      </c>
      <c r="P27" s="80" t="e">
        <f t="shared" si="42"/>
        <v>#DIV/0!</v>
      </c>
      <c r="R27" s="44">
        <v>6.2175500000000001</v>
      </c>
      <c r="S27" s="11">
        <f t="shared" si="43"/>
        <v>-0.98831050815835819</v>
      </c>
      <c r="U27" s="22"/>
      <c r="V27" s="23">
        <f>IF(ISERROR(VLOOKUP($B27,[1]Hedef!$A$4:$ES$45409,33,0)),0,VLOOKUP($B27,[1]Hedef!$A$4:$ES$45409,33,0))</f>
        <v>6.1380000000000004E-2</v>
      </c>
      <c r="W27" s="23" t="str">
        <f t="shared" si="44"/>
        <v>-</v>
      </c>
      <c r="X27" s="80" t="e">
        <f t="shared" si="45"/>
        <v>#DIV/0!</v>
      </c>
      <c r="Z27" s="44">
        <v>3.0835700000000004</v>
      </c>
      <c r="AA27" s="11">
        <f t="shared" si="46"/>
        <v>-0.98009450085452898</v>
      </c>
      <c r="AB27" s="72"/>
      <c r="AC27" s="22"/>
      <c r="AD27" s="23">
        <f>IF(ISERROR(VLOOKUP($B27,[1]Hedef!$A$4:$ES$45409,29,0)),0,VLOOKUP($B27,[1]Hedef!$A$4:$ES$45409,29,0))</f>
        <v>0.01</v>
      </c>
      <c r="AE27" s="23" t="str">
        <f t="shared" si="47"/>
        <v>-</v>
      </c>
      <c r="AF27" s="80" t="e">
        <f t="shared" si="48"/>
        <v>#DIV/0!</v>
      </c>
      <c r="AH27" s="44">
        <v>5.4646300000000005</v>
      </c>
      <c r="AI27" s="11">
        <f t="shared" si="49"/>
        <v>-0.99817004993933722</v>
      </c>
      <c r="AK27" s="129">
        <f>IF(ISERROR(VLOOKUP($B27,[1]Hedef!$A$4:$ES$45409,31,0)),0,VLOOKUP($B27,[1]Hedef!$A$4:$ES$45409,31,0))</f>
        <v>0</v>
      </c>
      <c r="AM27" s="22">
        <f t="shared" si="50"/>
        <v>0</v>
      </c>
      <c r="AN27" s="23">
        <f t="shared" si="51"/>
        <v>0.56506000000000012</v>
      </c>
      <c r="AO27" s="23" t="str">
        <f t="shared" si="52"/>
        <v>-</v>
      </c>
      <c r="AP27" s="80" t="e">
        <f t="shared" si="53"/>
        <v>#DIV/0!</v>
      </c>
      <c r="AR27" s="44">
        <f t="shared" si="54"/>
        <v>21.56973</v>
      </c>
      <c r="AS27" s="11">
        <f t="shared" si="55"/>
        <v>-0.97380310277411919</v>
      </c>
      <c r="AT27" s="45"/>
      <c r="AU27" s="12">
        <f>AM27-'GENEL HEDEF'!M27</f>
        <v>-10.9</v>
      </c>
      <c r="AV27" s="15">
        <f>AN27-'GENEL HEDEF'!N27</f>
        <v>0</v>
      </c>
    </row>
    <row r="28" spans="2:48" ht="12" customHeight="1" x14ac:dyDescent="0.15">
      <c r="B28" s="31">
        <v>21</v>
      </c>
      <c r="C28" s="1" t="s">
        <v>70</v>
      </c>
      <c r="E28" s="22"/>
      <c r="F28" s="23">
        <f>IF(ISERROR(VLOOKUP($B28,[1]Hedef!$A$4:$ES$45409,37,0)),0,VLOOKUP($B28,[1]Hedef!$A$4:$ES$45409,37,0))</f>
        <v>0</v>
      </c>
      <c r="G28" s="23">
        <f>IF((E28-F28)&lt;0, "-", (E28-F28))</f>
        <v>0</v>
      </c>
      <c r="H28" s="80" t="e">
        <f t="shared" si="39"/>
        <v>#DIV/0!</v>
      </c>
      <c r="J28" s="44">
        <v>0.55000000000000004</v>
      </c>
      <c r="K28" s="11">
        <f>IF(ISERROR((F28-J28)/J28),0,(F28-J28)/J28)</f>
        <v>-1</v>
      </c>
      <c r="M28" s="22"/>
      <c r="N28" s="23">
        <f>IF(ISERROR(VLOOKUP($B28,[1]Hedef!$A$4:$ES$45409,35,0)),0,VLOOKUP($B28,[1]Hedef!$A$4:$ES$45409,35,0))</f>
        <v>0</v>
      </c>
      <c r="O28" s="23">
        <f>IF((M28-N28)&lt;0, "-", (M28-N28))</f>
        <v>0</v>
      </c>
      <c r="P28" s="80" t="e">
        <f t="shared" si="42"/>
        <v>#DIV/0!</v>
      </c>
      <c r="R28" s="44">
        <v>2.2749999999999999</v>
      </c>
      <c r="S28" s="11">
        <f>IF(ISERROR((N28-R28)/R28),0,(N28-R28)/R28)</f>
        <v>-1</v>
      </c>
      <c r="U28" s="22"/>
      <c r="V28" s="23">
        <f>IF(ISERROR(VLOOKUP($B28,[1]Hedef!$A$4:$ES$45409,33,0)),0,VLOOKUP($B28,[1]Hedef!$A$4:$ES$45409,33,0))</f>
        <v>0</v>
      </c>
      <c r="W28" s="23">
        <f>IF((U28-V28)&lt;0, "-", (U28-V28))</f>
        <v>0</v>
      </c>
      <c r="X28" s="80" t="e">
        <f t="shared" si="45"/>
        <v>#DIV/0!</v>
      </c>
      <c r="Z28" s="44">
        <v>4.3250000000000002</v>
      </c>
      <c r="AA28" s="11">
        <f>IF(ISERROR((V28-Z28)/Z28),0,(V28-Z28)/Z28)</f>
        <v>-1</v>
      </c>
      <c r="AB28" s="72"/>
      <c r="AC28" s="22"/>
      <c r="AD28" s="23">
        <f>IF(ISERROR(VLOOKUP($B28,[1]Hedef!$A$4:$ES$45409,29,0)),0,VLOOKUP($B28,[1]Hedef!$A$4:$ES$45409,29,0))</f>
        <v>0</v>
      </c>
      <c r="AE28" s="23">
        <f t="shared" si="47"/>
        <v>0</v>
      </c>
      <c r="AF28" s="80" t="e">
        <f t="shared" si="48"/>
        <v>#DIV/0!</v>
      </c>
      <c r="AH28" s="44">
        <v>0.05</v>
      </c>
      <c r="AI28" s="11">
        <f t="shared" si="49"/>
        <v>-1</v>
      </c>
      <c r="AK28" s="129">
        <f>IF(ISERROR(VLOOKUP($B28,[1]Hedef!$A$4:$ES$45409,31,0)),0,VLOOKUP($B28,[1]Hedef!$A$4:$ES$45409,31,0))</f>
        <v>2.5000000000000001E-2</v>
      </c>
      <c r="AM28" s="22">
        <f t="shared" si="50"/>
        <v>0</v>
      </c>
      <c r="AN28" s="23">
        <f t="shared" si="51"/>
        <v>2.5000000000000001E-2</v>
      </c>
      <c r="AO28" s="23" t="str">
        <f>IF((AM28-AN28)&lt;0, "-", (AM28-AN28))</f>
        <v>-</v>
      </c>
      <c r="AP28" s="80" t="e">
        <f t="shared" si="53"/>
        <v>#DIV/0!</v>
      </c>
      <c r="AR28" s="44">
        <f t="shared" si="54"/>
        <v>7.2</v>
      </c>
      <c r="AS28" s="11">
        <f>IF(ISERROR((AN28-AR28)/AR28),0,(AN28-AR28)/AR28)</f>
        <v>-0.99652777777777768</v>
      </c>
      <c r="AT28" s="45"/>
      <c r="AU28" s="12">
        <f>AM28-'GENEL HEDEF'!M28</f>
        <v>-7.55</v>
      </c>
      <c r="AV28" s="15">
        <f>AN28-'GENEL HEDEF'!N28</f>
        <v>0</v>
      </c>
    </row>
    <row r="29" spans="2:48" ht="12.75" customHeight="1" thickBot="1" x14ac:dyDescent="0.2">
      <c r="B29" s="31">
        <v>40</v>
      </c>
      <c r="C29" s="1" t="s">
        <v>19</v>
      </c>
      <c r="E29" s="22"/>
      <c r="F29" s="23">
        <f>IF(ISERROR(VLOOKUP($B29,[1]Hedef!$A$4:$ES$45409,37,0)),0,VLOOKUP($B29,[1]Hedef!$A$4:$ES$45409,37,0))</f>
        <v>0</v>
      </c>
      <c r="G29" s="23">
        <f t="shared" si="38"/>
        <v>0</v>
      </c>
      <c r="H29" s="80" t="e">
        <f t="shared" si="39"/>
        <v>#DIV/0!</v>
      </c>
      <c r="J29" s="44">
        <v>0.2</v>
      </c>
      <c r="K29" s="11">
        <f t="shared" si="40"/>
        <v>-1</v>
      </c>
      <c r="M29" s="22"/>
      <c r="N29" s="23">
        <f>IF(ISERROR(VLOOKUP($B29,[1]Hedef!$A$4:$ES$45409,35,0)),0,VLOOKUP($B29,[1]Hedef!$A$4:$ES$45409,35,0))</f>
        <v>0</v>
      </c>
      <c r="O29" s="23">
        <f t="shared" si="41"/>
        <v>0</v>
      </c>
      <c r="P29" s="80" t="e">
        <f t="shared" si="42"/>
        <v>#DIV/0!</v>
      </c>
      <c r="R29" s="44">
        <v>0.28000000000000003</v>
      </c>
      <c r="S29" s="11">
        <f t="shared" si="43"/>
        <v>-1</v>
      </c>
      <c r="U29" s="22"/>
      <c r="V29" s="23">
        <f>IF(ISERROR(VLOOKUP($B29,[1]Hedef!$A$4:$ES$45409,33,0)),0,VLOOKUP($B29,[1]Hedef!$A$4:$ES$45409,33,0))</f>
        <v>0</v>
      </c>
      <c r="W29" s="23">
        <f t="shared" si="44"/>
        <v>0</v>
      </c>
      <c r="X29" s="80" t="e">
        <f t="shared" si="45"/>
        <v>#DIV/0!</v>
      </c>
      <c r="Z29" s="44">
        <v>0.30000000000000004</v>
      </c>
      <c r="AA29" s="11">
        <f t="shared" si="46"/>
        <v>-1</v>
      </c>
      <c r="AB29" s="72"/>
      <c r="AC29" s="22"/>
      <c r="AD29" s="23">
        <f>IF(ISERROR(VLOOKUP($B29,[1]Hedef!$A$4:$ES$45409,29,0)),0,VLOOKUP($B29,[1]Hedef!$A$4:$ES$45409,29,0))</f>
        <v>0</v>
      </c>
      <c r="AE29" s="23">
        <f t="shared" si="47"/>
        <v>0</v>
      </c>
      <c r="AF29" s="80" t="e">
        <f t="shared" si="48"/>
        <v>#DIV/0!</v>
      </c>
      <c r="AH29" s="44">
        <v>0.15000000000000002</v>
      </c>
      <c r="AI29" s="11">
        <f t="shared" si="49"/>
        <v>-1</v>
      </c>
      <c r="AK29" s="129">
        <f>IF(ISERROR(VLOOKUP($B29,[1]Hedef!$A$4:$ES$45409,31,0)),0,VLOOKUP($B29,[1]Hedef!$A$4:$ES$45409,31,0))</f>
        <v>0</v>
      </c>
      <c r="AM29" s="22">
        <f t="shared" si="50"/>
        <v>0</v>
      </c>
      <c r="AN29" s="23">
        <f t="shared" si="51"/>
        <v>0</v>
      </c>
      <c r="AO29" s="23">
        <f t="shared" si="52"/>
        <v>0</v>
      </c>
      <c r="AP29" s="80" t="e">
        <f t="shared" si="53"/>
        <v>#DIV/0!</v>
      </c>
      <c r="AR29" s="44">
        <f t="shared" si="54"/>
        <v>0.93000000000000016</v>
      </c>
      <c r="AS29" s="11">
        <f t="shared" si="55"/>
        <v>-1</v>
      </c>
      <c r="AT29" s="45"/>
      <c r="AU29" s="12">
        <f>AM29-'GENEL HEDEF'!M29</f>
        <v>-1</v>
      </c>
      <c r="AV29" s="15">
        <f>AN29-'GENEL HEDEF'!N29</f>
        <v>0</v>
      </c>
    </row>
    <row r="30" spans="2:48" ht="14" thickTop="1" thickBot="1" x14ac:dyDescent="0.2">
      <c r="B30" s="18"/>
      <c r="C30" s="2" t="s">
        <v>20</v>
      </c>
      <c r="D30" s="109"/>
      <c r="E30" s="67">
        <f>SUM(E22:E29)</f>
        <v>0</v>
      </c>
      <c r="F30" s="67">
        <f>SUM(F22:F29)</f>
        <v>1.4602300000000001</v>
      </c>
      <c r="G30" s="67">
        <f>SUM(G22:G29)</f>
        <v>0</v>
      </c>
      <c r="H30" s="39" t="e">
        <f>TRUNC(IF((F30/E30)&gt;1.2,"120%",(F30/E30)),2)</f>
        <v>#DIV/0!</v>
      </c>
      <c r="I30" s="109"/>
      <c r="J30" s="115"/>
      <c r="K30" s="48"/>
      <c r="M30" s="67">
        <f>SUM(M22:M29)</f>
        <v>0</v>
      </c>
      <c r="N30" s="67">
        <f>SUM(N22:N29)</f>
        <v>0.74557999999999991</v>
      </c>
      <c r="O30" s="67">
        <f>SUM(O22:O29)</f>
        <v>0</v>
      </c>
      <c r="P30" s="39" t="e">
        <f>TRUNC(IF((N30/M30)&gt;1.2,"120%",(N30/M30)),2)</f>
        <v>#DIV/0!</v>
      </c>
      <c r="Q30" s="109"/>
      <c r="R30" s="115"/>
      <c r="S30" s="48"/>
      <c r="T30" s="109"/>
      <c r="U30" s="67">
        <f>SUM(U22:U29)</f>
        <v>0</v>
      </c>
      <c r="V30" s="67">
        <f>SUM(V22:V29)</f>
        <v>0.26717999999999997</v>
      </c>
      <c r="W30" s="67">
        <f>SUM(W22:W29)</f>
        <v>0</v>
      </c>
      <c r="X30" s="39" t="e">
        <f>TRUNC(IF((V30/U30)&gt;1.2,"120%",(V30/U30)),2)</f>
        <v>#DIV/0!</v>
      </c>
      <c r="Y30" s="109"/>
      <c r="Z30" s="115"/>
      <c r="AA30" s="48"/>
      <c r="AB30" s="74"/>
      <c r="AC30" s="67">
        <f>SUM(AC22:AC29)</f>
        <v>0</v>
      </c>
      <c r="AD30" s="67">
        <f>SUM(AD22:AD29)</f>
        <v>0.48020000000000002</v>
      </c>
      <c r="AE30" s="67">
        <f>SUM(AE22:AE29)</f>
        <v>0</v>
      </c>
      <c r="AF30" s="39" t="e">
        <f>TRUNC(IF((AD30/AC30)&gt;1.2,"120%",(AD30/AC30)),2)</f>
        <v>#DIV/0!</v>
      </c>
      <c r="AG30" s="109"/>
      <c r="AH30" s="115"/>
      <c r="AI30" s="48"/>
      <c r="AJ30" s="109"/>
      <c r="AK30" s="105">
        <f>SUM(AK22:AK29)</f>
        <v>4.3400000000000001E-2</v>
      </c>
      <c r="AL30" s="109"/>
      <c r="AM30" s="67">
        <f>SUM(AM22:AM29)</f>
        <v>0</v>
      </c>
      <c r="AN30" s="67">
        <f>SUM(AN22:AN29)</f>
        <v>2.9965899999999999</v>
      </c>
      <c r="AO30" s="67">
        <f>SUM(AO22:AO29)</f>
        <v>0</v>
      </c>
      <c r="AP30" s="39" t="e">
        <f>TRUNC(IF((AN30/AM30)&gt;1.2,"120%",(AN30/AM30)),2)</f>
        <v>#DIV/0!</v>
      </c>
      <c r="AR30" s="115"/>
      <c r="AS30" s="48"/>
      <c r="AT30" s="45"/>
      <c r="AU30" s="8"/>
      <c r="AV30" s="9"/>
    </row>
    <row r="31" spans="2:48" ht="12.75" customHeight="1" thickTop="1" x14ac:dyDescent="0.15">
      <c r="B31" s="18">
        <v>15</v>
      </c>
      <c r="C31" s="1" t="s">
        <v>21</v>
      </c>
      <c r="E31" s="22"/>
      <c r="F31" s="23">
        <f>IF(ISERROR(VLOOKUP($B31,[1]Hedef!$A$4:$ES$45409,37,0)),0,VLOOKUP($B31,[1]Hedef!$A$4:$ES$45409,37,0))</f>
        <v>4.0850000000000004E-2</v>
      </c>
      <c r="G31" s="23" t="str">
        <f t="shared" ref="G31:G38" si="56">IF((E31-F31)&lt;0, "-", (E31-F31))</f>
        <v>-</v>
      </c>
      <c r="H31" s="80" t="e">
        <f t="shared" ref="H31:H38" si="57">TRUNC(IF((F31/E31)&gt;1.2,"120%",(F31/E31)),2)</f>
        <v>#DIV/0!</v>
      </c>
      <c r="J31" s="44">
        <v>0.48109499999999999</v>
      </c>
      <c r="K31" s="11">
        <f t="shared" si="40"/>
        <v>-0.91508953533085979</v>
      </c>
      <c r="M31" s="22"/>
      <c r="N31" s="23">
        <f>IF(ISERROR(VLOOKUP($B31,[1]Hedef!$A$4:$ES$45409,35,0)),0,VLOOKUP($B31,[1]Hedef!$A$4:$ES$45409,35,0))</f>
        <v>2.7520000000000003E-2</v>
      </c>
      <c r="O31" s="23" t="str">
        <f t="shared" ref="O31:O38" si="58">IF((M31-N31)&lt;0, "-", (M31-N31))</f>
        <v>-</v>
      </c>
      <c r="P31" s="80" t="e">
        <f t="shared" ref="P31:P38" si="59">TRUNC(IF((N31/M31)&gt;1.2,"120%",(N31/M31)),2)</f>
        <v>#DIV/0!</v>
      </c>
      <c r="R31" s="44">
        <v>0.39649000000000001</v>
      </c>
      <c r="S31" s="11">
        <f t="shared" si="43"/>
        <v>-0.93059093545864968</v>
      </c>
      <c r="U31" s="22"/>
      <c r="V31" s="23">
        <f>IF(ISERROR(VLOOKUP($B31,[1]Hedef!$A$4:$ES$45409,33,0)),0,VLOOKUP($B31,[1]Hedef!$A$4:$ES$45409,33,0))</f>
        <v>1.95E-2</v>
      </c>
      <c r="W31" s="23" t="str">
        <f t="shared" ref="W31:W38" si="60">IF((U31-V31)&lt;0, "-", (U31-V31))</f>
        <v>-</v>
      </c>
      <c r="X31" s="80" t="e">
        <f t="shared" ref="X31:X38" si="61">TRUNC(IF((V31/U31)&gt;1.2,"120%",(V31/U31)),2)</f>
        <v>#DIV/0!</v>
      </c>
      <c r="Z31" s="44">
        <v>0.533775</v>
      </c>
      <c r="AA31" s="11">
        <f t="shared" si="46"/>
        <v>-0.96346775326682599</v>
      </c>
      <c r="AB31" s="72"/>
      <c r="AC31" s="22"/>
      <c r="AD31" s="23">
        <f>IF(ISERROR(VLOOKUP($B31,[1]Hedef!$A$4:$ES$45409,29,0)),0,VLOOKUP($B31,[1]Hedef!$A$4:$ES$45409,29,0))</f>
        <v>1.234E-2</v>
      </c>
      <c r="AE31" s="23" t="str">
        <f t="shared" ref="AE31:AE38" si="62">IF((AC31-AD31)&lt;0, "-", (AC31-AD31))</f>
        <v>-</v>
      </c>
      <c r="AF31" s="80" t="e">
        <f t="shared" ref="AF31:AF38" si="63">TRUNC(IF((AD31/AC31)&gt;1.2,"120%",(AD31/AC31)),2)</f>
        <v>#DIV/0!</v>
      </c>
      <c r="AH31" s="44">
        <v>0.51729499999999995</v>
      </c>
      <c r="AI31" s="11">
        <f t="shared" ref="AI31:AI38" si="64">IF(ISERROR((AD31-AH31)/AH31),0,(AD31-AH31)/AH31)</f>
        <v>-0.97614513962052596</v>
      </c>
      <c r="AK31" s="129">
        <f>IF(ISERROR(VLOOKUP($B31,[1]Hedef!$A$4:$ES$45409,31,0)),0,VLOOKUP($B31,[1]Hedef!$A$4:$ES$45409,31,0))</f>
        <v>0</v>
      </c>
      <c r="AM31" s="22">
        <f t="shared" ref="AM31:AM38" si="65">+U31+M31+E31+AC31</f>
        <v>0</v>
      </c>
      <c r="AN31" s="23">
        <f t="shared" ref="AN31:AN38" si="66">V31+N31+F31+AD31+AK31</f>
        <v>0.10021000000000001</v>
      </c>
      <c r="AO31" s="23" t="str">
        <f t="shared" ref="AO31:AO38" si="67">IF((AM31-AN31)&lt;0, "-", (AM31-AN31))</f>
        <v>-</v>
      </c>
      <c r="AP31" s="80" t="e">
        <f t="shared" ref="AP31:AP38" si="68">TRUNC(IF((AN31/AM31)&gt;1.2,"120%",(AN31/AM31)),2)</f>
        <v>#DIV/0!</v>
      </c>
      <c r="AR31" s="44">
        <f t="shared" ref="AR31:AR38" si="69">+AH31+Z31+R31+J31</f>
        <v>1.928655</v>
      </c>
      <c r="AS31" s="11">
        <f t="shared" si="55"/>
        <v>-0.94804151079379162</v>
      </c>
      <c r="AT31" s="45"/>
      <c r="AU31" s="12">
        <f>AM31-'GENEL HEDEF'!M31</f>
        <v>-2.0499999999999998</v>
      </c>
      <c r="AV31" s="15">
        <f>AN31-'GENEL HEDEF'!N31</f>
        <v>0</v>
      </c>
    </row>
    <row r="32" spans="2:48" ht="12" customHeight="1" x14ac:dyDescent="0.15">
      <c r="B32" s="18">
        <v>57</v>
      </c>
      <c r="C32" s="1" t="s">
        <v>44</v>
      </c>
      <c r="E32" s="22"/>
      <c r="F32" s="23">
        <f>IF(ISERROR(VLOOKUP($B32,[1]Hedef!$A$4:$ES$45409,37,0)),0,VLOOKUP($B32,[1]Hedef!$A$4:$ES$45409,37,0))</f>
        <v>6.1199999999999996E-3</v>
      </c>
      <c r="G32" s="23" t="str">
        <f>IF((E32-F32)&lt;0, "-", (E32-F32))</f>
        <v>-</v>
      </c>
      <c r="H32" s="80" t="e">
        <f t="shared" si="57"/>
        <v>#DIV/0!</v>
      </c>
      <c r="J32" s="44">
        <v>0.15452000000000002</v>
      </c>
      <c r="K32" s="11">
        <f t="shared" si="40"/>
        <v>-0.96039347657261209</v>
      </c>
      <c r="M32" s="22"/>
      <c r="N32" s="23">
        <f>IF(ISERROR(VLOOKUP($B32,[1]Hedef!$A$4:$ES$45409,35,0)),0,VLOOKUP($B32,[1]Hedef!$A$4:$ES$45409,35,0))</f>
        <v>0</v>
      </c>
      <c r="O32" s="23">
        <f>IF((M32-N32)&lt;0, "-", (M32-N32))</f>
        <v>0</v>
      </c>
      <c r="P32" s="80" t="e">
        <f t="shared" si="59"/>
        <v>#DIV/0!</v>
      </c>
      <c r="R32" s="44">
        <v>9.8129999999999995E-2</v>
      </c>
      <c r="S32" s="11">
        <f t="shared" si="43"/>
        <v>-1</v>
      </c>
      <c r="U32" s="22"/>
      <c r="V32" s="23">
        <f>IF(ISERROR(VLOOKUP($B32,[1]Hedef!$A$4:$ES$45409,33,0)),0,VLOOKUP($B32,[1]Hedef!$A$4:$ES$45409,33,0))</f>
        <v>1.1099999999999999E-2</v>
      </c>
      <c r="W32" s="23" t="str">
        <f>IF((U32-V32)&lt;0, "-", (U32-V32))</f>
        <v>-</v>
      </c>
      <c r="X32" s="80" t="e">
        <f t="shared" si="61"/>
        <v>#DIV/0!</v>
      </c>
      <c r="Z32" s="44">
        <v>0.10351999999999999</v>
      </c>
      <c r="AA32" s="11">
        <f t="shared" si="46"/>
        <v>-0.89277434312210202</v>
      </c>
      <c r="AB32" s="72"/>
      <c r="AC32" s="22"/>
      <c r="AD32" s="23">
        <f>IF(ISERROR(VLOOKUP($B32,[1]Hedef!$A$4:$ES$45409,29,0)),0,VLOOKUP($B32,[1]Hedef!$A$4:$ES$45409,29,0))</f>
        <v>0</v>
      </c>
      <c r="AE32" s="23">
        <f t="shared" si="62"/>
        <v>0</v>
      </c>
      <c r="AF32" s="80" t="e">
        <f t="shared" si="63"/>
        <v>#DIV/0!</v>
      </c>
      <c r="AH32" s="44">
        <v>0.13472999999999999</v>
      </c>
      <c r="AI32" s="11">
        <f t="shared" si="64"/>
        <v>-1</v>
      </c>
      <c r="AK32" s="129">
        <f>IF(ISERROR(VLOOKUP($B32,[1]Hedef!$A$4:$ES$45409,31,0)),0,VLOOKUP($B32,[1]Hedef!$A$4:$ES$45409,31,0))</f>
        <v>0</v>
      </c>
      <c r="AM32" s="22">
        <f t="shared" si="65"/>
        <v>0</v>
      </c>
      <c r="AN32" s="23">
        <f t="shared" si="66"/>
        <v>1.7219999999999999E-2</v>
      </c>
      <c r="AO32" s="23" t="str">
        <f>IF((AM32-AN32)&lt;0, "-", (AM32-AN32))</f>
        <v>-</v>
      </c>
      <c r="AP32" s="80" t="e">
        <f t="shared" si="68"/>
        <v>#DIV/0!</v>
      </c>
      <c r="AR32" s="44">
        <f t="shared" si="69"/>
        <v>0.4909</v>
      </c>
      <c r="AS32" s="11">
        <f t="shared" si="55"/>
        <v>-0.96492157262171518</v>
      </c>
      <c r="AT32" s="45"/>
      <c r="AU32" s="12">
        <f>AM32-'GENEL HEDEF'!M32</f>
        <v>-0.65</v>
      </c>
      <c r="AV32" s="15">
        <f>AN32-'GENEL HEDEF'!N32</f>
        <v>0</v>
      </c>
    </row>
    <row r="33" spans="1:48" ht="12" customHeight="1" x14ac:dyDescent="0.15">
      <c r="B33" s="18">
        <v>16</v>
      </c>
      <c r="C33" s="1" t="s">
        <v>22</v>
      </c>
      <c r="E33" s="22"/>
      <c r="F33" s="23">
        <f>IF(ISERROR(VLOOKUP($B33,[1]Hedef!$A$4:$ES$45409,37,0)),0,VLOOKUP($B33,[1]Hedef!$A$4:$ES$45409,37,0))</f>
        <v>1.89E-2</v>
      </c>
      <c r="G33" s="23" t="str">
        <f t="shared" si="56"/>
        <v>-</v>
      </c>
      <c r="H33" s="80" t="e">
        <f t="shared" si="57"/>
        <v>#DIV/0!</v>
      </c>
      <c r="J33" s="44">
        <v>5.6660000000000002E-2</v>
      </c>
      <c r="K33" s="11">
        <f t="shared" si="40"/>
        <v>-0.66643134486410172</v>
      </c>
      <c r="M33" s="22"/>
      <c r="N33" s="23">
        <f>IF(ISERROR(VLOOKUP($B33,[1]Hedef!$A$4:$ES$45409,35,0)),0,VLOOKUP($B33,[1]Hedef!$A$4:$ES$45409,35,0))</f>
        <v>1.3099999999999999E-2</v>
      </c>
      <c r="O33" s="23" t="str">
        <f t="shared" si="58"/>
        <v>-</v>
      </c>
      <c r="P33" s="80" t="e">
        <f t="shared" si="59"/>
        <v>#DIV/0!</v>
      </c>
      <c r="R33" s="44">
        <v>0.12413</v>
      </c>
      <c r="S33" s="11">
        <f t="shared" si="43"/>
        <v>-0.89446547973898327</v>
      </c>
      <c r="U33" s="22"/>
      <c r="V33" s="23">
        <f>IF(ISERROR(VLOOKUP($B33,[1]Hedef!$A$4:$ES$45409,33,0)),0,VLOOKUP($B33,[1]Hedef!$A$4:$ES$45409,33,0))</f>
        <v>0</v>
      </c>
      <c r="W33" s="23">
        <f t="shared" si="60"/>
        <v>0</v>
      </c>
      <c r="X33" s="80" t="e">
        <f t="shared" si="61"/>
        <v>#DIV/0!</v>
      </c>
      <c r="Z33" s="44">
        <v>0.15854499999999999</v>
      </c>
      <c r="AA33" s="11">
        <f t="shared" si="46"/>
        <v>-1</v>
      </c>
      <c r="AB33" s="72"/>
      <c r="AC33" s="22"/>
      <c r="AD33" s="23">
        <f>IF(ISERROR(VLOOKUP($B33,[1]Hedef!$A$4:$ES$45409,29,0)),0,VLOOKUP($B33,[1]Hedef!$A$4:$ES$45409,29,0))</f>
        <v>3.5000000000000001E-3</v>
      </c>
      <c r="AE33" s="23" t="str">
        <f t="shared" si="62"/>
        <v>-</v>
      </c>
      <c r="AF33" s="80" t="e">
        <f t="shared" si="63"/>
        <v>#DIV/0!</v>
      </c>
      <c r="AH33" s="44">
        <v>0.10341</v>
      </c>
      <c r="AI33" s="11">
        <f t="shared" si="64"/>
        <v>-0.96615414369983554</v>
      </c>
      <c r="AK33" s="129">
        <f>IF(ISERROR(VLOOKUP($B33,[1]Hedef!$A$4:$ES$45409,31,0)),0,VLOOKUP($B33,[1]Hedef!$A$4:$ES$45409,31,0))</f>
        <v>0</v>
      </c>
      <c r="AM33" s="22">
        <f t="shared" si="65"/>
        <v>0</v>
      </c>
      <c r="AN33" s="23">
        <f t="shared" si="66"/>
        <v>3.5500000000000004E-2</v>
      </c>
      <c r="AO33" s="23" t="str">
        <f t="shared" si="67"/>
        <v>-</v>
      </c>
      <c r="AP33" s="80" t="e">
        <f t="shared" si="68"/>
        <v>#DIV/0!</v>
      </c>
      <c r="AR33" s="44">
        <f t="shared" si="69"/>
        <v>0.442745</v>
      </c>
      <c r="AS33" s="11">
        <f t="shared" si="55"/>
        <v>-0.91981840562852202</v>
      </c>
      <c r="AT33" s="45"/>
      <c r="AU33" s="12">
        <f>AM33-'GENEL HEDEF'!M33</f>
        <v>-0.68</v>
      </c>
      <c r="AV33" s="15">
        <f>AN33-'GENEL HEDEF'!N33</f>
        <v>0</v>
      </c>
    </row>
    <row r="34" spans="1:48" ht="12" customHeight="1" x14ac:dyDescent="0.15">
      <c r="B34" s="18">
        <v>43</v>
      </c>
      <c r="C34" s="1" t="s">
        <v>23</v>
      </c>
      <c r="E34" s="22"/>
      <c r="F34" s="23">
        <f>IF(ISERROR(VLOOKUP($B34,[1]Hedef!$A$4:$ES$45409,37,0)),0,VLOOKUP($B34,[1]Hedef!$A$4:$ES$45409,37,0))</f>
        <v>2.4985E-2</v>
      </c>
      <c r="G34" s="23" t="str">
        <f t="shared" si="56"/>
        <v>-</v>
      </c>
      <c r="H34" s="80" t="e">
        <f t="shared" si="57"/>
        <v>#DIV/0!</v>
      </c>
      <c r="J34" s="44">
        <v>0.22767499999999999</v>
      </c>
      <c r="K34" s="11">
        <f t="shared" si="40"/>
        <v>-0.89026023937630394</v>
      </c>
      <c r="M34" s="22"/>
      <c r="N34" s="23">
        <f>IF(ISERROR(VLOOKUP($B34,[1]Hedef!$A$4:$ES$45409,35,0)),0,VLOOKUP($B34,[1]Hedef!$A$4:$ES$45409,35,0))</f>
        <v>3.2465000000000001E-2</v>
      </c>
      <c r="O34" s="23" t="str">
        <f t="shared" si="58"/>
        <v>-</v>
      </c>
      <c r="P34" s="80" t="e">
        <f t="shared" si="59"/>
        <v>#DIV/0!</v>
      </c>
      <c r="R34" s="44">
        <v>0.170455</v>
      </c>
      <c r="S34" s="11">
        <f t="shared" si="43"/>
        <v>-0.80953917456220115</v>
      </c>
      <c r="U34" s="22"/>
      <c r="V34" s="23">
        <f>IF(ISERROR(VLOOKUP($B34,[1]Hedef!$A$4:$ES$45409,33,0)),0,VLOOKUP($B34,[1]Hedef!$A$4:$ES$45409,33,0))</f>
        <v>4.895E-3</v>
      </c>
      <c r="W34" s="23" t="str">
        <f t="shared" si="60"/>
        <v>-</v>
      </c>
      <c r="X34" s="80" t="e">
        <f t="shared" si="61"/>
        <v>#DIV/0!</v>
      </c>
      <c r="Z34" s="44">
        <v>0.24899500000000013</v>
      </c>
      <c r="AA34" s="11">
        <f t="shared" si="46"/>
        <v>-0.98034097070222292</v>
      </c>
      <c r="AB34" s="72"/>
      <c r="AC34" s="22"/>
      <c r="AD34" s="23">
        <f>IF(ISERROR(VLOOKUP($B34,[1]Hedef!$A$4:$ES$45409,29,0)),0,VLOOKUP($B34,[1]Hedef!$A$4:$ES$45409,29,0))</f>
        <v>1.4959999999999999E-2</v>
      </c>
      <c r="AE34" s="23" t="str">
        <f t="shared" si="62"/>
        <v>-</v>
      </c>
      <c r="AF34" s="80" t="e">
        <f t="shared" si="63"/>
        <v>#DIV/0!</v>
      </c>
      <c r="AH34" s="44">
        <v>0.16985</v>
      </c>
      <c r="AI34" s="11">
        <f t="shared" si="64"/>
        <v>-0.91192228436856049</v>
      </c>
      <c r="AK34" s="129">
        <f>IF(ISERROR(VLOOKUP($B34,[1]Hedef!$A$4:$ES$45409,31,0)),0,VLOOKUP($B34,[1]Hedef!$A$4:$ES$45409,31,0))</f>
        <v>8.8999999999999995E-4</v>
      </c>
      <c r="AM34" s="22">
        <f t="shared" si="65"/>
        <v>0</v>
      </c>
      <c r="AN34" s="23">
        <f t="shared" si="66"/>
        <v>7.8195000000000001E-2</v>
      </c>
      <c r="AO34" s="23" t="str">
        <f t="shared" si="67"/>
        <v>-</v>
      </c>
      <c r="AP34" s="80" t="e">
        <f t="shared" si="68"/>
        <v>#DIV/0!</v>
      </c>
      <c r="AR34" s="44">
        <f t="shared" si="69"/>
        <v>0.81697500000000012</v>
      </c>
      <c r="AS34" s="11">
        <f t="shared" si="55"/>
        <v>-0.9042871568897457</v>
      </c>
      <c r="AT34" s="45"/>
      <c r="AU34" s="12">
        <f>AM34-'GENEL HEDEF'!M34</f>
        <v>-1.55</v>
      </c>
      <c r="AV34" s="15">
        <f>AN34-'GENEL HEDEF'!N34</f>
        <v>0</v>
      </c>
    </row>
    <row r="35" spans="1:48" ht="12" customHeight="1" x14ac:dyDescent="0.15">
      <c r="B35" s="18">
        <v>18</v>
      </c>
      <c r="C35" s="1" t="s">
        <v>67</v>
      </c>
      <c r="E35" s="22"/>
      <c r="F35" s="23">
        <f>IF(ISERROR(VLOOKUP($B35,[1]Hedef!$A$4:$ES$45409,37,0)),0,VLOOKUP($B35,[1]Hedef!$A$4:$ES$45409,37,0))</f>
        <v>7.1999999999999998E-3</v>
      </c>
      <c r="G35" s="23" t="str">
        <f t="shared" si="56"/>
        <v>-</v>
      </c>
      <c r="H35" s="80" t="e">
        <f t="shared" si="57"/>
        <v>#DIV/0!</v>
      </c>
      <c r="J35" s="44">
        <v>8.7199999999999986E-2</v>
      </c>
      <c r="K35" s="11">
        <f t="shared" si="40"/>
        <v>-0.91743119266055051</v>
      </c>
      <c r="M35" s="22"/>
      <c r="N35" s="23">
        <f>IF(ISERROR(VLOOKUP($B35,[1]Hedef!$A$4:$ES$45409,35,0)),0,VLOOKUP($B35,[1]Hedef!$A$4:$ES$45409,35,0))</f>
        <v>1.8000000000000002E-2</v>
      </c>
      <c r="O35" s="23" t="str">
        <f t="shared" si="58"/>
        <v>-</v>
      </c>
      <c r="P35" s="80" t="e">
        <f t="shared" si="59"/>
        <v>#DIV/0!</v>
      </c>
      <c r="R35" s="44">
        <v>0.18123999999999998</v>
      </c>
      <c r="S35" s="11">
        <f t="shared" si="43"/>
        <v>-0.90068417567865822</v>
      </c>
      <c r="U35" s="22"/>
      <c r="V35" s="23">
        <f>IF(ISERROR(VLOOKUP($B35,[1]Hedef!$A$4:$ES$45409,33,0)),0,VLOOKUP($B35,[1]Hedef!$A$4:$ES$45409,33,0))</f>
        <v>3.2000000000000002E-3</v>
      </c>
      <c r="W35" s="23" t="str">
        <f t="shared" si="60"/>
        <v>-</v>
      </c>
      <c r="X35" s="80" t="e">
        <f t="shared" si="61"/>
        <v>#DIV/0!</v>
      </c>
      <c r="Z35" s="44">
        <v>5.3600000000000002E-2</v>
      </c>
      <c r="AA35" s="11">
        <f t="shared" si="46"/>
        <v>-0.94029850746268651</v>
      </c>
      <c r="AB35" s="72"/>
      <c r="AC35" s="22"/>
      <c r="AD35" s="23">
        <f>IF(ISERROR(VLOOKUP($B35,[1]Hedef!$A$4:$ES$45409,29,0)),0,VLOOKUP($B35,[1]Hedef!$A$4:$ES$45409,29,0))</f>
        <v>2.5199999999999997E-2</v>
      </c>
      <c r="AE35" s="23" t="str">
        <f t="shared" si="62"/>
        <v>-</v>
      </c>
      <c r="AF35" s="80" t="e">
        <f t="shared" si="63"/>
        <v>#DIV/0!</v>
      </c>
      <c r="AH35" s="44">
        <v>6.1679999999999992E-2</v>
      </c>
      <c r="AI35" s="11">
        <f t="shared" si="64"/>
        <v>-0.59143968871595332</v>
      </c>
      <c r="AK35" s="129">
        <f>IF(ISERROR(VLOOKUP($B35,[1]Hedef!$A$4:$ES$45409,31,0)),0,VLOOKUP($B35,[1]Hedef!$A$4:$ES$45409,31,0))</f>
        <v>2.8E-3</v>
      </c>
      <c r="AM35" s="22">
        <f t="shared" si="65"/>
        <v>0</v>
      </c>
      <c r="AN35" s="23">
        <f t="shared" si="66"/>
        <v>5.6399999999999992E-2</v>
      </c>
      <c r="AO35" s="23" t="str">
        <f t="shared" si="67"/>
        <v>-</v>
      </c>
      <c r="AP35" s="80" t="e">
        <f t="shared" si="68"/>
        <v>#DIV/0!</v>
      </c>
      <c r="AR35" s="44">
        <f t="shared" si="69"/>
        <v>0.38372000000000001</v>
      </c>
      <c r="AS35" s="11">
        <f t="shared" si="55"/>
        <v>-0.85301782549775873</v>
      </c>
      <c r="AT35" s="45"/>
      <c r="AU35" s="12">
        <f>AM35-'GENEL HEDEF'!M35</f>
        <v>-0.62</v>
      </c>
      <c r="AV35" s="15">
        <f>AN35-'GENEL HEDEF'!N35</f>
        <v>0</v>
      </c>
    </row>
    <row r="36" spans="1:48" ht="12" customHeight="1" x14ac:dyDescent="0.15">
      <c r="A36" s="4">
        <v>0.2</v>
      </c>
      <c r="B36" s="18">
        <v>51</v>
      </c>
      <c r="C36" s="1" t="s">
        <v>24</v>
      </c>
      <c r="E36" s="22"/>
      <c r="F36" s="23">
        <f>IF(ISERROR(VLOOKUP($B36,[1]Hedef!$A$4:$ES$45409,37,0)),0,VLOOKUP($B36,[1]Hedef!$A$4:$ES$45409,37,0))</f>
        <v>5.3000000000000005E-2</v>
      </c>
      <c r="G36" s="23" t="str">
        <f t="shared" si="56"/>
        <v>-</v>
      </c>
      <c r="H36" s="80" t="e">
        <f t="shared" si="57"/>
        <v>#DIV/0!</v>
      </c>
      <c r="J36" s="44">
        <v>0.6821299999999999</v>
      </c>
      <c r="K36" s="11">
        <f t="shared" si="40"/>
        <v>-0.92230220046032274</v>
      </c>
      <c r="M36" s="22"/>
      <c r="N36" s="23">
        <f>IF(ISERROR(VLOOKUP($B36,[1]Hedef!$A$4:$ES$45409,35,0)),0,VLOOKUP($B36,[1]Hedef!$A$4:$ES$45409,35,0))</f>
        <v>2.708E-2</v>
      </c>
      <c r="O36" s="23" t="str">
        <f t="shared" si="58"/>
        <v>-</v>
      </c>
      <c r="P36" s="80" t="e">
        <f t="shared" si="59"/>
        <v>#DIV/0!</v>
      </c>
      <c r="R36" s="44">
        <v>0.49897999999999998</v>
      </c>
      <c r="S36" s="11">
        <f t="shared" si="43"/>
        <v>-0.94572928774700393</v>
      </c>
      <c r="U36" s="22"/>
      <c r="V36" s="23">
        <f>IF(ISERROR(VLOOKUP($B36,[1]Hedef!$A$4:$ES$45409,33,0)),0,VLOOKUP($B36,[1]Hedef!$A$4:$ES$45409,33,0))</f>
        <v>2.3999999999999998E-3</v>
      </c>
      <c r="W36" s="23" t="str">
        <f t="shared" si="60"/>
        <v>-</v>
      </c>
      <c r="X36" s="80" t="e">
        <f t="shared" si="61"/>
        <v>#DIV/0!</v>
      </c>
      <c r="Z36" s="44">
        <v>0.37919999999999998</v>
      </c>
      <c r="AA36" s="11">
        <f t="shared" si="46"/>
        <v>-0.99367088607594933</v>
      </c>
      <c r="AB36" s="72"/>
      <c r="AC36" s="22"/>
      <c r="AD36" s="23">
        <f>IF(ISERROR(VLOOKUP($B36,[1]Hedef!$A$4:$ES$45409,29,0)),0,VLOOKUP($B36,[1]Hedef!$A$4:$ES$45409,29,0))</f>
        <v>9.8399999999999998E-3</v>
      </c>
      <c r="AE36" s="23" t="str">
        <f t="shared" si="62"/>
        <v>-</v>
      </c>
      <c r="AF36" s="80" t="e">
        <f t="shared" si="63"/>
        <v>#DIV/0!</v>
      </c>
      <c r="AH36" s="44">
        <v>0.34016999999999997</v>
      </c>
      <c r="AI36" s="11">
        <f t="shared" si="64"/>
        <v>-0.97107328688596872</v>
      </c>
      <c r="AK36" s="129">
        <f>IF(ISERROR(VLOOKUP($B36,[1]Hedef!$A$4:$ES$45409,31,0)),0,VLOOKUP($B36,[1]Hedef!$A$4:$ES$45409,31,0))</f>
        <v>6.7000000000000002E-4</v>
      </c>
      <c r="AM36" s="22">
        <f t="shared" si="65"/>
        <v>0</v>
      </c>
      <c r="AN36" s="23">
        <f t="shared" si="66"/>
        <v>9.2990000000000003E-2</v>
      </c>
      <c r="AO36" s="23" t="str">
        <f t="shared" si="67"/>
        <v>-</v>
      </c>
      <c r="AP36" s="80" t="e">
        <f t="shared" si="68"/>
        <v>#DIV/0!</v>
      </c>
      <c r="AR36" s="44">
        <f t="shared" si="69"/>
        <v>1.9004799999999999</v>
      </c>
      <c r="AS36" s="11">
        <f t="shared" si="55"/>
        <v>-0.95107025593534267</v>
      </c>
      <c r="AT36" s="45"/>
      <c r="AU36" s="12">
        <f>AM36-'GENEL HEDEF'!M36</f>
        <v>-2</v>
      </c>
      <c r="AV36" s="15">
        <f>AN36-'GENEL HEDEF'!N36</f>
        <v>0</v>
      </c>
    </row>
    <row r="37" spans="1:48" ht="12" customHeight="1" x14ac:dyDescent="0.15">
      <c r="B37" s="18">
        <v>19</v>
      </c>
      <c r="C37" s="1" t="s">
        <v>25</v>
      </c>
      <c r="E37" s="22"/>
      <c r="F37" s="23">
        <f>IF(ISERROR(VLOOKUP($B37,[1]Hedef!$A$4:$ES$45409,37,0)),0,VLOOKUP($B37,[1]Hedef!$A$4:$ES$45409,37,0))</f>
        <v>3.2399999999999998E-3</v>
      </c>
      <c r="G37" s="23" t="str">
        <f t="shared" si="56"/>
        <v>-</v>
      </c>
      <c r="H37" s="80" t="e">
        <f t="shared" si="57"/>
        <v>#DIV/0!</v>
      </c>
      <c r="J37" s="44">
        <v>0.12293</v>
      </c>
      <c r="K37" s="11">
        <f t="shared" si="40"/>
        <v>-0.97364353697226058</v>
      </c>
      <c r="M37" s="22"/>
      <c r="N37" s="23">
        <f>IF(ISERROR(VLOOKUP($B37,[1]Hedef!$A$4:$ES$45409,35,0)),0,VLOOKUP($B37,[1]Hedef!$A$4:$ES$45409,35,0))</f>
        <v>3.2799999999999999E-3</v>
      </c>
      <c r="O37" s="23" t="str">
        <f t="shared" si="58"/>
        <v>-</v>
      </c>
      <c r="P37" s="80" t="e">
        <f t="shared" si="59"/>
        <v>#DIV/0!</v>
      </c>
      <c r="R37" s="44">
        <v>4.9300000000000004E-2</v>
      </c>
      <c r="S37" s="11">
        <f t="shared" si="43"/>
        <v>-0.93346855983772825</v>
      </c>
      <c r="U37" s="22"/>
      <c r="V37" s="23">
        <f>IF(ISERROR(VLOOKUP($B37,[1]Hedef!$A$4:$ES$45409,33,0)),0,VLOOKUP($B37,[1]Hedef!$A$4:$ES$45409,33,0))</f>
        <v>2.3999999999999998E-3</v>
      </c>
      <c r="W37" s="23" t="str">
        <f t="shared" si="60"/>
        <v>-</v>
      </c>
      <c r="X37" s="80" t="e">
        <f t="shared" si="61"/>
        <v>#DIV/0!</v>
      </c>
      <c r="Z37" s="44">
        <v>8.6544999999999997E-2</v>
      </c>
      <c r="AA37" s="11">
        <f t="shared" si="46"/>
        <v>-0.97226876191576639</v>
      </c>
      <c r="AB37" s="72"/>
      <c r="AC37" s="22"/>
      <c r="AD37" s="23">
        <f>IF(ISERROR(VLOOKUP($B37,[1]Hedef!$A$4:$ES$45409,29,0)),0,VLOOKUP($B37,[1]Hedef!$A$4:$ES$45409,29,0))</f>
        <v>4.4999999999999997E-3</v>
      </c>
      <c r="AE37" s="23" t="str">
        <f t="shared" si="62"/>
        <v>-</v>
      </c>
      <c r="AF37" s="80" t="e">
        <f t="shared" si="63"/>
        <v>#DIV/0!</v>
      </c>
      <c r="AH37" s="44">
        <v>6.3285000000000008E-2</v>
      </c>
      <c r="AI37" s="11">
        <f t="shared" si="64"/>
        <v>-0.92889310263095526</v>
      </c>
      <c r="AK37" s="129">
        <f>IF(ISERROR(VLOOKUP($B37,[1]Hedef!$A$4:$ES$45409,31,0)),0,VLOOKUP($B37,[1]Hedef!$A$4:$ES$45409,31,0))</f>
        <v>0</v>
      </c>
      <c r="AM37" s="22">
        <f t="shared" si="65"/>
        <v>0</v>
      </c>
      <c r="AN37" s="23">
        <f t="shared" si="66"/>
        <v>1.3419999999999998E-2</v>
      </c>
      <c r="AO37" s="23" t="str">
        <f t="shared" si="67"/>
        <v>-</v>
      </c>
      <c r="AP37" s="80" t="e">
        <f t="shared" si="68"/>
        <v>#DIV/0!</v>
      </c>
      <c r="AR37" s="44">
        <f t="shared" si="69"/>
        <v>0.32206000000000001</v>
      </c>
      <c r="AS37" s="11">
        <f t="shared" si="55"/>
        <v>-0.95833074582375954</v>
      </c>
      <c r="AT37" s="45"/>
      <c r="AU37" s="12">
        <f>AM37-'GENEL HEDEF'!M37</f>
        <v>-0.55000000000000004</v>
      </c>
      <c r="AV37" s="15">
        <f>AN37-'GENEL HEDEF'!N37</f>
        <v>0</v>
      </c>
    </row>
    <row r="38" spans="1:48" ht="13" thickBot="1" x14ac:dyDescent="0.2">
      <c r="B38" s="18">
        <v>20</v>
      </c>
      <c r="C38" s="1" t="s">
        <v>63</v>
      </c>
      <c r="E38" s="22"/>
      <c r="F38" s="23">
        <f>IF(ISERROR(VLOOKUP($B38,[1]Hedef!$A$4:$ES$45409,37,0)),0,VLOOKUP($B38,[1]Hedef!$A$4:$ES$45409,37,0))</f>
        <v>3.6000000000000004E-2</v>
      </c>
      <c r="G38" s="23" t="str">
        <f t="shared" si="56"/>
        <v>-</v>
      </c>
      <c r="H38" s="80" t="e">
        <f t="shared" si="57"/>
        <v>#DIV/0!</v>
      </c>
      <c r="J38" s="44">
        <v>2.1930000000000001</v>
      </c>
      <c r="K38" s="11">
        <f t="shared" si="40"/>
        <v>-0.98358413132694933</v>
      </c>
      <c r="M38" s="22"/>
      <c r="N38" s="23">
        <f>IF(ISERROR(VLOOKUP($B38,[1]Hedef!$A$4:$ES$45409,35,0)),0,VLOOKUP($B38,[1]Hedef!$A$4:$ES$45409,35,0))</f>
        <v>0</v>
      </c>
      <c r="O38" s="23">
        <f t="shared" si="58"/>
        <v>0</v>
      </c>
      <c r="P38" s="80" t="e">
        <f t="shared" si="59"/>
        <v>#DIV/0!</v>
      </c>
      <c r="R38" s="44">
        <v>1.0609999999999999</v>
      </c>
      <c r="S38" s="11">
        <f t="shared" si="43"/>
        <v>-1</v>
      </c>
      <c r="U38" s="22"/>
      <c r="V38" s="23">
        <f>IF(ISERROR(VLOOKUP($B38,[1]Hedef!$A$4:$ES$45409,33,0)),0,VLOOKUP($B38,[1]Hedef!$A$4:$ES$45409,33,0))</f>
        <v>6.0000000000000001E-3</v>
      </c>
      <c r="W38" s="23" t="str">
        <f t="shared" si="60"/>
        <v>-</v>
      </c>
      <c r="X38" s="80" t="e">
        <f t="shared" si="61"/>
        <v>#DIV/0!</v>
      </c>
      <c r="Z38" s="44">
        <v>0.40500000000000003</v>
      </c>
      <c r="AA38" s="11">
        <f t="shared" si="46"/>
        <v>-0.98518518518518516</v>
      </c>
      <c r="AB38" s="72"/>
      <c r="AC38" s="22"/>
      <c r="AD38" s="23">
        <f>IF(ISERROR(VLOOKUP($B38,[1]Hedef!$A$4:$ES$45409,29,0)),0,VLOOKUP($B38,[1]Hedef!$A$4:$ES$45409,29,0))</f>
        <v>2.1999999999999999E-2</v>
      </c>
      <c r="AE38" s="23" t="str">
        <f t="shared" si="62"/>
        <v>-</v>
      </c>
      <c r="AF38" s="80" t="e">
        <f t="shared" si="63"/>
        <v>#DIV/0!</v>
      </c>
      <c r="AH38" s="44">
        <v>1.8740000000000001</v>
      </c>
      <c r="AI38" s="11">
        <f t="shared" si="64"/>
        <v>-0.98826040554962646</v>
      </c>
      <c r="AK38" s="129">
        <f>IF(ISERROR(VLOOKUP($B38,[1]Hedef!$A$4:$ES$45409,31,0)),0,VLOOKUP($B38,[1]Hedef!$A$4:$ES$45409,31,0))</f>
        <v>2E-3</v>
      </c>
      <c r="AM38" s="22">
        <f t="shared" si="65"/>
        <v>0</v>
      </c>
      <c r="AN38" s="23">
        <f t="shared" si="66"/>
        <v>6.6000000000000003E-2</v>
      </c>
      <c r="AO38" s="23" t="str">
        <f t="shared" si="67"/>
        <v>-</v>
      </c>
      <c r="AP38" s="80" t="e">
        <f t="shared" si="68"/>
        <v>#DIV/0!</v>
      </c>
      <c r="AR38" s="44">
        <f t="shared" si="69"/>
        <v>5.5329999999999995</v>
      </c>
      <c r="AS38" s="11">
        <f t="shared" si="55"/>
        <v>-0.98807157057654083</v>
      </c>
      <c r="AT38" s="45"/>
      <c r="AU38" s="12">
        <f>AM38-'GENEL HEDEF'!M38</f>
        <v>-6</v>
      </c>
      <c r="AV38" s="15">
        <f>AN38-'GENEL HEDEF'!N38</f>
        <v>0</v>
      </c>
    </row>
    <row r="39" spans="1:48" ht="14" thickTop="1" thickBot="1" x14ac:dyDescent="0.2">
      <c r="B39" s="18"/>
      <c r="C39" s="2" t="s">
        <v>26</v>
      </c>
      <c r="D39" s="109"/>
      <c r="E39" s="67">
        <f>SUM(E31:E38)</f>
        <v>0</v>
      </c>
      <c r="F39" s="67">
        <f>SUM(F31:F38)</f>
        <v>0.19029500000000002</v>
      </c>
      <c r="G39" s="67">
        <f>SUM(G31:G38)</f>
        <v>0</v>
      </c>
      <c r="H39" s="39" t="e">
        <f>TRUNC(IF((F39/E39)&gt;1.2,"120%",(F39/E39)),2)</f>
        <v>#DIV/0!</v>
      </c>
      <c r="I39" s="109"/>
      <c r="J39" s="115"/>
      <c r="K39" s="48"/>
      <c r="L39" s="109"/>
      <c r="M39" s="67">
        <f>SUM(M31:M38)</f>
        <v>0</v>
      </c>
      <c r="N39" s="67">
        <f>SUM(N31:N38)</f>
        <v>0.12144500000000003</v>
      </c>
      <c r="O39" s="67">
        <f>SUM(O31:O38)</f>
        <v>0</v>
      </c>
      <c r="P39" s="39" t="e">
        <f>TRUNC(IF((N39/M39)&gt;1.2,"120%",(N39/M39)),2)</f>
        <v>#DIV/0!</v>
      </c>
      <c r="Q39" s="109"/>
      <c r="R39" s="115"/>
      <c r="S39" s="48"/>
      <c r="T39" s="109"/>
      <c r="U39" s="67">
        <f>SUM(U31:U38)</f>
        <v>0</v>
      </c>
      <c r="V39" s="67">
        <f>SUM(V31:V38)</f>
        <v>4.9494999999999997E-2</v>
      </c>
      <c r="W39" s="67">
        <f>SUM(W31:W38)</f>
        <v>0</v>
      </c>
      <c r="X39" s="39" t="e">
        <f>TRUNC(IF((V39/U39)&gt;1.2,"120%",(V39/U39)),2)</f>
        <v>#DIV/0!</v>
      </c>
      <c r="Y39" s="109"/>
      <c r="Z39" s="115"/>
      <c r="AA39" s="48"/>
      <c r="AB39" s="74"/>
      <c r="AC39" s="67">
        <f>SUM(AC31:AC38)</f>
        <v>0</v>
      </c>
      <c r="AD39" s="67">
        <f>SUM(AD31:AD38)</f>
        <v>9.2340000000000005E-2</v>
      </c>
      <c r="AE39" s="67">
        <f>SUM(AE31:AE38)</f>
        <v>0</v>
      </c>
      <c r="AF39" s="39" t="e">
        <f>TRUNC(IF((AD39/AC39)&gt;1.2,"120%",(AD39/AC39)),2)</f>
        <v>#DIV/0!</v>
      </c>
      <c r="AG39" s="109"/>
      <c r="AH39" s="115"/>
      <c r="AI39" s="48"/>
      <c r="AJ39" s="109"/>
      <c r="AK39" s="105">
        <f>SUM(AK31:AK38)</f>
        <v>6.3599999999999993E-3</v>
      </c>
      <c r="AL39" s="109"/>
      <c r="AM39" s="67">
        <f>SUM(AM31:AM38)</f>
        <v>0</v>
      </c>
      <c r="AN39" s="67">
        <f>SUM(AN31:AN38)</f>
        <v>0.45993500000000004</v>
      </c>
      <c r="AO39" s="67">
        <f>SUM(AO31:AO38)</f>
        <v>0</v>
      </c>
      <c r="AP39" s="39" t="e">
        <f>TRUNC(IF((AN39/AM39)&gt;1.2,"120%",(AN39/AM39)),2)</f>
        <v>#DIV/0!</v>
      </c>
      <c r="AR39" s="115"/>
      <c r="AS39" s="48"/>
      <c r="AT39" s="45"/>
      <c r="AU39" s="8"/>
      <c r="AV39" s="9"/>
    </row>
    <row r="40" spans="1:48" ht="12.75" customHeight="1" thickTop="1" x14ac:dyDescent="0.15">
      <c r="B40" s="31">
        <v>22</v>
      </c>
      <c r="C40" s="1" t="s">
        <v>47</v>
      </c>
      <c r="E40" s="22"/>
      <c r="F40" s="23">
        <f>IF(ISERROR(VLOOKUP($B40,[1]Hedef!$A$4:$ES$45409,37,0)),0,VLOOKUP($B40,[1]Hedef!$A$4:$ES$45409,37,0))</f>
        <v>7</v>
      </c>
      <c r="G40" s="35" t="str">
        <f>IF((E40-F40)&lt;0, "-", (E40-F40))</f>
        <v>-</v>
      </c>
      <c r="H40" s="80" t="e">
        <f t="shared" ref="H40:H44" si="70">TRUNC(IF((F40/E40)&gt;1.2,"120%",(F40/E40)),2)</f>
        <v>#DIV/0!</v>
      </c>
      <c r="J40" s="44">
        <v>267.25</v>
      </c>
      <c r="K40" s="11">
        <f>IF(ISERROR((F40-J40)/J40),0,(F40-J40)/J40)</f>
        <v>-0.97380729653882137</v>
      </c>
      <c r="M40" s="22"/>
      <c r="N40" s="23">
        <f>IF(ISERROR(VLOOKUP($B40,[1]Hedef!$A$4:$ES$45409,35,0)),0,VLOOKUP($B40,[1]Hedef!$A$4:$ES$45409,35,0))</f>
        <v>8</v>
      </c>
      <c r="O40" s="35" t="str">
        <f>IF((M40-N40)&lt;0, "-", (M40-N40))</f>
        <v>-</v>
      </c>
      <c r="P40" s="80" t="e">
        <f t="shared" ref="P40:P44" si="71">TRUNC(IF((N40/M40)&gt;1.2,"120%",(N40/M40)),2)</f>
        <v>#DIV/0!</v>
      </c>
      <c r="R40" s="44">
        <v>145.5</v>
      </c>
      <c r="S40" s="11">
        <f>IF(ISERROR((N40-R40)/R40),0,(N40-R40)/R40)</f>
        <v>-0.94501718213058417</v>
      </c>
      <c r="U40" s="22"/>
      <c r="V40" s="23">
        <f>IF(ISERROR(VLOOKUP($B40,[1]Hedef!$A$4:$ES$45409,33,0)),0,VLOOKUP($B40,[1]Hedef!$A$4:$ES$45409,33,0))</f>
        <v>4</v>
      </c>
      <c r="W40" s="35" t="str">
        <f>IF((U40-V40)&lt;0, "-", (U40-V40))</f>
        <v>-</v>
      </c>
      <c r="X40" s="80" t="e">
        <f t="shared" ref="X40:X44" si="72">TRUNC(IF((V40/U40)&gt;1.2,"120%",(V40/U40)),2)</f>
        <v>#DIV/0!</v>
      </c>
      <c r="Z40" s="44">
        <v>164</v>
      </c>
      <c r="AA40" s="11">
        <f>IF(ISERROR((V40-Z40)/Z40),0,(V40-Z40)/Z40)</f>
        <v>-0.97560975609756095</v>
      </c>
      <c r="AB40" s="72"/>
      <c r="AC40" s="22"/>
      <c r="AD40" s="23">
        <f>IF(ISERROR(VLOOKUP($B40,[1]Hedef!$A$4:$ES$45409,29,0)),0,VLOOKUP($B40,[1]Hedef!$A$4:$ES$45409,29,0))</f>
        <v>6</v>
      </c>
      <c r="AE40" s="35" t="str">
        <f>IF((AC40-AD40)&lt;0, "-", (AC40-AD40))</f>
        <v>-</v>
      </c>
      <c r="AF40" s="80" t="e">
        <f t="shared" ref="AF40:AF44" si="73">TRUNC(IF((AD40/AC40)&gt;1.2,"120%",(AD40/AC40)),2)</f>
        <v>#DIV/0!</v>
      </c>
      <c r="AH40" s="44">
        <v>124.91666666666667</v>
      </c>
      <c r="AI40" s="11">
        <f>IF(ISERROR((AD40-AH40)/AH40),0,(AD40-AH40)/AH40)</f>
        <v>-0.95196797865243499</v>
      </c>
      <c r="AK40" s="129">
        <f>IF(ISERROR(VLOOKUP($B40,[1]Hedef!$A$4:$ES$45409,31,0)),0,VLOOKUP($B40,[1]Hedef!$A$4:$ES$45409,31,0))</f>
        <v>0</v>
      </c>
      <c r="AM40" s="22">
        <f>+U40+M40+E40+AC40</f>
        <v>0</v>
      </c>
      <c r="AN40" s="23">
        <f>V40+N40+F40+AD40+AK40</f>
        <v>25</v>
      </c>
      <c r="AO40" s="35" t="str">
        <f>IF((AM40-AN40)&lt;0, "-", (AM40-AN40))</f>
        <v>-</v>
      </c>
      <c r="AP40" s="80" t="e">
        <f t="shared" ref="AP40:AP44" si="74">TRUNC(IF((AN40/AM40)&gt;1.2,"120%",(AN40/AM40)),2)</f>
        <v>#DIV/0!</v>
      </c>
      <c r="AR40" s="44">
        <f>+AH40+Z40+R40+J40</f>
        <v>701.66666666666674</v>
      </c>
      <c r="AS40" s="11">
        <f>IF(ISERROR((AN40-AR40)/AR40),0,(AN40-AR40)/AR40)</f>
        <v>-0.96437054631828978</v>
      </c>
      <c r="AT40" s="45"/>
      <c r="AU40" s="12">
        <f>AM40-'GENEL HEDEF'!M40</f>
        <v>-825</v>
      </c>
      <c r="AV40" s="15">
        <f>AN40-'GENEL HEDEF'!N40</f>
        <v>0</v>
      </c>
    </row>
    <row r="41" spans="1:48" x14ac:dyDescent="0.15">
      <c r="B41" s="31">
        <v>999</v>
      </c>
      <c r="C41" s="1" t="s">
        <v>48</v>
      </c>
      <c r="E41" s="22"/>
      <c r="F41" s="23">
        <f>IF(ISERROR(VLOOKUP($B41,[1]Hedef!$A$4:$ES$45409,37,0)),0,VLOOKUP($B41,[1]Hedef!$A$4:$ES$45409,37,0))</f>
        <v>6</v>
      </c>
      <c r="G41" s="35" t="str">
        <f>IF((E41-F41)&lt;0, "-", (E41-F41))</f>
        <v>-</v>
      </c>
      <c r="H41" s="80" t="e">
        <f t="shared" si="70"/>
        <v>#DIV/0!</v>
      </c>
      <c r="J41" s="44">
        <v>127.16666666666663</v>
      </c>
      <c r="K41" s="11">
        <f t="shared" si="40"/>
        <v>-0.95281782437745743</v>
      </c>
      <c r="M41" s="22"/>
      <c r="N41" s="23">
        <f>IF(ISERROR(VLOOKUP($B41,[1]Hedef!$A$4:$ES$45409,35,0)),0,VLOOKUP($B41,[1]Hedef!$A$4:$ES$45409,35,0))</f>
        <v>14</v>
      </c>
      <c r="O41" s="35" t="str">
        <f>IF((M41-N41)&lt;0, "-", (M41-N41))</f>
        <v>-</v>
      </c>
      <c r="P41" s="80" t="e">
        <f t="shared" si="71"/>
        <v>#DIV/0!</v>
      </c>
      <c r="R41" s="44">
        <v>177</v>
      </c>
      <c r="S41" s="11">
        <f t="shared" si="43"/>
        <v>-0.92090395480225984</v>
      </c>
      <c r="U41" s="22"/>
      <c r="V41" s="23">
        <f>IF(ISERROR(VLOOKUP($B41,[1]Hedef!$A$4:$ES$45409,33,0)),0,VLOOKUP($B41,[1]Hedef!$A$4:$ES$45409,33,0))</f>
        <v>12</v>
      </c>
      <c r="W41" s="35" t="str">
        <f>IF((U41-V41)&lt;0, "-", (U41-V41))</f>
        <v>-</v>
      </c>
      <c r="X41" s="80" t="e">
        <f t="shared" si="72"/>
        <v>#DIV/0!</v>
      </c>
      <c r="Z41" s="44">
        <v>269</v>
      </c>
      <c r="AA41" s="11">
        <f t="shared" si="46"/>
        <v>-0.95539033457249067</v>
      </c>
      <c r="AB41" s="72"/>
      <c r="AC41" s="22"/>
      <c r="AD41" s="23">
        <f>IF(ISERROR(VLOOKUP($B41,[1]Hedef!$A$4:$ES$45409,29,0)),0,VLOOKUP($B41,[1]Hedef!$A$4:$ES$45409,29,0))</f>
        <v>3</v>
      </c>
      <c r="AE41" s="35" t="str">
        <f>IF((AC41-AD41)&lt;0, "-", (AC41-AD41))</f>
        <v>-</v>
      </c>
      <c r="AF41" s="80" t="e">
        <f t="shared" si="73"/>
        <v>#DIV/0!</v>
      </c>
      <c r="AH41" s="44">
        <v>150.625</v>
      </c>
      <c r="AI41" s="11">
        <f>IF(ISERROR((AD41-AH41)/AH41),0,(AD41-AH41)/AH41)</f>
        <v>-0.98008298755186718</v>
      </c>
      <c r="AK41" s="129">
        <f>IF(ISERROR(VLOOKUP($B41,[1]Hedef!$A$4:$ES$45409,31,0)),0,VLOOKUP($B41,[1]Hedef!$A$4:$ES$45409,31,0))</f>
        <v>5</v>
      </c>
      <c r="AM41" s="22">
        <f>+U41+M41+E41+AC41</f>
        <v>0</v>
      </c>
      <c r="AN41" s="23">
        <f>V41+N41+F41+AD41+AK41</f>
        <v>40</v>
      </c>
      <c r="AO41" s="35" t="str">
        <f>IF((AM41-AN41)&lt;0, "-", (AM41-AN41))</f>
        <v>-</v>
      </c>
      <c r="AP41" s="80" t="e">
        <f t="shared" si="74"/>
        <v>#DIV/0!</v>
      </c>
      <c r="AR41" s="44">
        <f>+AH41+Z41+R41+J41</f>
        <v>723.79166666666663</v>
      </c>
      <c r="AS41" s="11">
        <f t="shared" si="55"/>
        <v>-0.94473547867134877</v>
      </c>
      <c r="AT41" s="45"/>
      <c r="AU41" s="12">
        <f>AM41-'GENEL HEDEF'!M41</f>
        <v>-1100</v>
      </c>
      <c r="AV41" s="15">
        <f>AN41-'GENEL HEDEF'!N41</f>
        <v>0</v>
      </c>
    </row>
    <row r="42" spans="1:48" ht="12" customHeight="1" x14ac:dyDescent="0.15">
      <c r="B42" s="18">
        <v>888</v>
      </c>
      <c r="C42" s="1" t="s">
        <v>27</v>
      </c>
      <c r="E42" s="22"/>
      <c r="F42" s="23">
        <f>IF(ISERROR(VLOOKUP($B42,[1]Hedef!$A$4:$ES$45409,37,0)),0,VLOOKUP($B42,[1]Hedef!$A$4:$ES$45409,37,0))</f>
        <v>4</v>
      </c>
      <c r="G42" s="23" t="str">
        <f>IF((E42-F42)&lt;0, "-", (E42-F42))</f>
        <v>-</v>
      </c>
      <c r="H42" s="80" t="e">
        <f t="shared" si="70"/>
        <v>#DIV/0!</v>
      </c>
      <c r="J42" s="44">
        <v>33.416666666666671</v>
      </c>
      <c r="K42" s="11">
        <f>IF(ISERROR((F42-J42)/J42),0,(F42-J42)/J42)</f>
        <v>-0.88029925187032421</v>
      </c>
      <c r="M42" s="22"/>
      <c r="N42" s="23">
        <f>IF(ISERROR(VLOOKUP($B42,[1]Hedef!$A$4:$ES$45409,35,0)),0,VLOOKUP($B42,[1]Hedef!$A$4:$ES$45409,35,0))</f>
        <v>2</v>
      </c>
      <c r="O42" s="23" t="str">
        <f>IF((M42-N42)&lt;0, "-", (M42-N42))</f>
        <v>-</v>
      </c>
      <c r="P42" s="80" t="e">
        <f t="shared" si="71"/>
        <v>#DIV/0!</v>
      </c>
      <c r="R42" s="44">
        <v>10</v>
      </c>
      <c r="S42" s="11">
        <f>IF(ISERROR((N42-R42)/R42),0,(N42-R42)/R42)</f>
        <v>-0.8</v>
      </c>
      <c r="U42" s="22"/>
      <c r="V42" s="23">
        <f>IF(ISERROR(VLOOKUP($B42,[1]Hedef!$A$4:$ES$45409,33,0)),0,VLOOKUP($B42,[1]Hedef!$A$4:$ES$45409,33,0))</f>
        <v>1</v>
      </c>
      <c r="W42" s="23" t="str">
        <f>IF((U42-V42)&lt;0, "-", (U42-V42))</f>
        <v>-</v>
      </c>
      <c r="X42" s="80" t="e">
        <f t="shared" si="72"/>
        <v>#DIV/0!</v>
      </c>
      <c r="Z42" s="44">
        <v>48</v>
      </c>
      <c r="AA42" s="11">
        <f>IF(ISERROR((V42-Z42)/Z42),0,(V42-Z42)/Z42)</f>
        <v>-0.97916666666666663</v>
      </c>
      <c r="AB42" s="72"/>
      <c r="AC42" s="22"/>
      <c r="AD42" s="23">
        <f>IF(ISERROR(VLOOKUP($B42,[1]Hedef!$A$4:$ES$45409,29,0)),0,VLOOKUP($B42,[1]Hedef!$A$4:$ES$45409,29,0))</f>
        <v>1</v>
      </c>
      <c r="AE42" s="23" t="str">
        <f>IF((AC42-AD42)&lt;0, "-", (AC42-AD42))</f>
        <v>-</v>
      </c>
      <c r="AF42" s="80" t="e">
        <f t="shared" si="73"/>
        <v>#DIV/0!</v>
      </c>
      <c r="AH42" s="44">
        <v>38.75</v>
      </c>
      <c r="AI42" s="11">
        <f>IF(ISERROR((AD42-AH42)/AH42),0,(AD42-AH42)/AH42)</f>
        <v>-0.97419354838709682</v>
      </c>
      <c r="AK42" s="129">
        <f>IF(ISERROR(VLOOKUP($B42,[1]Hedef!$A$4:$ES$45409,31,0)),0,VLOOKUP($B42,[1]Hedef!$A$4:$ES$45409,31,0))</f>
        <v>0</v>
      </c>
      <c r="AM42" s="22">
        <f>+U42+M42+E42+AC42</f>
        <v>0</v>
      </c>
      <c r="AN42" s="23">
        <f>V42+N42+F42+AD42+AK42</f>
        <v>8</v>
      </c>
      <c r="AO42" s="23" t="str">
        <f>IF((AM42-AN42)&lt;0, "-", (AM42-AN42))</f>
        <v>-</v>
      </c>
      <c r="AP42" s="80" t="e">
        <f t="shared" si="74"/>
        <v>#DIV/0!</v>
      </c>
      <c r="AR42" s="44">
        <f>+AH42+Z42+R42+J42</f>
        <v>130.16666666666669</v>
      </c>
      <c r="AS42" s="11">
        <f>IF(ISERROR((AN42-AR42)/AR42),0,(AN42-AR42)/AR42)</f>
        <v>-0.93854033290653005</v>
      </c>
      <c r="AT42" s="45"/>
      <c r="AU42" s="12">
        <f>AM42-'GENEL HEDEF'!M42</f>
        <v>-390</v>
      </c>
      <c r="AV42" s="15">
        <f>AN42-'GENEL HEDEF'!N42</f>
        <v>0</v>
      </c>
    </row>
    <row r="43" spans="1:48" ht="12" customHeight="1" x14ac:dyDescent="0.15">
      <c r="B43" s="18">
        <v>14</v>
      </c>
      <c r="C43" s="1" t="s">
        <v>131</v>
      </c>
      <c r="E43" s="22"/>
      <c r="F43" s="23">
        <f>IF(ISERROR(VLOOKUP($B43,[1]Hedef!$A$4:$ES$45409,37,0)),0,VLOOKUP($B43,[1]Hedef!$A$4:$ES$45409,37,0))</f>
        <v>0</v>
      </c>
      <c r="G43" s="23">
        <f>IF((E43-F43)&lt;0, "-", (E43-F43))</f>
        <v>0</v>
      </c>
      <c r="H43" s="80" t="e">
        <f t="shared" si="70"/>
        <v>#DIV/0!</v>
      </c>
      <c r="J43" s="44">
        <v>3.8944444444444439</v>
      </c>
      <c r="K43" s="11">
        <f t="shared" ref="K43" si="75">IF(ISERROR((F43-J43)/J43),0,(F43-J43)/J43)</f>
        <v>-1</v>
      </c>
      <c r="M43" s="22"/>
      <c r="N43" s="23">
        <f>IF(ISERROR(VLOOKUP($B43,[1]Hedef!$A$4:$ES$45409,35,0)),0,VLOOKUP($B43,[1]Hedef!$A$4:$ES$45409,35,0))</f>
        <v>0</v>
      </c>
      <c r="O43" s="23">
        <f>IF((M43-N43)&lt;0, "-", (M43-N43))</f>
        <v>0</v>
      </c>
      <c r="P43" s="80" t="e">
        <f t="shared" si="71"/>
        <v>#DIV/0!</v>
      </c>
      <c r="R43" s="44">
        <v>1.9444466577777781</v>
      </c>
      <c r="S43" s="11">
        <f t="shared" ref="S43" si="76">IF(ISERROR((N43-R43)/R43),0,(N43-R43)/R43)</f>
        <v>-1</v>
      </c>
      <c r="U43" s="22"/>
      <c r="V43" s="23">
        <f>IF(ISERROR(VLOOKUP($B43,[1]Hedef!$A$4:$ES$45409,33,0)),0,VLOOKUP($B43,[1]Hedef!$A$4:$ES$45409,33,0))</f>
        <v>0</v>
      </c>
      <c r="W43" s="23">
        <f>IF((U43-V43)&lt;0, "-", (U43-V43))</f>
        <v>0</v>
      </c>
      <c r="X43" s="80" t="e">
        <f t="shared" si="72"/>
        <v>#DIV/0!</v>
      </c>
      <c r="Z43" s="44">
        <v>3.2500022133333371</v>
      </c>
      <c r="AA43" s="11">
        <f t="shared" ref="AA43" si="77">IF(ISERROR((V43-Z43)/Z43),0,(V43-Z43)/Z43)</f>
        <v>-1</v>
      </c>
      <c r="AB43" s="72"/>
      <c r="AC43" s="22"/>
      <c r="AD43" s="23">
        <f>IF(ISERROR(VLOOKUP($B43,[1]Hedef!$A$4:$ES$45409,29,0)),0,VLOOKUP($B43,[1]Hedef!$A$4:$ES$45409,29,0))</f>
        <v>0</v>
      </c>
      <c r="AE43" s="23">
        <f>IF((AC43-AD43)&lt;0, "-", (AC43-AD43))</f>
        <v>0</v>
      </c>
      <c r="AF43" s="80" t="e">
        <f t="shared" si="73"/>
        <v>#DIV/0!</v>
      </c>
      <c r="AH43" s="44">
        <v>2.9027799911111112</v>
      </c>
      <c r="AI43" s="11">
        <f>IF(ISERROR((AD43-AH43)/AH43),0,(AD43-AH43)/AH43)</f>
        <v>-1</v>
      </c>
      <c r="AK43" s="129">
        <f>IF(ISERROR(VLOOKUP($B43,[1]Hedef!$A$4:$ES$45409,31,0)),0,VLOOKUP($B43,[1]Hedef!$A$4:$ES$45409,31,0))</f>
        <v>0</v>
      </c>
      <c r="AM43" s="22">
        <f>+U43+M43+E43+AC43</f>
        <v>0</v>
      </c>
      <c r="AN43" s="23">
        <f>V43+N43+F43+AD43+AK43</f>
        <v>0</v>
      </c>
      <c r="AO43" s="23">
        <f>IF((AM43-AN43)&lt;0, "-", (AM43-AN43))</f>
        <v>0</v>
      </c>
      <c r="AP43" s="80" t="e">
        <f t="shared" si="74"/>
        <v>#DIV/0!</v>
      </c>
      <c r="AR43" s="44">
        <f>+AH43+Z43+R43+J43</f>
        <v>11.991673306666671</v>
      </c>
      <c r="AS43" s="11">
        <f t="shared" ref="AS43" si="78">IF(ISERROR((AN43-AR43)/AR43),0,(AN43-AR43)/AR43)</f>
        <v>-1</v>
      </c>
      <c r="AT43" s="45"/>
      <c r="AU43" s="12">
        <f>AM43-'GENEL HEDEF'!M43</f>
        <v>-19</v>
      </c>
      <c r="AV43" s="15">
        <f>AN43-'GENEL HEDEF'!N43</f>
        <v>0</v>
      </c>
    </row>
    <row r="44" spans="1:48" ht="12.75" customHeight="1" thickBot="1" x14ac:dyDescent="0.2">
      <c r="B44" s="18">
        <v>17</v>
      </c>
      <c r="C44" s="1" t="s">
        <v>61</v>
      </c>
      <c r="E44" s="22"/>
      <c r="F44" s="23">
        <f>IF(ISERROR(VLOOKUP($B44,[1]Hedef!$A$4:$ES$45409,37,0)),0,VLOOKUP($B44,[1]Hedef!$A$4:$ES$45409,37,0))</f>
        <v>0</v>
      </c>
      <c r="G44" s="23">
        <f>IF((E44-F44)&lt;0, "-", (E44-F44))</f>
        <v>0</v>
      </c>
      <c r="H44" s="80" t="e">
        <f t="shared" si="70"/>
        <v>#DIV/0!</v>
      </c>
      <c r="J44" s="44">
        <v>11.333333333333339</v>
      </c>
      <c r="K44" s="11">
        <f t="shared" si="40"/>
        <v>-1</v>
      </c>
      <c r="M44" s="22"/>
      <c r="N44" s="23">
        <f>IF(ISERROR(VLOOKUP($B44,[1]Hedef!$A$4:$ES$45409,35,0)),0,VLOOKUP($B44,[1]Hedef!$A$4:$ES$45409,35,0))</f>
        <v>0</v>
      </c>
      <c r="O44" s="23">
        <f>IF((M44-N44)&lt;0, "-", (M44-N44))</f>
        <v>0</v>
      </c>
      <c r="P44" s="80" t="e">
        <f t="shared" si="71"/>
        <v>#DIV/0!</v>
      </c>
      <c r="R44" s="44">
        <v>5.8333333333333375</v>
      </c>
      <c r="S44" s="11">
        <f t="shared" si="43"/>
        <v>-1</v>
      </c>
      <c r="U44" s="22"/>
      <c r="V44" s="23">
        <f>IF(ISERROR(VLOOKUP($B44,[1]Hedef!$A$4:$ES$45409,33,0)),0,VLOOKUP($B44,[1]Hedef!$A$4:$ES$45409,33,0))</f>
        <v>0</v>
      </c>
      <c r="W44" s="23">
        <f>IF((U44-V44)&lt;0, "-", (U44-V44))</f>
        <v>0</v>
      </c>
      <c r="X44" s="80" t="e">
        <f t="shared" si="72"/>
        <v>#DIV/0!</v>
      </c>
      <c r="Z44" s="44">
        <v>13</v>
      </c>
      <c r="AA44" s="11">
        <f t="shared" si="46"/>
        <v>-1</v>
      </c>
      <c r="AB44" s="72"/>
      <c r="AC44" s="22"/>
      <c r="AD44" s="23">
        <f>IF(ISERROR(VLOOKUP($B44,[1]Hedef!$A$4:$ES$45409,29,0)),0,VLOOKUP($B44,[1]Hedef!$A$4:$ES$45409,29,0))</f>
        <v>0</v>
      </c>
      <c r="AE44" s="23">
        <f>IF((AC44-AD44)&lt;0, "-", (AC44-AD44))</f>
        <v>0</v>
      </c>
      <c r="AF44" s="80" t="e">
        <f t="shared" si="73"/>
        <v>#DIV/0!</v>
      </c>
      <c r="AH44" s="44">
        <v>7.25</v>
      </c>
      <c r="AI44" s="11">
        <f>IF(ISERROR((AD44-AH44)/AH44),0,(AD44-AH44)/AH44)</f>
        <v>-1</v>
      </c>
      <c r="AK44" s="129">
        <f>IF(ISERROR(VLOOKUP($B44,[1]Hedef!$A$4:$ES$45409,31,0)),0,VLOOKUP($B44,[1]Hedef!$A$4:$ES$45409,31,0))</f>
        <v>0.33333333333333298</v>
      </c>
      <c r="AM44" s="22">
        <f>+U44+M44+E44+AC44</f>
        <v>0</v>
      </c>
      <c r="AN44" s="23">
        <f>V44+N44+F44+AD44+AK44</f>
        <v>0.33333333333333298</v>
      </c>
      <c r="AO44" s="23" t="str">
        <f>IF((AM44-AN44)&lt;0, "-", (AM44-AN44))</f>
        <v>-</v>
      </c>
      <c r="AP44" s="80" t="e">
        <f t="shared" si="74"/>
        <v>#DIV/0!</v>
      </c>
      <c r="AR44" s="44">
        <f>+AH44+Z44+R44+J44</f>
        <v>37.416666666666671</v>
      </c>
      <c r="AS44" s="11">
        <f t="shared" si="55"/>
        <v>-0.99109131403118034</v>
      </c>
      <c r="AT44" s="45"/>
      <c r="AU44" s="12">
        <f>AM44-'GENEL HEDEF'!M44</f>
        <v>-57</v>
      </c>
      <c r="AV44" s="15">
        <f>AN44-'GENEL HEDEF'!N44</f>
        <v>0</v>
      </c>
    </row>
    <row r="45" spans="1:48" ht="14" thickTop="1" thickBot="1" x14ac:dyDescent="0.2">
      <c r="B45" s="18"/>
      <c r="C45" s="2" t="s">
        <v>28</v>
      </c>
      <c r="D45" s="109"/>
      <c r="E45" s="67">
        <f>SUM(E40:E44)</f>
        <v>0</v>
      </c>
      <c r="F45" s="41">
        <f>SUM(F40:F44)</f>
        <v>17</v>
      </c>
      <c r="G45" s="41">
        <f>SUM(G41:G44)</f>
        <v>0</v>
      </c>
      <c r="H45" s="39" t="e">
        <f>TRUNC(IF((F45/E45)&gt;1.2,"120%",(F45/E45)),2)</f>
        <v>#DIV/0!</v>
      </c>
      <c r="I45" s="109"/>
      <c r="J45" s="115"/>
      <c r="K45" s="48"/>
      <c r="L45" s="109"/>
      <c r="M45" s="67">
        <f>SUM(M40:M44)</f>
        <v>0</v>
      </c>
      <c r="N45" s="41">
        <f>SUM(N40:N44)</f>
        <v>24</v>
      </c>
      <c r="O45" s="41">
        <f>SUM(O41:O44)</f>
        <v>0</v>
      </c>
      <c r="P45" s="39" t="e">
        <f>TRUNC(IF((N45/M45)&gt;1.2,"120%",(N45/M45)),2)</f>
        <v>#DIV/0!</v>
      </c>
      <c r="Q45" s="109"/>
      <c r="R45" s="115"/>
      <c r="S45" s="48"/>
      <c r="T45" s="109"/>
      <c r="U45" s="67">
        <f>SUM(U40:U44)</f>
        <v>0</v>
      </c>
      <c r="V45" s="41">
        <f>SUM(V40:V44)</f>
        <v>17</v>
      </c>
      <c r="W45" s="41">
        <f>SUM(W41:W44)</f>
        <v>0</v>
      </c>
      <c r="X45" s="39" t="e">
        <f>TRUNC(IF((V45/U45)&gt;1.2,"120%",(V45/U45)),2)</f>
        <v>#DIV/0!</v>
      </c>
      <c r="Y45" s="109"/>
      <c r="Z45" s="115"/>
      <c r="AA45" s="48"/>
      <c r="AB45" s="74"/>
      <c r="AC45" s="67">
        <f>SUM(AC40:AC44)</f>
        <v>0</v>
      </c>
      <c r="AD45" s="41">
        <f>SUM(AD40:AD44)</f>
        <v>10</v>
      </c>
      <c r="AE45" s="41">
        <f>SUM(AE41:AE44)</f>
        <v>0</v>
      </c>
      <c r="AF45" s="39" t="e">
        <f>TRUNC(IF((AD45/AC45)&gt;1.2,"120%",(AD45/AC45)),2)</f>
        <v>#DIV/0!</v>
      </c>
      <c r="AG45" s="109"/>
      <c r="AH45" s="115"/>
      <c r="AI45" s="48"/>
      <c r="AJ45" s="109"/>
      <c r="AK45" s="111">
        <f>SUM(AK40:AK44)</f>
        <v>5.333333333333333</v>
      </c>
      <c r="AL45" s="109"/>
      <c r="AM45" s="67">
        <f>SUM(AM40:AM44)</f>
        <v>0</v>
      </c>
      <c r="AN45" s="41">
        <f>SUM(AN40:AN44)</f>
        <v>73.333333333333329</v>
      </c>
      <c r="AO45" s="41">
        <f>SUM(AO41:AO44)</f>
        <v>0</v>
      </c>
      <c r="AP45" s="39" t="e">
        <f>TRUNC(IF((AN45/AM45)&gt;1.2,"120%",(AN45/AM45)),2)</f>
        <v>#DIV/0!</v>
      </c>
      <c r="AR45" s="115"/>
      <c r="AS45" s="48"/>
      <c r="AT45" s="45"/>
      <c r="AU45" s="8"/>
      <c r="AV45" s="9"/>
    </row>
    <row r="46" spans="1:48" ht="12.75" customHeight="1" thickTop="1" x14ac:dyDescent="0.15">
      <c r="B46" s="18">
        <v>52</v>
      </c>
      <c r="C46" s="1" t="s">
        <v>68</v>
      </c>
      <c r="E46" s="22"/>
      <c r="F46" s="23">
        <f>IF(ISERROR(VLOOKUP($B46,[1]Hedef!$A$4:$ES$45409,37,0)),0,VLOOKUP($B46,[1]Hedef!$A$4:$ES$45409,37,0))</f>
        <v>0</v>
      </c>
      <c r="G46" s="23">
        <f t="shared" ref="G46:G56" si="79">IF((E46-F46)&lt;0, "-", (E46-F46))</f>
        <v>0</v>
      </c>
      <c r="H46" s="80"/>
      <c r="J46" s="44">
        <v>0</v>
      </c>
      <c r="K46" s="11">
        <f t="shared" si="40"/>
        <v>0</v>
      </c>
      <c r="M46" s="22"/>
      <c r="N46" s="23">
        <f>IF(ISERROR(VLOOKUP($B46,[1]Hedef!$A$4:$ES$45409,35,0)),0,VLOOKUP($B46,[1]Hedef!$A$4:$ES$45409,35,0))</f>
        <v>0</v>
      </c>
      <c r="O46" s="23">
        <f t="shared" ref="O46:O56" si="80">IF((M46-N46)&lt;0, "-", (M46-N46))</f>
        <v>0</v>
      </c>
      <c r="P46" s="80"/>
      <c r="R46" s="44">
        <v>0</v>
      </c>
      <c r="S46" s="11">
        <f t="shared" si="43"/>
        <v>0</v>
      </c>
      <c r="U46" s="22"/>
      <c r="V46" s="23">
        <f>IF(ISERROR(VLOOKUP($B46,[1]Hedef!$A$4:$ES$45409,33,0)),0,VLOOKUP($B46,[1]Hedef!$A$4:$ES$45409,33,0))</f>
        <v>0</v>
      </c>
      <c r="W46" s="23">
        <f>IF((U46-V46)&lt;0, "-", (U46-V46))</f>
        <v>0</v>
      </c>
      <c r="X46" s="80"/>
      <c r="Z46" s="44">
        <v>0</v>
      </c>
      <c r="AA46" s="11">
        <f t="shared" si="46"/>
        <v>0</v>
      </c>
      <c r="AB46" s="72"/>
      <c r="AC46" s="22"/>
      <c r="AD46" s="23">
        <f>IF(ISERROR(VLOOKUP($B46,[1]Hedef!$A$4:$ES$45409,29,0)),0,VLOOKUP($B46,[1]Hedef!$A$4:$ES$45409,29,0))</f>
        <v>0</v>
      </c>
      <c r="AE46" s="23">
        <f>IF((AC46-AD46)&lt;0, "-", (AC46-AD46))</f>
        <v>0</v>
      </c>
      <c r="AF46" s="80"/>
      <c r="AH46" s="44">
        <v>1.2E-2</v>
      </c>
      <c r="AI46" s="11">
        <f t="shared" ref="AI46:AI54" si="81">IF(ISERROR((AD46-AH46)/AH46),0,(AD46-AH46)/AH46)</f>
        <v>-1</v>
      </c>
      <c r="AK46" s="129">
        <f>IF(ISERROR(VLOOKUP($B46,[1]Hedef!$A$4:$ES$45409,31,0)),0,VLOOKUP($B46,[1]Hedef!$A$4:$ES$45409,31,0))</f>
        <v>0</v>
      </c>
      <c r="AM46" s="22"/>
      <c r="AN46" s="23">
        <f t="shared" ref="AN46:AN56" si="82">V46+N46+F46+AD46+AK46</f>
        <v>0</v>
      </c>
      <c r="AO46" s="23">
        <f t="shared" ref="AO46:AO56" si="83">IF((AM46-AN46)&lt;0, "-", (AM46-AN46))</f>
        <v>0</v>
      </c>
      <c r="AP46" s="80"/>
      <c r="AR46" s="44">
        <f t="shared" ref="AR46:AR56" si="84">+AH46+Z46+R46+J46</f>
        <v>1.2E-2</v>
      </c>
      <c r="AS46" s="11">
        <f t="shared" si="55"/>
        <v>-1</v>
      </c>
      <c r="AT46" s="45"/>
      <c r="AU46" s="12">
        <f>AM46-'GENEL HEDEF'!M46</f>
        <v>0</v>
      </c>
      <c r="AV46" s="15">
        <f>AN46-'GENEL HEDEF'!N46</f>
        <v>0</v>
      </c>
    </row>
    <row r="47" spans="1:48" ht="12" customHeight="1" x14ac:dyDescent="0.15">
      <c r="B47" s="31">
        <v>55</v>
      </c>
      <c r="C47" s="1" t="s">
        <v>69</v>
      </c>
      <c r="E47" s="22"/>
      <c r="F47" s="23">
        <f>IF(ISERROR(VLOOKUP($B47,[1]Hedef!$A$4:$ES$45409,37,0)),0,VLOOKUP($B47,[1]Hedef!$A$4:$ES$45409,37,0))</f>
        <v>2.9680000000000002E-2</v>
      </c>
      <c r="G47" s="23" t="str">
        <f t="shared" si="79"/>
        <v>-</v>
      </c>
      <c r="H47" s="80" t="e">
        <f>TRUNC(IF((F47/E47)&gt;1.2,"120%",(F47/E47)),2)</f>
        <v>#DIV/0!</v>
      </c>
      <c r="J47" s="44">
        <v>0.13175999999999999</v>
      </c>
      <c r="K47" s="11">
        <f>IF(ISERROR((F47-J47)/J47),0,(F47-J47)/J47)</f>
        <v>-0.77474195506982391</v>
      </c>
      <c r="M47" s="22"/>
      <c r="N47" s="23">
        <f>IF(ISERROR(VLOOKUP($B47,[1]Hedef!$A$4:$ES$45409,35,0)),0,VLOOKUP($B47,[1]Hedef!$A$4:$ES$45409,35,0))</f>
        <v>1.2880000000000001E-2</v>
      </c>
      <c r="O47" s="23" t="str">
        <f t="shared" si="80"/>
        <v>-</v>
      </c>
      <c r="P47" s="80" t="e">
        <f>TRUNC(IF((N47/M47)&gt;1.2,"120%",(N47/M47)),2)</f>
        <v>#DIV/0!</v>
      </c>
      <c r="R47" s="44">
        <v>7.1120000000000003E-2</v>
      </c>
      <c r="S47" s="11">
        <f>IF(ISERROR((N47-R47)/R47),0,(N47-R47)/R47)</f>
        <v>-0.81889763779527558</v>
      </c>
      <c r="U47" s="22"/>
      <c r="V47" s="23">
        <f>IF(ISERROR(VLOOKUP($B47,[1]Hedef!$A$4:$ES$45409,33,0)),0,VLOOKUP($B47,[1]Hedef!$A$4:$ES$45409,33,0))</f>
        <v>8.0000000000000004E-4</v>
      </c>
      <c r="W47" s="23"/>
      <c r="X47" s="80" t="e">
        <f>TRUNC(IF((V47/U47)&gt;1.2,"120%",(V47/U47)),2)</f>
        <v>#DIV/0!</v>
      </c>
      <c r="Z47" s="44">
        <v>6.9360000000000005E-2</v>
      </c>
      <c r="AA47" s="11">
        <f>IF(ISERROR((V47-Z47)/Z47),0,(V47-Z47)/Z47)</f>
        <v>-0.98846597462514429</v>
      </c>
      <c r="AB47" s="72"/>
      <c r="AC47" s="22"/>
      <c r="AD47" s="23">
        <f>IF(ISERROR(VLOOKUP($B47,[1]Hedef!$A$4:$ES$45409,29,0)),0,VLOOKUP($B47,[1]Hedef!$A$4:$ES$45409,29,0))</f>
        <v>6.4000000000000003E-3</v>
      </c>
      <c r="AE47" s="23"/>
      <c r="AF47" s="80" t="e">
        <f>TRUNC(IF((AD47/AC47)&gt;1.2,"120%",(AD47/AC47)),2)</f>
        <v>#DIV/0!</v>
      </c>
      <c r="AH47" s="44">
        <v>0.1026399999999999</v>
      </c>
      <c r="AI47" s="11">
        <f>IF(ISERROR((AD47-AH47)/AH47),0,(AD47-AH47)/AH47)</f>
        <v>-0.93764614185502715</v>
      </c>
      <c r="AK47" s="129">
        <f>IF(ISERROR(VLOOKUP($B47,[1]Hedef!$A$4:$ES$45409,31,0)),0,VLOOKUP($B47,[1]Hedef!$A$4:$ES$45409,31,0))</f>
        <v>0</v>
      </c>
      <c r="AM47" s="22">
        <f>+U47+M47+E47+AC47</f>
        <v>0</v>
      </c>
      <c r="AN47" s="23">
        <f t="shared" si="82"/>
        <v>4.9760000000000006E-2</v>
      </c>
      <c r="AO47" s="23" t="str">
        <f>IF((AM47-AN47)&lt;0, "-", (AM47-AN47))</f>
        <v>-</v>
      </c>
      <c r="AP47" s="80" t="e">
        <f>TRUNC(IF((AN47/AM47)&gt;1.2,"120%",(AN47/AM47)),2)</f>
        <v>#DIV/0!</v>
      </c>
      <c r="AR47" s="44">
        <f t="shared" si="84"/>
        <v>0.37487999999999988</v>
      </c>
      <c r="AS47" s="11">
        <f>IF(ISERROR((AN47-AR47)/AR47),0,(AN47-AR47)/AR47)</f>
        <v>-0.86726419120785303</v>
      </c>
      <c r="AT47" s="45"/>
      <c r="AU47" s="12">
        <f>AM47-'GENEL HEDEF'!M47</f>
        <v>-0.52</v>
      </c>
      <c r="AV47" s="15">
        <f>AN47-'GENEL HEDEF'!N47</f>
        <v>0</v>
      </c>
    </row>
    <row r="48" spans="1:48" ht="12" customHeight="1" x14ac:dyDescent="0.15">
      <c r="B48" s="18">
        <v>61</v>
      </c>
      <c r="C48" s="1" t="s">
        <v>46</v>
      </c>
      <c r="E48" s="22"/>
      <c r="F48" s="23">
        <f>IF(ISERROR(VLOOKUP($B48,[1]Hedef!$A$4:$ES$45409,37,0)),0,VLOOKUP($B48,[1]Hedef!$A$4:$ES$45409,37,0))</f>
        <v>0</v>
      </c>
      <c r="G48" s="23">
        <f>IF((E48-F48)&lt;0, "-", (E48-F48))</f>
        <v>0</v>
      </c>
      <c r="H48" s="80" t="e">
        <f>TRUNC(IF((F48/E48)&gt;1.2,"120%",(F48/E48)),2)</f>
        <v>#DIV/0!</v>
      </c>
      <c r="J48" s="44">
        <v>0</v>
      </c>
      <c r="K48" s="11">
        <f t="shared" si="40"/>
        <v>0</v>
      </c>
      <c r="M48" s="22"/>
      <c r="N48" s="23">
        <f>IF(ISERROR(VLOOKUP($B48,[1]Hedef!$A$4:$ES$45409,35,0)),0,VLOOKUP($B48,[1]Hedef!$A$4:$ES$45409,35,0))</f>
        <v>0</v>
      </c>
      <c r="O48" s="23">
        <f>IF((M48-N48)&lt;0, "-", (M48-N48))</f>
        <v>0</v>
      </c>
      <c r="P48" s="80"/>
      <c r="R48" s="44">
        <v>0</v>
      </c>
      <c r="S48" s="11">
        <f t="shared" si="43"/>
        <v>0</v>
      </c>
      <c r="U48" s="22"/>
      <c r="V48" s="23">
        <f>IF(ISERROR(VLOOKUP($B48,[1]Hedef!$A$4:$ES$45409,33,0)),0,VLOOKUP($B48,[1]Hedef!$A$4:$ES$45409,33,0))</f>
        <v>0</v>
      </c>
      <c r="W48" s="23">
        <f t="shared" ref="W48:W54" si="85">IF((U48-V48)&lt;0, "-", (U48-V48))</f>
        <v>0</v>
      </c>
      <c r="X48" s="80"/>
      <c r="Z48" s="44">
        <v>0</v>
      </c>
      <c r="AA48" s="11">
        <f t="shared" si="46"/>
        <v>0</v>
      </c>
      <c r="AB48" s="72"/>
      <c r="AC48" s="22"/>
      <c r="AD48" s="23">
        <f>IF(ISERROR(VLOOKUP($B48,[1]Hedef!$A$4:$ES$45409,29,0)),0,VLOOKUP($B48,[1]Hedef!$A$4:$ES$45409,29,0))</f>
        <v>0</v>
      </c>
      <c r="AE48" s="23">
        <f t="shared" ref="AE48:AE54" si="86">IF((AC48-AD48)&lt;0, "-", (AC48-AD48))</f>
        <v>0</v>
      </c>
      <c r="AF48" s="80"/>
      <c r="AH48" s="44">
        <v>0</v>
      </c>
      <c r="AI48" s="11">
        <f t="shared" si="81"/>
        <v>0</v>
      </c>
      <c r="AK48" s="129">
        <f>IF(ISERROR(VLOOKUP($B48,[1]Hedef!$A$4:$ES$45409,31,0)),0,VLOOKUP($B48,[1]Hedef!$A$4:$ES$45409,31,0))</f>
        <v>0</v>
      </c>
      <c r="AM48" s="22">
        <f>+U48+M48+E48+AC48</f>
        <v>0</v>
      </c>
      <c r="AN48" s="23">
        <f t="shared" si="82"/>
        <v>0</v>
      </c>
      <c r="AO48" s="23">
        <f t="shared" si="83"/>
        <v>0</v>
      </c>
      <c r="AP48" s="80" t="e">
        <f>TRUNC(IF((AN48/AM48)&gt;1.2,"120%",(AN48/AM48)),2)</f>
        <v>#DIV/0!</v>
      </c>
      <c r="AR48" s="44">
        <f t="shared" si="84"/>
        <v>0</v>
      </c>
      <c r="AS48" s="11">
        <f t="shared" si="55"/>
        <v>0</v>
      </c>
      <c r="AT48" s="45"/>
      <c r="AU48" s="12">
        <f>AM48-'GENEL HEDEF'!M48</f>
        <v>0</v>
      </c>
      <c r="AV48" s="15">
        <f>AN48-'GENEL HEDEF'!N48</f>
        <v>0</v>
      </c>
    </row>
    <row r="49" spans="2:48" ht="12.75" customHeight="1" x14ac:dyDescent="0.15">
      <c r="B49" s="31">
        <v>27</v>
      </c>
      <c r="C49" s="1" t="s">
        <v>158</v>
      </c>
      <c r="E49" s="22"/>
      <c r="F49" s="23">
        <f>IF(ISERROR(VLOOKUP($B49,[1]Hedef!$A$4:$ES$45409,37,0)),0,VLOOKUP($B49,[1]Hedef!$A$4:$ES$45409,37,0))</f>
        <v>0</v>
      </c>
      <c r="G49" s="23">
        <f>IF((E49-F49)&lt;0, "-", (E49-F49))</f>
        <v>0</v>
      </c>
      <c r="H49" s="80"/>
      <c r="J49" s="44">
        <v>0</v>
      </c>
      <c r="K49" s="11">
        <f>IF(ISERROR((F49-J49)/J49),0,(F49-J49)/J49)</f>
        <v>0</v>
      </c>
      <c r="M49" s="22"/>
      <c r="N49" s="23">
        <f>IF(ISERROR(VLOOKUP($B49,[1]Hedef!$A$4:$ES$45409,35,0)),0,VLOOKUP($B49,[1]Hedef!$A$4:$ES$45409,35,0))</f>
        <v>0</v>
      </c>
      <c r="O49" s="23">
        <f>IF((M49-N49)&lt;0, "-", (M49-N49))</f>
        <v>0</v>
      </c>
      <c r="P49" s="80"/>
      <c r="R49" s="44">
        <v>0</v>
      </c>
      <c r="S49" s="11">
        <f>IF(ISERROR((N49-R49)/R49),0,(N49-R49)/R49)</f>
        <v>0</v>
      </c>
      <c r="U49" s="22"/>
      <c r="V49" s="23">
        <f>IF(ISERROR(VLOOKUP($B49,[1]Hedef!$A$4:$ES$45409,33,0)),0,VLOOKUP($B49,[1]Hedef!$A$4:$ES$45409,33,0))</f>
        <v>0</v>
      </c>
      <c r="W49" s="23">
        <f t="shared" si="85"/>
        <v>0</v>
      </c>
      <c r="X49" s="80"/>
      <c r="Z49" s="44">
        <v>0</v>
      </c>
      <c r="AA49" s="11">
        <f t="shared" si="46"/>
        <v>0</v>
      </c>
      <c r="AB49" s="72"/>
      <c r="AC49" s="22"/>
      <c r="AD49" s="23">
        <f>IF(ISERROR(VLOOKUP($B49,[1]Hedef!$A$4:$ES$45409,29,0)),0,VLOOKUP($B49,[1]Hedef!$A$4:$ES$45409,29,0))</f>
        <v>0</v>
      </c>
      <c r="AE49" s="23">
        <f t="shared" si="86"/>
        <v>0</v>
      </c>
      <c r="AF49" s="80"/>
      <c r="AH49" s="44">
        <v>0</v>
      </c>
      <c r="AI49" s="11">
        <f t="shared" si="81"/>
        <v>0</v>
      </c>
      <c r="AK49" s="129">
        <f>IF(ISERROR(VLOOKUP($B49,[1]Hedef!$A$4:$ES$45409,31,0)),0,VLOOKUP($B49,[1]Hedef!$A$4:$ES$45409,31,0))</f>
        <v>0</v>
      </c>
      <c r="AM49" s="22"/>
      <c r="AN49" s="23">
        <f t="shared" si="82"/>
        <v>0</v>
      </c>
      <c r="AO49" s="23">
        <f>IF((AM49-AN49)&lt;0, "-", (AM49-AN49))</f>
        <v>0</v>
      </c>
      <c r="AP49" s="80"/>
      <c r="AR49" s="44">
        <f t="shared" si="84"/>
        <v>0</v>
      </c>
      <c r="AS49" s="11">
        <f>IF(ISERROR((AN49-AR49)/AR49),0,(AN49-AR49)/AR49)</f>
        <v>0</v>
      </c>
      <c r="AT49" s="45"/>
      <c r="AU49" s="12">
        <f>AM49-'GENEL HEDEF'!M49</f>
        <v>0</v>
      </c>
      <c r="AV49" s="15">
        <f>AN49-'GENEL HEDEF'!N49</f>
        <v>0</v>
      </c>
    </row>
    <row r="50" spans="2:48" ht="12.75" customHeight="1" x14ac:dyDescent="0.15">
      <c r="B50" s="31">
        <v>71</v>
      </c>
      <c r="C50" s="1" t="s">
        <v>64</v>
      </c>
      <c r="E50" s="22"/>
      <c r="F50" s="23">
        <f>IF(ISERROR(VLOOKUP($B50,[1]Hedef!$A$4:$ES$45409,37,0)),0,VLOOKUP($B50,[1]Hedef!$A$4:$ES$45409,37,0))</f>
        <v>1.7500000000000002E-2</v>
      </c>
      <c r="G50" s="23" t="str">
        <f>IF((E50-F50)&lt;0, "-", (E50-F50))</f>
        <v>-</v>
      </c>
      <c r="H50" s="80" t="e">
        <f t="shared" ref="H50:H56" si="87">TRUNC(IF((F50/E50)&gt;1.2,"120%",(F50/E50)),2)</f>
        <v>#DIV/0!</v>
      </c>
      <c r="J50" s="44">
        <v>0.20499999999999999</v>
      </c>
      <c r="K50" s="11">
        <f>IF(ISERROR((F50-J50)/J50),0,(F50-J50)/J50)</f>
        <v>-0.91463414634146345</v>
      </c>
      <c r="M50" s="22"/>
      <c r="N50" s="23">
        <f>IF(ISERROR(VLOOKUP($B50,[1]Hedef!$A$4:$ES$45409,35,0)),0,VLOOKUP($B50,[1]Hedef!$A$4:$ES$45409,35,0))</f>
        <v>4.0000000000000001E-3</v>
      </c>
      <c r="O50" s="23" t="str">
        <f>IF((M50-N50)&lt;0, "-", (M50-N50))</f>
        <v>-</v>
      </c>
      <c r="P50" s="80" t="e">
        <f t="shared" ref="P50:P56" si="88">TRUNC(IF((N50/M50)&gt;1.2,"120%",(N50/M50)),2)</f>
        <v>#DIV/0!</v>
      </c>
      <c r="R50" s="44">
        <v>0.123</v>
      </c>
      <c r="S50" s="11">
        <f>IF(ISERROR((N50-R50)/R50),0,(N50-R50)/R50)</f>
        <v>-0.9674796747967479</v>
      </c>
      <c r="U50" s="22"/>
      <c r="V50" s="23">
        <f>IF(ISERROR(VLOOKUP($B50,[1]Hedef!$A$4:$ES$45409,33,0)),0,VLOOKUP($B50,[1]Hedef!$A$4:$ES$45409,33,0))</f>
        <v>7.4999999999999997E-3</v>
      </c>
      <c r="W50" s="23" t="str">
        <f t="shared" si="85"/>
        <v>-</v>
      </c>
      <c r="X50" s="80" t="e">
        <f t="shared" ref="X50:X56" si="89">TRUNC(IF((V50/U50)&gt;1.2,"120%",(V50/U50)),2)</f>
        <v>#DIV/0!</v>
      </c>
      <c r="Z50" s="44">
        <v>4.3709999999999999E-2</v>
      </c>
      <c r="AA50" s="11">
        <f t="shared" si="46"/>
        <v>-0.82841455044612222</v>
      </c>
      <c r="AB50" s="72"/>
      <c r="AC50" s="22"/>
      <c r="AD50" s="23">
        <f>IF(ISERROR(VLOOKUP($B50,[1]Hedef!$A$4:$ES$45409,29,0)),0,VLOOKUP($B50,[1]Hedef!$A$4:$ES$45409,29,0))</f>
        <v>2.5000000000000001E-3</v>
      </c>
      <c r="AE50" s="23" t="str">
        <f t="shared" si="86"/>
        <v>-</v>
      </c>
      <c r="AF50" s="80" t="e">
        <f t="shared" ref="AF50:AF56" si="90">TRUNC(IF((AD50/AC50)&gt;1.2,"120%",(AD50/AC50)),2)</f>
        <v>#DIV/0!</v>
      </c>
      <c r="AH50" s="44">
        <v>0.11262999999999999</v>
      </c>
      <c r="AI50" s="11">
        <f t="shared" si="81"/>
        <v>-0.97780342715084789</v>
      </c>
      <c r="AK50" s="129">
        <f>IF(ISERROR(VLOOKUP($B50,[1]Hedef!$A$4:$ES$45409,31,0)),0,VLOOKUP($B50,[1]Hedef!$A$4:$ES$45409,31,0))</f>
        <v>5.0000000000000001E-4</v>
      </c>
      <c r="AM50" s="22">
        <f t="shared" ref="AM50:AM56" si="91">+U50+M50+E50+AC50</f>
        <v>0</v>
      </c>
      <c r="AN50" s="23">
        <f t="shared" si="82"/>
        <v>3.2000000000000001E-2</v>
      </c>
      <c r="AO50" s="23" t="str">
        <f>IF((AM50-AN50)&lt;0, "-", (AM50-AN50))</f>
        <v>-</v>
      </c>
      <c r="AP50" s="80" t="e">
        <f t="shared" ref="AP50:AP56" si="92">TRUNC(IF((AN50/AM50)&gt;1.2,"120%",(AN50/AM50)),2)</f>
        <v>#DIV/0!</v>
      </c>
      <c r="AR50" s="44">
        <f t="shared" si="84"/>
        <v>0.48433999999999999</v>
      </c>
      <c r="AS50" s="11">
        <f>IF(ISERROR((AN50-AR50)/AR50),0,(AN50-AR50)/AR50)</f>
        <v>-0.93393070983193616</v>
      </c>
      <c r="AT50" s="45"/>
      <c r="AU50" s="12">
        <f>AM50-'GENEL HEDEF'!M50</f>
        <v>-1.1499999999999999</v>
      </c>
      <c r="AV50" s="15">
        <f>AN50-'GENEL HEDEF'!N50</f>
        <v>0</v>
      </c>
    </row>
    <row r="51" spans="2:48" ht="12.75" customHeight="1" x14ac:dyDescent="0.15">
      <c r="B51" s="31">
        <v>111</v>
      </c>
      <c r="C51" s="1" t="s">
        <v>121</v>
      </c>
      <c r="E51" s="22"/>
      <c r="F51" s="23">
        <f>IF(ISERROR(VLOOKUP($B51,[1]Hedef!$A$4:$ES$45409,37,0)),0,VLOOKUP($B51,[1]Hedef!$A$4:$ES$45409,37,0))</f>
        <v>2.938E-2</v>
      </c>
      <c r="G51" s="23" t="str">
        <f>IF((E51-F51)&lt;0, "-", (E51-F51))</f>
        <v>-</v>
      </c>
      <c r="H51" s="80" t="e">
        <f t="shared" si="87"/>
        <v>#DIV/0!</v>
      </c>
      <c r="J51" s="44">
        <v>0.58500999999999992</v>
      </c>
      <c r="K51" s="11">
        <f>IF(ISERROR((F51-J51)/J51),0,(F51-J51)/J51)</f>
        <v>-0.94977863626262804</v>
      </c>
      <c r="M51" s="22"/>
      <c r="N51" s="23">
        <f>IF(ISERROR(VLOOKUP($B51,[1]Hedef!$A$4:$ES$45409,35,0)),0,VLOOKUP($B51,[1]Hedef!$A$4:$ES$45409,35,0))</f>
        <v>2.4670000000000001E-2</v>
      </c>
      <c r="O51" s="23" t="str">
        <f>IF((M51-N51)&lt;0, "-", (M51-N51))</f>
        <v>-</v>
      </c>
      <c r="P51" s="80" t="e">
        <f t="shared" si="88"/>
        <v>#DIV/0!</v>
      </c>
      <c r="R51" s="44">
        <v>0.38566500000000004</v>
      </c>
      <c r="S51" s="11">
        <f>IF(ISERROR((N51-R51)/R51),0,(N51-R51)/R51)</f>
        <v>-0.9360325671243177</v>
      </c>
      <c r="U51" s="22"/>
      <c r="V51" s="23">
        <f>IF(ISERROR(VLOOKUP($B51,[1]Hedef!$A$4:$ES$45409,33,0)),0,VLOOKUP($B51,[1]Hedef!$A$4:$ES$45409,33,0))</f>
        <v>1.8780000000000002E-2</v>
      </c>
      <c r="W51" s="23" t="str">
        <f t="shared" si="85"/>
        <v>-</v>
      </c>
      <c r="X51" s="80" t="e">
        <f t="shared" si="89"/>
        <v>#DIV/0!</v>
      </c>
      <c r="Z51" s="44">
        <v>0.18728999999999998</v>
      </c>
      <c r="AA51" s="11">
        <f t="shared" si="46"/>
        <v>-0.89972769501842065</v>
      </c>
      <c r="AB51" s="72"/>
      <c r="AC51" s="22"/>
      <c r="AD51" s="23">
        <f>IF(ISERROR(VLOOKUP($B51,[1]Hedef!$A$4:$ES$45409,29,0)),0,VLOOKUP($B51,[1]Hedef!$A$4:$ES$45409,29,0))</f>
        <v>6.0549999999999996E-3</v>
      </c>
      <c r="AE51" s="23" t="str">
        <f t="shared" si="86"/>
        <v>-</v>
      </c>
      <c r="AF51" s="80" t="e">
        <f t="shared" si="90"/>
        <v>#DIV/0!</v>
      </c>
      <c r="AH51" s="44">
        <v>8.2979999999999998E-2</v>
      </c>
      <c r="AI51" s="11">
        <f t="shared" si="81"/>
        <v>-0.92703060978549046</v>
      </c>
      <c r="AK51" s="129">
        <f>IF(ISERROR(VLOOKUP($B51,[1]Hedef!$A$4:$ES$45409,31,0)),0,VLOOKUP($B51,[1]Hedef!$A$4:$ES$45409,31,0))</f>
        <v>4.5000000000000003E-5</v>
      </c>
      <c r="AM51" s="22">
        <f t="shared" si="91"/>
        <v>0</v>
      </c>
      <c r="AN51" s="23">
        <f t="shared" si="82"/>
        <v>7.8930000000000014E-2</v>
      </c>
      <c r="AO51" s="23" t="str">
        <f>IF((AM51-AN51)&lt;0, "-", (AM51-AN51))</f>
        <v>-</v>
      </c>
      <c r="AP51" s="80" t="e">
        <f t="shared" si="92"/>
        <v>#DIV/0!</v>
      </c>
      <c r="AR51" s="44">
        <f t="shared" si="84"/>
        <v>1.240945</v>
      </c>
      <c r="AS51" s="11">
        <f>IF(ISERROR((AN51-AR51)/AR51),0,(AN51-AR51)/AR51)</f>
        <v>-0.93639524717050315</v>
      </c>
      <c r="AT51" s="45"/>
      <c r="AU51" s="12">
        <f>AM51-'GENEL HEDEF'!M51</f>
        <v>-2.2999999999999998</v>
      </c>
      <c r="AV51" s="15">
        <f>AN51-'GENEL HEDEF'!N51</f>
        <v>0</v>
      </c>
    </row>
    <row r="52" spans="2:48" ht="12.75" customHeight="1" x14ac:dyDescent="0.15">
      <c r="B52" s="31">
        <v>135</v>
      </c>
      <c r="C52" s="1" t="s">
        <v>120</v>
      </c>
      <c r="E52" s="22"/>
      <c r="F52" s="23">
        <f>IF(ISERROR(VLOOKUP($B52,[1]Hedef!$A$4:$ES$45409,37,0)),0,VLOOKUP($B52,[1]Hedef!$A$4:$ES$45409,37,0))</f>
        <v>0.15307299999999996</v>
      </c>
      <c r="G52" s="23" t="str">
        <f t="shared" si="79"/>
        <v>-</v>
      </c>
      <c r="H52" s="80" t="e">
        <f t="shared" si="87"/>
        <v>#DIV/0!</v>
      </c>
      <c r="J52" s="44">
        <v>2.1850399999999994</v>
      </c>
      <c r="K52" s="11">
        <f t="shared" si="40"/>
        <v>-0.92994498956540839</v>
      </c>
      <c r="M52" s="22"/>
      <c r="N52" s="23">
        <f>IF(ISERROR(VLOOKUP($B52,[1]Hedef!$A$4:$ES$45409,35,0)),0,VLOOKUP($B52,[1]Hedef!$A$4:$ES$45409,35,0))</f>
        <v>0.11466300000000003</v>
      </c>
      <c r="O52" s="23" t="str">
        <f t="shared" si="80"/>
        <v>-</v>
      </c>
      <c r="P52" s="80" t="e">
        <f t="shared" si="88"/>
        <v>#DIV/0!</v>
      </c>
      <c r="R52" s="44">
        <v>2.1304176999999997</v>
      </c>
      <c r="S52" s="11">
        <f t="shared" si="43"/>
        <v>-0.94617816027345236</v>
      </c>
      <c r="U52" s="22"/>
      <c r="V52" s="23">
        <f>IF(ISERROR(VLOOKUP($B52,[1]Hedef!$A$4:$ES$45409,33,0)),0,VLOOKUP($B52,[1]Hedef!$A$4:$ES$45409,33,0))</f>
        <v>3.7756000000000005E-2</v>
      </c>
      <c r="W52" s="23" t="str">
        <f t="shared" si="85"/>
        <v>-</v>
      </c>
      <c r="X52" s="80" t="e">
        <f t="shared" si="89"/>
        <v>#DIV/0!</v>
      </c>
      <c r="Z52" s="44">
        <v>1.1780264</v>
      </c>
      <c r="AA52" s="11">
        <f t="shared" si="46"/>
        <v>-0.96794978448700308</v>
      </c>
      <c r="AB52" s="72"/>
      <c r="AC52" s="22"/>
      <c r="AD52" s="23">
        <f>IF(ISERROR(VLOOKUP($B52,[1]Hedef!$A$4:$ES$45409,29,0)),0,VLOOKUP($B52,[1]Hedef!$A$4:$ES$45409,29,0))</f>
        <v>0.14161899999999999</v>
      </c>
      <c r="AE52" s="23" t="str">
        <f t="shared" si="86"/>
        <v>-</v>
      </c>
      <c r="AF52" s="80" t="e">
        <f t="shared" si="90"/>
        <v>#DIV/0!</v>
      </c>
      <c r="AH52" s="44">
        <v>2.1315620000000006</v>
      </c>
      <c r="AI52" s="11">
        <f t="shared" si="81"/>
        <v>-0.93356092855849382</v>
      </c>
      <c r="AK52" s="129">
        <f>IF(ISERROR(VLOOKUP($B52,[1]Hedef!$A$4:$ES$45409,31,0)),0,VLOOKUP($B52,[1]Hedef!$A$4:$ES$45409,31,0))</f>
        <v>3.189E-3</v>
      </c>
      <c r="AM52" s="22">
        <f t="shared" si="91"/>
        <v>0</v>
      </c>
      <c r="AN52" s="23">
        <f t="shared" si="82"/>
        <v>0.45029999999999998</v>
      </c>
      <c r="AO52" s="23" t="str">
        <f t="shared" si="83"/>
        <v>-</v>
      </c>
      <c r="AP52" s="80" t="e">
        <f t="shared" si="92"/>
        <v>#DIV/0!</v>
      </c>
      <c r="AR52" s="44">
        <f t="shared" si="84"/>
        <v>7.6250461000000005</v>
      </c>
      <c r="AS52" s="11">
        <f t="shared" si="55"/>
        <v>-0.94094461933810469</v>
      </c>
      <c r="AT52" s="45"/>
      <c r="AU52" s="12">
        <f>AM52-'GENEL HEDEF'!M52</f>
        <v>-8.16</v>
      </c>
      <c r="AV52" s="15">
        <f>AN52-'GENEL HEDEF'!N52</f>
        <v>0</v>
      </c>
    </row>
    <row r="53" spans="2:48" ht="12" customHeight="1" x14ac:dyDescent="0.15">
      <c r="B53" s="31">
        <v>222</v>
      </c>
      <c r="C53" s="1" t="s">
        <v>174</v>
      </c>
      <c r="E53" s="22"/>
      <c r="F53" s="23">
        <f>IF(ISERROR(VLOOKUP($B53,[1]Hedef!$A$4:$ES$45409,37,0)),0,VLOOKUP($B53,[1]Hedef!$A$4:$ES$45409,37,0))</f>
        <v>0</v>
      </c>
      <c r="G53" s="23">
        <f t="shared" ref="G53" si="93">IF((E53-F53)&lt;0, "-", (E53-F53))</f>
        <v>0</v>
      </c>
      <c r="H53" s="80" t="e">
        <f t="shared" ref="H53:H54" si="94">TRUNC(IF((F53/E53)&gt;1.2,"120%",(F53/E53)),2)</f>
        <v>#DIV/0!</v>
      </c>
      <c r="J53" s="44"/>
      <c r="K53" s="11">
        <f t="shared" ref="K53" si="95">IF(ISERROR((F53-J53)/J53),0,(F53-J53)/J53)</f>
        <v>0</v>
      </c>
      <c r="M53" s="22"/>
      <c r="N53" s="23">
        <f>IF(ISERROR(VLOOKUP($B53,[1]Hedef!$A$4:$ES$45409,35,0)),0,VLOOKUP($B53,[1]Hedef!$A$4:$ES$45409,35,0))</f>
        <v>0</v>
      </c>
      <c r="O53" s="23">
        <f t="shared" ref="O53" si="96">IF((M53-N53)&lt;0, "-", (M53-N53))</f>
        <v>0</v>
      </c>
      <c r="P53" s="80" t="e">
        <f t="shared" ref="P53" si="97">TRUNC(IF((N53/M53)&gt;1.2,"120%",(N53/M53)),2)</f>
        <v>#DIV/0!</v>
      </c>
      <c r="R53" s="44"/>
      <c r="S53" s="11">
        <f t="shared" ref="S53" si="98">IF(ISERROR((N53-R53)/R53),0,(N53-R53)/R53)</f>
        <v>0</v>
      </c>
      <c r="U53" s="22"/>
      <c r="V53" s="23">
        <f>IF(ISERROR(VLOOKUP($B53,[1]Hedef!$A$4:$ES$45409,33,0)),0,VLOOKUP($B53,[1]Hedef!$A$4:$ES$45409,33,0))</f>
        <v>0</v>
      </c>
      <c r="W53" s="23">
        <f t="shared" ref="W53" si="99">IF((U53-V53)&lt;0, "-", (U53-V53))</f>
        <v>0</v>
      </c>
      <c r="X53" s="80" t="e">
        <f t="shared" ref="X53" si="100">TRUNC(IF((V53/U53)&gt;1.2,"120%",(V53/U53)),2)</f>
        <v>#DIV/0!</v>
      </c>
      <c r="Z53" s="44"/>
      <c r="AA53" s="11">
        <f t="shared" ref="AA53" si="101">IF(ISERROR((V53-Z53)/Z53),0,(V53-Z53)/Z53)</f>
        <v>0</v>
      </c>
      <c r="AB53" s="75"/>
      <c r="AC53" s="22"/>
      <c r="AD53" s="23">
        <f>IF(ISERROR(VLOOKUP($B53,[1]Hedef!$A$4:$ES$45409,29,0)),0,VLOOKUP($B53,[1]Hedef!$A$4:$ES$45409,29,0))</f>
        <v>0</v>
      </c>
      <c r="AE53" s="23">
        <f t="shared" ref="AE53" si="102">IF((AC53-AD53)&lt;0, "-", (AC53-AD53))</f>
        <v>0</v>
      </c>
      <c r="AF53" s="80" t="e">
        <f t="shared" ref="AF53:AF54" si="103">TRUNC(IF((AD53/AC53)&gt;1.2,"120%",(AD53/AC53)),2)</f>
        <v>#DIV/0!</v>
      </c>
      <c r="AH53" s="44"/>
      <c r="AI53" s="11">
        <f t="shared" ref="AI53" si="104">IF(ISERROR((AD53-AH53)/AH53),0,(AD53-AH53)/AH53)</f>
        <v>0</v>
      </c>
      <c r="AK53" s="129">
        <f>IF(ISERROR(VLOOKUP($B53,[1]Hedef!$A$4:$ES$45409,31,0)),0,VLOOKUP($B53,[1]Hedef!$A$4:$ES$45409,31,0))</f>
        <v>0</v>
      </c>
      <c r="AM53" s="22">
        <f t="shared" ref="AM53" si="105">+U53+M53+E53+AC53</f>
        <v>0</v>
      </c>
      <c r="AN53" s="23">
        <f t="shared" ref="AN53" si="106">V53+N53+F53+AD53+AK53</f>
        <v>0</v>
      </c>
      <c r="AO53" s="23">
        <f t="shared" ref="AO53" si="107">IF((AM53-AN53)&lt;0, "-", (AM53-AN53))</f>
        <v>0</v>
      </c>
      <c r="AP53" s="80" t="e">
        <f t="shared" ref="AP53" si="108">TRUNC(IF((AN53/AM53)&gt;1.2,"120%",(AN53/AM53)),2)</f>
        <v>#DIV/0!</v>
      </c>
      <c r="AR53" s="44">
        <f t="shared" ref="AR53" si="109">+AH53+Z53+R53+J53</f>
        <v>0</v>
      </c>
      <c r="AS53" s="11">
        <f t="shared" ref="AS53" si="110">IF(ISERROR((AN53-AR53)/AR53),0,(AN53-AR53)/AR53)</f>
        <v>0</v>
      </c>
      <c r="AT53" s="45"/>
      <c r="AU53" s="12">
        <f>AM53-'GENEL HEDEF'!M53</f>
        <v>-0.3</v>
      </c>
      <c r="AV53" s="15">
        <f>AN53-'GENEL HEDEF'!N53</f>
        <v>0</v>
      </c>
    </row>
    <row r="54" spans="2:48" ht="12" customHeight="1" x14ac:dyDescent="0.15">
      <c r="B54" s="31">
        <v>28</v>
      </c>
      <c r="C54" s="1" t="s">
        <v>29</v>
      </c>
      <c r="E54" s="22"/>
      <c r="F54" s="23">
        <f>IF(ISERROR(VLOOKUP($B54,[1]Hedef!$A$4:$ES$45409,37,0)),0,VLOOKUP($B54,[1]Hedef!$A$4:$ES$45409,37,0))</f>
        <v>0</v>
      </c>
      <c r="G54" s="23">
        <f t="shared" si="79"/>
        <v>0</v>
      </c>
      <c r="H54" s="80" t="e">
        <f t="shared" si="94"/>
        <v>#DIV/0!</v>
      </c>
      <c r="J54" s="44">
        <v>1.3440000000000001E-2</v>
      </c>
      <c r="K54" s="11">
        <f t="shared" si="40"/>
        <v>-1</v>
      </c>
      <c r="M54" s="22"/>
      <c r="N54" s="23">
        <f>IF(ISERROR(VLOOKUP($B54,[1]Hedef!$A$4:$ES$45409,35,0)),0,VLOOKUP($B54,[1]Hedef!$A$4:$ES$45409,35,0))</f>
        <v>0</v>
      </c>
      <c r="O54" s="23">
        <f t="shared" si="80"/>
        <v>0</v>
      </c>
      <c r="P54" s="80" t="e">
        <f t="shared" si="88"/>
        <v>#DIV/0!</v>
      </c>
      <c r="R54" s="44">
        <v>2.572E-2</v>
      </c>
      <c r="S54" s="11">
        <f t="shared" si="43"/>
        <v>-1</v>
      </c>
      <c r="U54" s="22"/>
      <c r="V54" s="23">
        <f>IF(ISERROR(VLOOKUP($B54,[1]Hedef!$A$4:$ES$45409,33,0)),0,VLOOKUP($B54,[1]Hedef!$A$4:$ES$45409,33,0))</f>
        <v>0</v>
      </c>
      <c r="W54" s="23">
        <f t="shared" si="85"/>
        <v>0</v>
      </c>
      <c r="X54" s="80" t="e">
        <f t="shared" si="89"/>
        <v>#DIV/0!</v>
      </c>
      <c r="Z54" s="44">
        <v>8.5800000000000001E-2</v>
      </c>
      <c r="AA54" s="11">
        <f t="shared" si="46"/>
        <v>-1</v>
      </c>
      <c r="AB54" s="75"/>
      <c r="AC54" s="22"/>
      <c r="AD54" s="23">
        <f>IF(ISERROR(VLOOKUP($B54,[1]Hedef!$A$4:$ES$45409,29,0)),0,VLOOKUP($B54,[1]Hedef!$A$4:$ES$45409,29,0))</f>
        <v>0</v>
      </c>
      <c r="AE54" s="23">
        <f t="shared" si="86"/>
        <v>0</v>
      </c>
      <c r="AF54" s="80" t="e">
        <f t="shared" si="103"/>
        <v>#DIV/0!</v>
      </c>
      <c r="AH54" s="44">
        <v>2.716E-2</v>
      </c>
      <c r="AI54" s="11">
        <f t="shared" si="81"/>
        <v>-1</v>
      </c>
      <c r="AK54" s="129">
        <f>IF(ISERROR(VLOOKUP($B54,[1]Hedef!$A$4:$ES$45409,31,0)),0,VLOOKUP($B54,[1]Hedef!$A$4:$ES$45409,31,0))</f>
        <v>2.5000000000000001E-2</v>
      </c>
      <c r="AM54" s="22">
        <f t="shared" si="91"/>
        <v>0</v>
      </c>
      <c r="AN54" s="23">
        <f t="shared" si="82"/>
        <v>2.5000000000000001E-2</v>
      </c>
      <c r="AO54" s="23" t="str">
        <f t="shared" si="83"/>
        <v>-</v>
      </c>
      <c r="AP54" s="80" t="e">
        <f t="shared" si="92"/>
        <v>#DIV/0!</v>
      </c>
      <c r="AR54" s="44">
        <f t="shared" si="84"/>
        <v>0.15212000000000001</v>
      </c>
      <c r="AS54" s="11">
        <f t="shared" si="55"/>
        <v>-0.83565606100447021</v>
      </c>
      <c r="AT54" s="45"/>
      <c r="AU54" s="201">
        <f>AM54-'GENEL HEDEF'!M54</f>
        <v>-0.1</v>
      </c>
      <c r="AV54" s="15">
        <f>AN54-'GENEL HEDEF'!N54</f>
        <v>0</v>
      </c>
    </row>
    <row r="55" spans="2:48" ht="12" customHeight="1" x14ac:dyDescent="0.15">
      <c r="B55" s="18">
        <v>32</v>
      </c>
      <c r="C55" s="1" t="s">
        <v>30</v>
      </c>
      <c r="E55" s="22"/>
      <c r="F55" s="23">
        <f>IF(ISERROR(VLOOKUP($B55,[1]Hedef!$A$4:$ES$45409,37,0)),0,VLOOKUP($B55,[1]Hedef!$A$4:$ES$45409,37,0))</f>
        <v>4.81E-3</v>
      </c>
      <c r="G55" s="23" t="str">
        <f t="shared" si="79"/>
        <v>-</v>
      </c>
      <c r="H55" s="80" t="e">
        <f t="shared" si="87"/>
        <v>#DIV/0!</v>
      </c>
      <c r="J55" s="44">
        <v>4.1820000000000003E-2</v>
      </c>
      <c r="K55" s="11">
        <f t="shared" si="40"/>
        <v>-0.88498326159732177</v>
      </c>
      <c r="M55" s="22"/>
      <c r="N55" s="23">
        <f>IF(ISERROR(VLOOKUP($B55,[1]Hedef!$A$4:$ES$45409,35,0)),0,VLOOKUP($B55,[1]Hedef!$A$4:$ES$45409,35,0))</f>
        <v>0</v>
      </c>
      <c r="O55" s="23">
        <f t="shared" si="80"/>
        <v>0</v>
      </c>
      <c r="P55" s="80" t="e">
        <f t="shared" si="88"/>
        <v>#DIV/0!</v>
      </c>
      <c r="R55" s="44">
        <v>2.078E-2</v>
      </c>
      <c r="S55" s="11">
        <f t="shared" si="43"/>
        <v>-1</v>
      </c>
      <c r="U55" s="22"/>
      <c r="V55" s="23">
        <f>IF(ISERROR(VLOOKUP($B55,[1]Hedef!$A$4:$ES$45409,33,0)),0,VLOOKUP($B55,[1]Hedef!$A$4:$ES$45409,33,0))</f>
        <v>1.48E-3</v>
      </c>
      <c r="W55" s="47" t="str">
        <f>IF((U55-V55)&lt;0, "-", (U55-V55))</f>
        <v>-</v>
      </c>
      <c r="X55" s="80" t="e">
        <f t="shared" si="89"/>
        <v>#DIV/0!</v>
      </c>
      <c r="Z55" s="44">
        <v>4.2279999999999998E-2</v>
      </c>
      <c r="AA55" s="11">
        <f t="shared" si="46"/>
        <v>-0.96499526963103122</v>
      </c>
      <c r="AB55" s="72"/>
      <c r="AC55" s="22"/>
      <c r="AD55" s="23">
        <f>IF(ISERROR(VLOOKUP($B55,[1]Hedef!$A$4:$ES$45409,29,0)),0,VLOOKUP($B55,[1]Hedef!$A$4:$ES$45409,29,0))</f>
        <v>7.4000000000000003E-3</v>
      </c>
      <c r="AE55" s="23" t="str">
        <f>IF((AC55-AD55)&lt;0, "-", (AC55-AD55))</f>
        <v>-</v>
      </c>
      <c r="AF55" s="80" t="e">
        <f t="shared" si="90"/>
        <v>#DIV/0!</v>
      </c>
      <c r="AH55" s="44">
        <v>1.074E-2</v>
      </c>
      <c r="AI55" s="11">
        <f>IF(ISERROR((AD55-AH55)/AH55),0,(AD55-AH55)/AH55)</f>
        <v>-0.31098696461824948</v>
      </c>
      <c r="AK55" s="129">
        <f>IF(ISERROR(VLOOKUP($B55,[1]Hedef!$A$4:$ES$45409,31,0)),0,VLOOKUP($B55,[1]Hedef!$A$4:$ES$45409,31,0))</f>
        <v>3.6999999999999999E-4</v>
      </c>
      <c r="AM55" s="22">
        <f t="shared" si="91"/>
        <v>0</v>
      </c>
      <c r="AN55" s="23">
        <f t="shared" si="82"/>
        <v>1.4060000000000001E-2</v>
      </c>
      <c r="AO55" s="23" t="str">
        <f t="shared" si="83"/>
        <v>-</v>
      </c>
      <c r="AP55" s="80" t="e">
        <f t="shared" si="92"/>
        <v>#DIV/0!</v>
      </c>
      <c r="AR55" s="44">
        <f t="shared" si="84"/>
        <v>0.11562</v>
      </c>
      <c r="AS55" s="11">
        <f t="shared" si="55"/>
        <v>-0.87839474139422247</v>
      </c>
      <c r="AT55" s="45"/>
      <c r="AU55" s="12">
        <f>AM55-'GENEL HEDEF'!M55</f>
        <v>-0.45</v>
      </c>
      <c r="AV55" s="15">
        <f>AN55-'GENEL HEDEF'!N55</f>
        <v>0</v>
      </c>
    </row>
    <row r="56" spans="2:48" ht="12.75" customHeight="1" thickBot="1" x14ac:dyDescent="0.2">
      <c r="B56" s="18">
        <v>42</v>
      </c>
      <c r="C56" s="1" t="s">
        <v>31</v>
      </c>
      <c r="E56" s="22"/>
      <c r="F56" s="23">
        <f>IF(ISERROR(VLOOKUP($B56,[1]Hedef!$A$4:$ES$45409,37,0)),0,VLOOKUP($B56,[1]Hedef!$A$4:$ES$45409,37,0))</f>
        <v>0</v>
      </c>
      <c r="G56" s="23">
        <f t="shared" si="79"/>
        <v>0</v>
      </c>
      <c r="H56" s="80" t="e">
        <f t="shared" si="87"/>
        <v>#DIV/0!</v>
      </c>
      <c r="J56" s="44">
        <v>0</v>
      </c>
      <c r="K56" s="11">
        <f t="shared" si="40"/>
        <v>0</v>
      </c>
      <c r="M56" s="22"/>
      <c r="N56" s="23">
        <f>IF(ISERROR(VLOOKUP($B56,[1]Hedef!$A$4:$ES$45409,35,0)),0,VLOOKUP($B56,[1]Hedef!$A$4:$ES$45409,35,0))</f>
        <v>0</v>
      </c>
      <c r="O56" s="23">
        <f t="shared" si="80"/>
        <v>0</v>
      </c>
      <c r="P56" s="80" t="e">
        <f t="shared" si="88"/>
        <v>#DIV/0!</v>
      </c>
      <c r="R56" s="44">
        <v>0</v>
      </c>
      <c r="S56" s="11">
        <f t="shared" si="43"/>
        <v>0</v>
      </c>
      <c r="U56" s="22"/>
      <c r="V56" s="23">
        <f>IF(ISERROR(VLOOKUP($B56,[1]Hedef!$A$4:$ES$45409,33,0)),0,VLOOKUP($B56,[1]Hedef!$A$4:$ES$45409,33,0))</f>
        <v>0</v>
      </c>
      <c r="W56" s="23">
        <f>IF((U56-V56)&lt;0, "-", (U56-V56))</f>
        <v>0</v>
      </c>
      <c r="X56" s="80" t="e">
        <f t="shared" si="89"/>
        <v>#DIV/0!</v>
      </c>
      <c r="Z56" s="44">
        <v>0</v>
      </c>
      <c r="AA56" s="11">
        <f t="shared" si="46"/>
        <v>0</v>
      </c>
      <c r="AB56" s="72"/>
      <c r="AC56" s="22"/>
      <c r="AD56" s="23">
        <f>IF(ISERROR(VLOOKUP($B56,[1]Hedef!$A$4:$ES$45409,29,0)),0,VLOOKUP($B56,[1]Hedef!$A$4:$ES$45409,29,0))</f>
        <v>0</v>
      </c>
      <c r="AE56" s="23">
        <f>IF((AC56-AD56)&lt;0, "-", (AC56-AD56))</f>
        <v>0</v>
      </c>
      <c r="AF56" s="80" t="e">
        <f t="shared" si="90"/>
        <v>#DIV/0!</v>
      </c>
      <c r="AH56" s="44">
        <v>0</v>
      </c>
      <c r="AI56" s="11">
        <f>IF(ISERROR((AD56-AH56)/AH56),0,(AD56-AH56)/AH56)</f>
        <v>0</v>
      </c>
      <c r="AK56" s="129">
        <f>IF(ISERROR(VLOOKUP($B56,[1]Hedef!$A$4:$ES$45409,31,0)),0,VLOOKUP($B56,[1]Hedef!$A$4:$ES$45409,31,0))</f>
        <v>0</v>
      </c>
      <c r="AM56" s="22">
        <f t="shared" si="91"/>
        <v>0</v>
      </c>
      <c r="AN56" s="23">
        <f t="shared" si="82"/>
        <v>0</v>
      </c>
      <c r="AO56" s="23">
        <f t="shared" si="83"/>
        <v>0</v>
      </c>
      <c r="AP56" s="80" t="e">
        <f t="shared" si="92"/>
        <v>#DIV/0!</v>
      </c>
      <c r="AR56" s="44">
        <f t="shared" si="84"/>
        <v>0</v>
      </c>
      <c r="AS56" s="11">
        <f t="shared" si="55"/>
        <v>0</v>
      </c>
      <c r="AT56" s="45"/>
      <c r="AU56" s="12">
        <f>AM56-'GENEL HEDEF'!M56</f>
        <v>-35</v>
      </c>
      <c r="AV56" s="15">
        <f>AN56-'GENEL HEDEF'!N56</f>
        <v>0</v>
      </c>
    </row>
    <row r="57" spans="2:48" ht="14" thickTop="1" thickBot="1" x14ac:dyDescent="0.2">
      <c r="B57" s="18"/>
      <c r="C57" s="2" t="s">
        <v>32</v>
      </c>
      <c r="D57" s="109"/>
      <c r="E57" s="67">
        <f>SUM(E46:E56)</f>
        <v>0</v>
      </c>
      <c r="F57" s="67">
        <f>SUM(F46:F56)</f>
        <v>0.23444299999999998</v>
      </c>
      <c r="G57" s="67">
        <f>SUM(G46:G56)</f>
        <v>0</v>
      </c>
      <c r="H57" s="39" t="e">
        <f>TRUNC(IF((F57/E57)&gt;1.2,"120%",(F57/E57)),2)</f>
        <v>#DIV/0!</v>
      </c>
      <c r="I57" s="109"/>
      <c r="J57" s="115"/>
      <c r="K57" s="48"/>
      <c r="L57" s="109"/>
      <c r="M57" s="67">
        <f>SUM(M46:M56)</f>
        <v>0</v>
      </c>
      <c r="N57" s="67">
        <f>SUM(N46:N56)</f>
        <v>0.15621300000000005</v>
      </c>
      <c r="O57" s="67">
        <f>SUM(O46:O56)</f>
        <v>0</v>
      </c>
      <c r="P57" s="39" t="e">
        <f>TRUNC(IF((N57/M57)&gt;1.2,"120%",(N57/M57)),2)</f>
        <v>#DIV/0!</v>
      </c>
      <c r="Q57" s="109"/>
      <c r="R57" s="115"/>
      <c r="S57" s="48"/>
      <c r="T57" s="109"/>
      <c r="U57" s="67">
        <f>SUM(U46:U56)</f>
        <v>0</v>
      </c>
      <c r="V57" s="67">
        <f>SUM(V46:V56)</f>
        <v>6.6316E-2</v>
      </c>
      <c r="W57" s="67">
        <f>SUM(W46:W56)</f>
        <v>0</v>
      </c>
      <c r="X57" s="39" t="e">
        <f>TRUNC(IF((V57/U57)&gt;1.2,"120%",(V57/U57)),2)</f>
        <v>#DIV/0!</v>
      </c>
      <c r="Y57" s="109"/>
      <c r="Z57" s="115"/>
      <c r="AA57" s="48"/>
      <c r="AB57" s="74"/>
      <c r="AC57" s="67">
        <f>SUM(AC46:AC56)</f>
        <v>0</v>
      </c>
      <c r="AD57" s="67">
        <f>SUM(AD46:AD56)</f>
        <v>0.16397399999999998</v>
      </c>
      <c r="AE57" s="67">
        <f>SUM(AE46:AE56)</f>
        <v>0</v>
      </c>
      <c r="AF57" s="39" t="e">
        <f>TRUNC(IF((AD57/AC57)&gt;1.2,"120%",(AD57/AC57)),2)</f>
        <v>#DIV/0!</v>
      </c>
      <c r="AG57" s="109"/>
      <c r="AH57" s="115"/>
      <c r="AI57" s="48"/>
      <c r="AJ57" s="109"/>
      <c r="AK57" s="112">
        <f>SUM(AK46:AK56)</f>
        <v>2.9104000000000001E-2</v>
      </c>
      <c r="AL57" s="109"/>
      <c r="AM57" s="67">
        <f>SUM(AM46:AM56)</f>
        <v>0</v>
      </c>
      <c r="AN57" s="67">
        <f>SUM(AN46:AN56)</f>
        <v>0.65004999999999991</v>
      </c>
      <c r="AO57" s="67">
        <f>SUM(AO46:AO56)</f>
        <v>0</v>
      </c>
      <c r="AP57" s="39" t="e">
        <f>TRUNC(IF((AN57/AM57)&gt;1.2,"120%",(AN57/AM57)),2)</f>
        <v>#DIV/0!</v>
      </c>
      <c r="AR57" s="115"/>
      <c r="AS57" s="48"/>
      <c r="AU57" s="8"/>
      <c r="AV57" s="9"/>
    </row>
    <row r="58" spans="2:48" thickTop="1" x14ac:dyDescent="0.15">
      <c r="AR58" s="4"/>
    </row>
    <row r="59" spans="2:48" x14ac:dyDescent="0.15">
      <c r="H59" s="37" t="e">
        <f>TRUNC((H56+H55+H46+H44+H41+H40+H38+H37+H36+H35+H34+H33+H32+H31+H11+H29+H28+H27+H26+H25+H23+H22+H19+H18+H16+H15+H14+H12+H10+H9+H8+H7+H6+H5+H48+H24+H52+H42+H54+H43+H50+H47+H51+H49+H53)/43,2)</f>
        <v>#DIV/0!</v>
      </c>
      <c r="J59" s="69" t="s">
        <v>41</v>
      </c>
      <c r="K59" s="52">
        <f>COUNTIF(K5:K56,"&gt;10%")</f>
        <v>0</v>
      </c>
      <c r="P59" s="37" t="e">
        <f>TRUNC((P56+P55+P46+P44+P41+P40+P38+P37+P36+P35+P34+P33+P32+P31+P11+P29+P28+P27+P26+P25+P23+P22+P19+P18+P16+P15+P14+P12+P10+P9+P8+P7+P6+P5+P48+P24+P52+P42+P54+P43+P50+P47+P51+P49+P53)/42,2)</f>
        <v>#DIV/0!</v>
      </c>
      <c r="R59" s="69" t="s">
        <v>41</v>
      </c>
      <c r="S59" s="52">
        <f>COUNTIF(S5:S56,"&gt;10%")</f>
        <v>0</v>
      </c>
      <c r="U59" s="163"/>
      <c r="X59" s="37" t="e">
        <f>TRUNC((X56+X55+X46+X44+X41+X40+X38+X37+X36+X35+X34+X33+X32+X31+X11+X29+X28+X27+X26+X25+X23+X22+X19+X18+X16+X15+X14+X12+X10+X9+X8+X7+X6+X5+X48+X24+X52+X42+X54+X43+X50+X47+X51+X49+X53)/42,2)</f>
        <v>#DIV/0!</v>
      </c>
      <c r="Z59" s="69" t="s">
        <v>41</v>
      </c>
      <c r="AA59" s="52">
        <f>COUNTIF(AA5:AA56,"&gt;10%")</f>
        <v>0</v>
      </c>
      <c r="AB59" s="52"/>
      <c r="AF59" s="37" t="e">
        <f>TRUNC((AF56+AF55+AF46+AF44+AF41+AF40+AF38+AF37+AF36+AF35+AF34+AF33+AF32+AF31+AF11+AF29+AF28+AF27+AF26+AF25+AF23+AF22+AF19+AF18+AF16+AF15+AF14+AF12+AF10+AF9+AF8+AF7+AF6+AF5+AF48+AF24+AF52+AF42+AF54+AF43+AF50+AF47+AF51+AF49+AF53)/42,2)</f>
        <v>#DIV/0!</v>
      </c>
      <c r="AH59" s="69" t="s">
        <v>41</v>
      </c>
      <c r="AI59" s="52">
        <f>COUNTIF(AI5:AI56,"&gt;10%")</f>
        <v>0</v>
      </c>
      <c r="AP59" s="37" t="e">
        <f>TRUNC((AP56+AP55+AP46+AP44+AP41+AP40+AP38+AP37+AP36+AP35+AP34+AP33+AP32+AP31+AP11+AP29+AP28+AP27+AP26+AP25+AP23+AP22+AP19+AP18+AP16+AP15+AP14+AP12+AP10+AP9+AP8+AP7+AP6+AP5+AP48+AP24+AP52+AP42+AP54+AP43+AP50+AP47+AP51+AP49+AP53)/43,2)</f>
        <v>#DIV/0!</v>
      </c>
      <c r="AR59" s="69" t="s">
        <v>41</v>
      </c>
      <c r="AS59" s="52">
        <f>COUNTIF(AS5:AS56,"&gt;10%")</f>
        <v>0</v>
      </c>
    </row>
    <row r="60" spans="2:48" x14ac:dyDescent="0.15">
      <c r="J60" s="54"/>
      <c r="K60" s="53"/>
      <c r="R60" s="54"/>
      <c r="S60" s="53"/>
      <c r="Z60" s="54"/>
      <c r="AA60" s="53"/>
      <c r="AB60" s="53"/>
      <c r="AH60" s="54"/>
      <c r="AI60" s="53"/>
      <c r="AS60" s="53"/>
    </row>
    <row r="61" spans="2:48" ht="13" thickBot="1" x14ac:dyDescent="0.2">
      <c r="B61" s="18"/>
    </row>
    <row r="62" spans="2:48" s="78" customFormat="1" ht="14" thickTop="1" thickBot="1" x14ac:dyDescent="0.2">
      <c r="B62" s="117" t="s">
        <v>40</v>
      </c>
      <c r="C62" s="2" t="s">
        <v>39</v>
      </c>
      <c r="E62" s="67"/>
      <c r="F62" s="41">
        <f>IF(ISERROR(VLOOKUP($B62,[1]Hedef!$A$4:$ES$45409,38,0)),0,VLOOKUP($B62,[1]Hedef!$A$4:$ES$45409,38,0))</f>
        <v>14948.31</v>
      </c>
      <c r="G62" s="41" t="str">
        <f>IF((E62-F62)&lt;0, "-", (E62-F62))</f>
        <v>-</v>
      </c>
      <c r="H62" s="39" t="e">
        <f>IF((F62/E62)&gt;1,"100.0%",(F62/E62))</f>
        <v>#DIV/0!</v>
      </c>
      <c r="J62" s="79"/>
      <c r="M62" s="67"/>
      <c r="N62" s="41">
        <f>IF(ISERROR(VLOOKUP($B62,[1]Hedef!$A$4:$ES$45409,36,0)),0,VLOOKUP($B62,[1]Hedef!$A$4:$ES$45409,36,0))</f>
        <v>9703.5300000000007</v>
      </c>
      <c r="O62" s="41" t="str">
        <f>IF((M62-N62)&lt;0, "-", (M62-N62))</f>
        <v>-</v>
      </c>
      <c r="P62" s="39" t="e">
        <f>IF((N62/M62)&gt;1,"100.0%",(N62/M62))</f>
        <v>#DIV/0!</v>
      </c>
      <c r="R62" s="79"/>
      <c r="U62" s="67"/>
      <c r="V62" s="41">
        <f>IF(ISERROR(VLOOKUP($B62,[1]Hedef!$A$4:$ES$45409,34,0)),0,VLOOKUP($B62,[1]Hedef!$A$4:$ES$45409,34,0))</f>
        <v>5267.97</v>
      </c>
      <c r="W62" s="41" t="str">
        <f>IF((U62-V62)&lt;0, "-", (U62-V62))</f>
        <v>-</v>
      </c>
      <c r="X62" s="39" t="e">
        <f>IF((V62/U62)&gt;1,"100.0%",(V62/U62))</f>
        <v>#DIV/0!</v>
      </c>
      <c r="Z62" s="79"/>
      <c r="AC62" s="67"/>
      <c r="AD62" s="41">
        <f>IF(ISERROR(VLOOKUP($B62,[1]Hedef!$A$4:$ES$45409,30,0)),0,VLOOKUP($B62,[1]Hedef!$A$4:$ES$45409,30,0))</f>
        <v>8621.4500000000007</v>
      </c>
      <c r="AE62" s="41" t="str">
        <f>IF((AC62-AD62)&lt;0, "-", (AC62-AD62))</f>
        <v>-</v>
      </c>
      <c r="AF62" s="39" t="e">
        <f>IF((AD62/AC62)&gt;1,"100.0%",(AD62/AC62))</f>
        <v>#DIV/0!</v>
      </c>
      <c r="AH62" s="79"/>
      <c r="AK62" s="41">
        <f>IF(ISERROR(VLOOKUP($B62,[1]Hedef!$A$4:$ES$45409,32,0)),0,VLOOKUP($B62,[1]Hedef!$A$4:$ES$45409,32,0))</f>
        <v>831.02</v>
      </c>
      <c r="AM62" s="41">
        <f>U62+M62+E62+AC62</f>
        <v>0</v>
      </c>
      <c r="AN62" s="41">
        <f>V62+N62+F62+AD62+AK62</f>
        <v>39372.279999999992</v>
      </c>
      <c r="AO62" s="41" t="str">
        <f>IF((AM62-AN62)&lt;0, "-", (AM62-AN62))</f>
        <v>-</v>
      </c>
      <c r="AP62" s="39" t="e">
        <f>IF((AN62/AM62)&gt;1,"100.0%",(AN62/AM62))</f>
        <v>#DIV/0!</v>
      </c>
      <c r="AR62" s="107"/>
      <c r="AU62" s="79"/>
    </row>
    <row r="63" spans="2:48" s="78" customFormat="1" ht="14" thickTop="1" thickBot="1" x14ac:dyDescent="0.2">
      <c r="B63" s="118"/>
      <c r="E63" s="79"/>
      <c r="J63" s="79"/>
      <c r="M63" s="79"/>
      <c r="R63" s="79"/>
      <c r="U63" s="79"/>
      <c r="Z63" s="79"/>
      <c r="AC63" s="79"/>
      <c r="AH63" s="79"/>
      <c r="AM63" s="79"/>
      <c r="AR63" s="107"/>
      <c r="AU63" s="79"/>
    </row>
    <row r="64" spans="2:48" s="78" customFormat="1" ht="14" thickTop="1" thickBot="1" x14ac:dyDescent="0.2">
      <c r="B64" s="55" t="s">
        <v>42</v>
      </c>
      <c r="C64" s="2" t="s">
        <v>43</v>
      </c>
      <c r="E64" s="79"/>
      <c r="F64" s="41">
        <f>IF(ISERROR(VLOOKUP($B64,[1]Hedef!$A$4:$ES$45409,38,0)),0,VLOOKUP($B64,[1]Hedef!$A$4:$ES$45409,38,0))</f>
        <v>739.25</v>
      </c>
      <c r="G64" s="56">
        <f>F64/F62</f>
        <v>4.9453750959138523E-2</v>
      </c>
      <c r="H64" s="107"/>
      <c r="J64" s="79"/>
      <c r="M64" s="79"/>
      <c r="N64" s="41">
        <f>IF(ISERROR(VLOOKUP($B64,[1]Hedef!$A$4:$ES$45409,36,0)),0,VLOOKUP($B64,[1]Hedef!$A$4:$ES$45409,36,0))</f>
        <v>133.34</v>
      </c>
      <c r="O64" s="56">
        <f>N64/N62</f>
        <v>1.3741391019556799E-2</v>
      </c>
      <c r="P64" s="107"/>
      <c r="R64" s="79"/>
      <c r="U64" s="79"/>
      <c r="V64" s="41">
        <f>IF(ISERROR(VLOOKUP($B64,[1]Hedef!$A$4:$ES$45409,34,0)),0,VLOOKUP($B64,[1]Hedef!$A$4:$ES$45409,34,0))</f>
        <v>32.770000000000003</v>
      </c>
      <c r="W64" s="56">
        <f>V64/V62</f>
        <v>6.2206124939967388E-3</v>
      </c>
      <c r="X64" s="107"/>
      <c r="Z64" s="79"/>
      <c r="AC64" s="79"/>
      <c r="AD64" s="41">
        <f>IF(ISERROR(VLOOKUP($B64,[1]Hedef!$A$4:$ES$45409,30,0)),0,VLOOKUP($B64,[1]Hedef!$A$4:$ES$45409,30,0))</f>
        <v>873.08</v>
      </c>
      <c r="AE64" s="56">
        <f>AD64/AD62</f>
        <v>0.10126834813169477</v>
      </c>
      <c r="AF64" s="107"/>
      <c r="AH64" s="79"/>
      <c r="AK64" s="41">
        <f>IF(ISERROR(VLOOKUP($B64,[1]Hedef!$A$4:$ES$45409,32,0)),0,VLOOKUP($B64,[1]Hedef!$A$4:$ES$45409,32,0))</f>
        <v>0</v>
      </c>
      <c r="AM64" s="79"/>
      <c r="AN64" s="41">
        <f>V64+N64+F64+AD64+AK64</f>
        <v>1778.44</v>
      </c>
      <c r="AO64" s="56">
        <f>AN64/AN62</f>
        <v>4.5169850463320907E-2</v>
      </c>
      <c r="AP64" s="107"/>
      <c r="AR64" s="107"/>
      <c r="AU64" s="79"/>
    </row>
    <row r="65" spans="3:3" ht="13" thickTop="1" x14ac:dyDescent="0.15"/>
    <row r="68" spans="3:3" x14ac:dyDescent="0.15">
      <c r="C68" s="150"/>
    </row>
    <row r="69" spans="3:3" x14ac:dyDescent="0.15">
      <c r="C69" s="150"/>
    </row>
    <row r="70" spans="3:3" x14ac:dyDescent="0.15">
      <c r="C70" s="150"/>
    </row>
  </sheetData>
  <autoFilter ref="A4:BA57" xr:uid="{00000000-0009-0000-0000-000002000000}">
    <filterColumn colId="46" showButton="0"/>
  </autoFilter>
  <mergeCells count="8">
    <mergeCell ref="U2:X3"/>
    <mergeCell ref="AM2:AP3"/>
    <mergeCell ref="AU4:AV4"/>
    <mergeCell ref="C2:C4"/>
    <mergeCell ref="E2:H3"/>
    <mergeCell ref="M2:P3"/>
    <mergeCell ref="AC2:AF3"/>
    <mergeCell ref="AK2:AK3"/>
  </mergeCells>
  <conditionalFormatting sqref="H5:H12 H22:H29">
    <cfRule type="cellIs" dxfId="187" priority="27" operator="greaterThanOrEqual">
      <formula>1.2</formula>
    </cfRule>
    <cfRule type="cellIs" dxfId="186" priority="28" operator="greaterThanOrEqual">
      <formula>120</formula>
    </cfRule>
  </conditionalFormatting>
  <conditionalFormatting sqref="H14:H16 P14:P16 X14:X16 AF14:AF16 AP14:AP16 H18:H19 P18:P19 X18:X19 AF18:AF19 AP18:AP19 H31:H38 P31:P38 X31:X38 AF31:AF38 AP31:AP38 H40:H44 P40:P44 X40:X44 AF40:AF44 AP40:AP44">
    <cfRule type="cellIs" dxfId="185" priority="89" operator="greaterThanOrEqual">
      <formula>1.2</formula>
    </cfRule>
    <cfRule type="cellIs" dxfId="184" priority="90" operator="greaterThanOrEqual">
      <formula>120</formula>
    </cfRule>
  </conditionalFormatting>
  <conditionalFormatting sqref="H46:H56">
    <cfRule type="cellIs" dxfId="183" priority="17" operator="greaterThanOrEqual">
      <formula>1.2</formula>
    </cfRule>
    <cfRule type="cellIs" dxfId="182" priority="18" operator="greaterThanOrEqual">
      <formula>120</formula>
    </cfRule>
  </conditionalFormatting>
  <conditionalFormatting sqref="P5:P12 P22:P29">
    <cfRule type="cellIs" dxfId="181" priority="25" operator="greaterThanOrEqual">
      <formula>1.2</formula>
    </cfRule>
    <cfRule type="cellIs" dxfId="180" priority="26" operator="greaterThanOrEqual">
      <formula>120</formula>
    </cfRule>
  </conditionalFormatting>
  <conditionalFormatting sqref="P46:P56">
    <cfRule type="cellIs" dxfId="179" priority="15" operator="greaterThanOrEqual">
      <formula>1.2</formula>
    </cfRule>
    <cfRule type="cellIs" dxfId="178" priority="16" operator="greaterThanOrEqual">
      <formula>120</formula>
    </cfRule>
  </conditionalFormatting>
  <conditionalFormatting sqref="X5:X12 X22:X29">
    <cfRule type="cellIs" dxfId="177" priority="23" operator="greaterThanOrEqual">
      <formula>1.2</formula>
    </cfRule>
    <cfRule type="cellIs" dxfId="176" priority="24" operator="greaterThanOrEqual">
      <formula>120</formula>
    </cfRule>
  </conditionalFormatting>
  <conditionalFormatting sqref="X46:X56">
    <cfRule type="cellIs" dxfId="175" priority="13" operator="greaterThanOrEqual">
      <formula>1.2</formula>
    </cfRule>
    <cfRule type="cellIs" dxfId="174" priority="14" operator="greaterThanOrEqual">
      <formula>120</formula>
    </cfRule>
  </conditionalFormatting>
  <conditionalFormatting sqref="AF5:AF12 AF22:AF29">
    <cfRule type="cellIs" dxfId="173" priority="21" operator="greaterThanOrEqual">
      <formula>1.2</formula>
    </cfRule>
    <cfRule type="cellIs" dxfId="172" priority="22" operator="greaterThanOrEqual">
      <formula>120</formula>
    </cfRule>
  </conditionalFormatting>
  <conditionalFormatting sqref="AF46:AF56">
    <cfRule type="cellIs" dxfId="171" priority="11" operator="greaterThanOrEqual">
      <formula>1.2</formula>
    </cfRule>
    <cfRule type="cellIs" dxfId="170" priority="12" operator="greaterThanOrEqual">
      <formula>120</formula>
    </cfRule>
  </conditionalFormatting>
  <conditionalFormatting sqref="AP5:AP12 AP22:AP29">
    <cfRule type="cellIs" dxfId="169" priority="19" operator="greaterThanOrEqual">
      <formula>1.2</formula>
    </cfRule>
    <cfRule type="cellIs" dxfId="168" priority="20" operator="greaterThanOrEqual">
      <formula>120</formula>
    </cfRule>
  </conditionalFormatting>
  <conditionalFormatting sqref="AP46:AP56">
    <cfRule type="cellIs" dxfId="167" priority="9" operator="greaterThanOrEqual">
      <formula>1.2</formula>
    </cfRule>
    <cfRule type="cellIs" dxfId="166" priority="10" operator="greaterThanOrEqual">
      <formula>120</formula>
    </cfRule>
  </conditionalFormatting>
  <pageMargins left="0.70866141732283472" right="0.70866141732283472" top="0.74803149606299213" bottom="0.74803149606299213" header="0.31496062992125984" footer="0.31496062992125984"/>
  <pageSetup scale="60" orientation="landscape" r:id="rId1"/>
  <ignoredErrors>
    <ignoredError sqref="K59 Q59 N59:O59 V59:W59 Y59 S59:T59 AA59 L59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70"/>
  <sheetViews>
    <sheetView zoomScaleNormal="100" workbookViewId="0">
      <pane xSplit="3" ySplit="4" topLeftCell="D5" activePane="bottomRight" state="frozen"/>
      <selection activeCell="C53" sqref="C53"/>
      <selection pane="topRight" activeCell="C53" sqref="C53"/>
      <selection pane="bottomLeft" activeCell="C53" sqref="C53"/>
      <selection pane="bottomRight" activeCell="Z11" sqref="Z11"/>
    </sheetView>
  </sheetViews>
  <sheetFormatPr baseColWidth="10" defaultColWidth="9.1640625" defaultRowHeight="12" x14ac:dyDescent="0.15"/>
  <cols>
    <col min="1" max="1" width="1.33203125" style="4" customWidth="1"/>
    <col min="2" max="2" width="2.1640625" style="19" customWidth="1"/>
    <col min="3" max="3" width="37" style="4" customWidth="1"/>
    <col min="4" max="4" width="0.83203125" style="4" customWidth="1"/>
    <col min="5" max="5" width="9.33203125" style="25" customWidth="1"/>
    <col min="6" max="6" width="12" style="4" bestFit="1" customWidth="1"/>
    <col min="7" max="8" width="9.1640625" style="4" customWidth="1"/>
    <col min="9" max="9" width="0.83203125" style="4" customWidth="1"/>
    <col min="10" max="10" width="8.1640625" style="13" customWidth="1"/>
    <col min="11" max="11" width="5.1640625" style="4" customWidth="1"/>
    <col min="12" max="12" width="0.83203125" style="4" customWidth="1"/>
    <col min="13" max="13" width="9.33203125" style="25" customWidth="1"/>
    <col min="14" max="16" width="9.1640625" style="4" customWidth="1"/>
    <col min="17" max="17" width="1.33203125" style="4" customWidth="1"/>
    <col min="18" max="18" width="7.33203125" style="13" customWidth="1"/>
    <col min="19" max="19" width="5.1640625" style="4" customWidth="1"/>
    <col min="20" max="20" width="0.83203125" style="4" customWidth="1"/>
    <col min="21" max="21" width="9.33203125" style="25" customWidth="1"/>
    <col min="22" max="22" width="12" style="4" bestFit="1" customWidth="1"/>
    <col min="23" max="24" width="9.1640625" style="4" customWidth="1"/>
    <col min="25" max="25" width="0.83203125" style="4" customWidth="1"/>
    <col min="26" max="26" width="7.5" style="13" customWidth="1"/>
    <col min="27" max="27" width="5.5" style="4" bestFit="1" customWidth="1"/>
    <col min="28" max="28" width="0.83203125" style="4" customWidth="1"/>
    <col min="29" max="29" width="4.6640625" style="25" hidden="1" customWidth="1"/>
    <col min="30" max="30" width="5.83203125" style="4" hidden="1" customWidth="1"/>
    <col min="31" max="31" width="9.33203125" style="4" hidden="1" customWidth="1"/>
    <col min="32" max="32" width="4.1640625" style="4" hidden="1" customWidth="1"/>
    <col min="33" max="33" width="2.83203125" style="4" hidden="1" customWidth="1"/>
    <col min="34" max="34" width="5.83203125" style="13" hidden="1" customWidth="1"/>
    <col min="35" max="35" width="5" style="4" hidden="1" customWidth="1"/>
    <col min="36" max="36" width="3" style="4" hidden="1" customWidth="1"/>
    <col min="37" max="37" width="0.83203125" style="4" customWidth="1"/>
    <col min="38" max="38" width="9.33203125" style="13" customWidth="1"/>
    <col min="39" max="39" width="12" style="4" bestFit="1" customWidth="1"/>
    <col min="40" max="40" width="8" style="4" customWidth="1"/>
    <col min="41" max="41" width="8.5" style="4" customWidth="1"/>
    <col min="42" max="42" width="0.83203125" style="4" customWidth="1"/>
    <col min="43" max="43" width="9.33203125" style="25" customWidth="1"/>
    <col min="44" max="44" width="6.6640625" style="4" customWidth="1"/>
    <col min="45" max="45" width="0.83203125" style="4" customWidth="1"/>
    <col min="46" max="46" width="9.1640625" style="13" customWidth="1"/>
    <col min="47" max="47" width="8.5" style="4" customWidth="1"/>
    <col min="48" max="48" width="8.1640625" style="4" customWidth="1"/>
    <col min="49" max="16384" width="9.1640625" style="4"/>
  </cols>
  <sheetData>
    <row r="1" spans="2:48" ht="13" thickBot="1" x14ac:dyDescent="0.2">
      <c r="B1" s="17"/>
      <c r="C1" s="3" t="str">
        <f>'GENEL HEDEF'!C1</f>
        <v>01.05.2023 - 04.05.2023</v>
      </c>
      <c r="D1" s="3"/>
    </row>
    <row r="2" spans="2:48" ht="5.25" customHeight="1" thickTop="1" thickBot="1" x14ac:dyDescent="0.2">
      <c r="B2" s="17"/>
      <c r="C2" s="211" t="s">
        <v>0</v>
      </c>
      <c r="D2" s="124"/>
      <c r="E2" s="203" t="s">
        <v>192</v>
      </c>
      <c r="F2" s="204"/>
      <c r="G2" s="204"/>
      <c r="H2" s="205"/>
      <c r="M2" s="203" t="s">
        <v>160</v>
      </c>
      <c r="N2" s="204"/>
      <c r="O2" s="204"/>
      <c r="P2" s="205"/>
      <c r="U2" s="203" t="s">
        <v>130</v>
      </c>
      <c r="V2" s="204"/>
      <c r="W2" s="204"/>
      <c r="X2" s="205"/>
      <c r="AC2" s="203" t="s">
        <v>142</v>
      </c>
      <c r="AD2" s="204"/>
      <c r="AE2" s="204"/>
      <c r="AF2" s="205"/>
      <c r="AL2" s="214" t="s">
        <v>191</v>
      </c>
      <c r="AM2" s="215"/>
      <c r="AN2" s="215"/>
      <c r="AO2" s="216"/>
    </row>
    <row r="3" spans="2:48" ht="12" customHeight="1" thickBot="1" x14ac:dyDescent="0.2">
      <c r="B3" s="17"/>
      <c r="C3" s="212"/>
      <c r="D3" s="124"/>
      <c r="E3" s="206"/>
      <c r="F3" s="207"/>
      <c r="G3" s="207"/>
      <c r="H3" s="208"/>
      <c r="M3" s="206"/>
      <c r="N3" s="207"/>
      <c r="O3" s="207"/>
      <c r="P3" s="208"/>
      <c r="U3" s="206"/>
      <c r="V3" s="207"/>
      <c r="W3" s="207"/>
      <c r="X3" s="208"/>
      <c r="AC3" s="206"/>
      <c r="AD3" s="207"/>
      <c r="AE3" s="207"/>
      <c r="AF3" s="208"/>
      <c r="AL3" s="217"/>
      <c r="AM3" s="218"/>
      <c r="AN3" s="218"/>
      <c r="AO3" s="219"/>
    </row>
    <row r="4" spans="2:48" ht="12.75" customHeight="1" thickTop="1" thickBot="1" x14ac:dyDescent="0.2">
      <c r="B4" s="17"/>
      <c r="C4" s="213"/>
      <c r="D4" s="124"/>
      <c r="E4" s="27" t="s">
        <v>33</v>
      </c>
      <c r="F4" s="6" t="s">
        <v>34</v>
      </c>
      <c r="G4" s="6" t="s">
        <v>35</v>
      </c>
      <c r="H4" s="7" t="s">
        <v>36</v>
      </c>
      <c r="J4" s="30">
        <v>2022</v>
      </c>
      <c r="K4" s="10"/>
      <c r="M4" s="27" t="s">
        <v>33</v>
      </c>
      <c r="N4" s="6" t="s">
        <v>34</v>
      </c>
      <c r="O4" s="6" t="s">
        <v>35</v>
      </c>
      <c r="P4" s="7" t="s">
        <v>36</v>
      </c>
      <c r="R4" s="30">
        <v>2022</v>
      </c>
      <c r="S4" s="10"/>
      <c r="U4" s="27" t="s">
        <v>33</v>
      </c>
      <c r="V4" s="6" t="s">
        <v>34</v>
      </c>
      <c r="W4" s="6" t="s">
        <v>35</v>
      </c>
      <c r="X4" s="7" t="s">
        <v>36</v>
      </c>
      <c r="Z4" s="30">
        <v>2022</v>
      </c>
      <c r="AA4" s="10"/>
      <c r="AC4" s="27" t="s">
        <v>33</v>
      </c>
      <c r="AD4" s="6" t="s">
        <v>34</v>
      </c>
      <c r="AE4" s="6" t="s">
        <v>35</v>
      </c>
      <c r="AF4" s="7" t="s">
        <v>36</v>
      </c>
      <c r="AH4" s="30">
        <v>2020</v>
      </c>
      <c r="AI4" s="10"/>
      <c r="AL4" s="5" t="s">
        <v>33</v>
      </c>
      <c r="AM4" s="6" t="s">
        <v>34</v>
      </c>
      <c r="AN4" s="6" t="s">
        <v>35</v>
      </c>
      <c r="AO4" s="7" t="s">
        <v>36</v>
      </c>
      <c r="AP4" s="30">
        <v>2019</v>
      </c>
      <c r="AQ4" s="30">
        <v>2022</v>
      </c>
      <c r="AR4" s="10"/>
      <c r="AT4" s="209" t="s">
        <v>37</v>
      </c>
      <c r="AU4" s="210"/>
    </row>
    <row r="5" spans="2:48" ht="12.75" customHeight="1" thickTop="1" x14ac:dyDescent="0.15">
      <c r="B5" s="31">
        <v>10000</v>
      </c>
      <c r="C5" s="88" t="s">
        <v>1</v>
      </c>
      <c r="D5" s="125"/>
      <c r="E5" s="20"/>
      <c r="F5" s="23">
        <f>IF(ISERROR(VLOOKUP($B5,[1]Hedef!$A$4:$ES$45409,103,0)),0,VLOOKUP($B5,[1]Hedef!$A$4:$ES$45409,103,0))</f>
        <v>8.2470000000000002E-2</v>
      </c>
      <c r="G5" s="21" t="str">
        <f t="shared" ref="G5:G12" si="0">IF((E5-F5)&lt;0, "-", (E5-F5))</f>
        <v>-</v>
      </c>
      <c r="H5" s="80" t="e">
        <f>TRUNC(IF((F5/E5)&gt;1.2,"120%",(F5/E5)),2)</f>
        <v>#DIV/0!</v>
      </c>
      <c r="J5" s="44">
        <v>0.85301000000000005</v>
      </c>
      <c r="K5" s="11">
        <f t="shared" ref="K5:K12" si="1">IF(ISERROR((F5-J5)/J5),0,(F5-J5)/J5)</f>
        <v>-0.90331883565257143</v>
      </c>
      <c r="M5" s="20"/>
      <c r="N5" s="23">
        <f>IF(ISERROR(VLOOKUP($B5,[1]Hedef!$A$4:$ES$45409,105,0)),0,VLOOKUP($B5,[1]Hedef!$A$4:$ES$45409,105,0))</f>
        <v>9.4574999999999992E-2</v>
      </c>
      <c r="O5" s="21" t="str">
        <f t="shared" ref="O5:O12" si="2">IF((M5-N5)&lt;0, "-", (M5-N5))</f>
        <v>-</v>
      </c>
      <c r="P5" s="80" t="e">
        <f t="shared" ref="P5:P12" si="3">TRUNC(IF((N5/M5)&gt;1.2,"120%",(N5/M5)),2)</f>
        <v>#DIV/0!</v>
      </c>
      <c r="R5" s="44">
        <v>0.95990500000000001</v>
      </c>
      <c r="S5" s="11">
        <f t="shared" ref="S5:S12" si="4">IF(ISERROR((N5-R5)/R5),0,(N5-R5)/R5)</f>
        <v>-0.90147462509310816</v>
      </c>
      <c r="U5" s="20"/>
      <c r="V5" s="23">
        <f>IF(ISERROR(VLOOKUP($B5,[1]Hedef!$A$4:$ES$45409,107,0)),0,VLOOKUP($B5,[1]Hedef!$A$4:$ES$45409,107,0))</f>
        <v>1.2329999999999999E-2</v>
      </c>
      <c r="W5" s="21" t="str">
        <f t="shared" ref="W5:W12" si="5">IF((U5-V5)&lt;0, "-", (U5-V5))</f>
        <v>-</v>
      </c>
      <c r="X5" s="80" t="e">
        <f t="shared" ref="X5:X12" si="6">TRUNC(IF((V5/U5)&gt;1.2,"120%",(V5/U5)),2)</f>
        <v>#DIV/0!</v>
      </c>
      <c r="Z5" s="44">
        <v>1.246705000000002</v>
      </c>
      <c r="AA5" s="11">
        <f t="shared" ref="AA5:AA12" si="7">IF(ISERROR((V5-Z5)/Z5),0,(V5-Z5)/Z5)</f>
        <v>-0.99010992977488665</v>
      </c>
      <c r="AC5" s="22"/>
      <c r="AD5" s="23">
        <f>IF(ISERROR(VLOOKUP($B5,[1]Hedef!$A$4:$ES$45409,45,0)),0,VLOOKUP($B5,[1]Hedef!$A$4:$ES$45409,45,0))</f>
        <v>0</v>
      </c>
      <c r="AE5" s="21">
        <f t="shared" ref="AE5:AE12" si="8">IF((AC5-AD5)&lt;0, "-", (AC5-AD5))</f>
        <v>0</v>
      </c>
      <c r="AF5" s="80" t="e">
        <f t="shared" ref="AF5:AF12" si="9">TRUNC(IF((AD5/AC5)&gt;1.2,"120%",(AD5/AC5)),2)</f>
        <v>#DIV/0!</v>
      </c>
      <c r="AH5" s="44"/>
      <c r="AI5" s="11">
        <f t="shared" ref="AI5:AI12" si="10">IF(ISERROR((AD5-AH5)/AH5),0,(AD5-AH5)/AH5)</f>
        <v>0</v>
      </c>
      <c r="AL5" s="22">
        <f>AC5+U5+M5+E5</f>
        <v>0</v>
      </c>
      <c r="AM5" s="23">
        <f>N5+V5+AD5+F5</f>
        <v>0.18937499999999999</v>
      </c>
      <c r="AN5" s="21" t="str">
        <f t="shared" ref="AN5:AN12" si="11">IF((AL5-AM5)&lt;0, "-", (AL5-AM5))</f>
        <v>-</v>
      </c>
      <c r="AO5" s="80" t="e">
        <f t="shared" ref="AO5:AO12" si="12">TRUNC(IF((AM5/AL5)&gt;1.2,"120%",(AM5/AL5)),2)</f>
        <v>#DIV/0!</v>
      </c>
      <c r="AP5" s="20"/>
      <c r="AQ5" s="22">
        <f>AH5+Z5+R5+J5</f>
        <v>3.0596200000000024</v>
      </c>
      <c r="AR5" s="11">
        <f t="shared" ref="AR5:AR12" si="13">IF(ISERROR((AM5-AQ5)/AQ5),0,(AM5-AQ5)/AQ5)</f>
        <v>-0.93810505879815143</v>
      </c>
      <c r="AT5" s="12">
        <f>AL5-'GENEL HEDEF'!U5</f>
        <v>-3.1</v>
      </c>
      <c r="AU5" s="15">
        <f>AM5-'GENEL HEDEF'!V5</f>
        <v>0</v>
      </c>
      <c r="AV5" s="45">
        <f t="shared" ref="AV5:AV17" si="14">AT5*-1</f>
        <v>3.1</v>
      </c>
    </row>
    <row r="6" spans="2:48" ht="12.75" customHeight="1" x14ac:dyDescent="0.15">
      <c r="B6" s="18">
        <v>2</v>
      </c>
      <c r="C6" s="1" t="s">
        <v>2</v>
      </c>
      <c r="D6" s="125"/>
      <c r="E6" s="22"/>
      <c r="F6" s="23">
        <f>IF(ISERROR(VLOOKUP($B6,[1]Hedef!$A$4:$ES$45409,103,0)),0,VLOOKUP($B6,[1]Hedef!$A$4:$ES$45409,103,0))</f>
        <v>4.1749999999999995E-2</v>
      </c>
      <c r="G6" s="23" t="str">
        <f t="shared" si="0"/>
        <v>-</v>
      </c>
      <c r="H6" s="80" t="e">
        <f t="shared" ref="H6:H12" si="15">TRUNC(IF((F6/E6)&gt;1.2,"120%",(F6/E6)),2)</f>
        <v>#DIV/0!</v>
      </c>
      <c r="J6" s="44">
        <v>1.2642500000000001</v>
      </c>
      <c r="K6" s="11">
        <f t="shared" si="1"/>
        <v>-0.96697646826181538</v>
      </c>
      <c r="M6" s="22"/>
      <c r="N6" s="23">
        <f>IF(ISERROR(VLOOKUP($B6,[1]Hedef!$A$4:$ES$45409,105,0)),0,VLOOKUP($B6,[1]Hedef!$A$4:$ES$45409,105,0))</f>
        <v>4.1999999999999996E-2</v>
      </c>
      <c r="O6" s="23" t="str">
        <f t="shared" si="2"/>
        <v>-</v>
      </c>
      <c r="P6" s="80" t="e">
        <f t="shared" si="3"/>
        <v>#DIV/0!</v>
      </c>
      <c r="R6" s="44">
        <v>1.42425</v>
      </c>
      <c r="S6" s="11">
        <f t="shared" si="4"/>
        <v>-0.97051079515534489</v>
      </c>
      <c r="U6" s="22"/>
      <c r="V6" s="23">
        <f>IF(ISERROR(VLOOKUP($B6,[1]Hedef!$A$4:$ES$45409,107,0)),0,VLOOKUP($B6,[1]Hedef!$A$4:$ES$45409,107,0))</f>
        <v>7.7499999999999999E-3</v>
      </c>
      <c r="W6" s="23" t="str">
        <f t="shared" si="5"/>
        <v>-</v>
      </c>
      <c r="X6" s="80" t="e">
        <f t="shared" si="6"/>
        <v>#DIV/0!</v>
      </c>
      <c r="Z6" s="44">
        <v>2.8975</v>
      </c>
      <c r="AA6" s="11">
        <f t="shared" si="7"/>
        <v>-0.99732528041415003</v>
      </c>
      <c r="AC6" s="22"/>
      <c r="AD6" s="23">
        <f>IF(ISERROR(VLOOKUP($B6,[1]Hedef!$A$4:$ES$45409,45,0)),0,VLOOKUP($B6,[1]Hedef!$A$4:$ES$45409,45,0))</f>
        <v>0</v>
      </c>
      <c r="AE6" s="23">
        <f t="shared" si="8"/>
        <v>0</v>
      </c>
      <c r="AF6" s="80" t="e">
        <f t="shared" si="9"/>
        <v>#DIV/0!</v>
      </c>
      <c r="AH6" s="44"/>
      <c r="AI6" s="11">
        <f t="shared" si="10"/>
        <v>0</v>
      </c>
      <c r="AL6" s="22">
        <f t="shared" ref="AL6:AL19" si="16">AC6+U6+M6+E6</f>
        <v>0</v>
      </c>
      <c r="AM6" s="23">
        <f t="shared" ref="AM6:AM19" si="17">N6+V6+AD6+F6</f>
        <v>9.1499999999999998E-2</v>
      </c>
      <c r="AN6" s="23" t="str">
        <f t="shared" si="11"/>
        <v>-</v>
      </c>
      <c r="AO6" s="80" t="e">
        <f t="shared" si="12"/>
        <v>#DIV/0!</v>
      </c>
      <c r="AP6" s="22">
        <v>0</v>
      </c>
      <c r="AQ6" s="22">
        <f t="shared" ref="AQ6:AQ12" si="18">AH6+Z6+R6+J6</f>
        <v>5.5860000000000003</v>
      </c>
      <c r="AR6" s="11">
        <f t="shared" si="13"/>
        <v>-0.98361976369495163</v>
      </c>
      <c r="AT6" s="12">
        <f>AL6-'GENEL HEDEF'!U6</f>
        <v>-5.9</v>
      </c>
      <c r="AU6" s="15">
        <f>AM6-'GENEL HEDEF'!V6</f>
        <v>0</v>
      </c>
      <c r="AV6" s="45">
        <f t="shared" si="14"/>
        <v>5.9</v>
      </c>
    </row>
    <row r="7" spans="2:48" ht="12.75" customHeight="1" x14ac:dyDescent="0.15">
      <c r="B7" s="18">
        <v>3</v>
      </c>
      <c r="C7" s="1" t="s">
        <v>65</v>
      </c>
      <c r="D7" s="125"/>
      <c r="E7" s="22"/>
      <c r="F7" s="23">
        <f>IF(ISERROR(VLOOKUP($B7,[1]Hedef!$A$4:$ES$45409,103,0)),0,VLOOKUP($B7,[1]Hedef!$A$4:$ES$45409,103,0))</f>
        <v>8.3500000000000005E-2</v>
      </c>
      <c r="G7" s="23" t="str">
        <f t="shared" si="0"/>
        <v>-</v>
      </c>
      <c r="H7" s="80" t="e">
        <f t="shared" si="15"/>
        <v>#DIV/0!</v>
      </c>
      <c r="J7" s="44">
        <v>0.10630000000000001</v>
      </c>
      <c r="K7" s="11">
        <f t="shared" si="1"/>
        <v>-0.21448730009407338</v>
      </c>
      <c r="M7" s="22"/>
      <c r="N7" s="23">
        <f>IF(ISERROR(VLOOKUP($B7,[1]Hedef!$A$4:$ES$45409,105,0)),0,VLOOKUP($B7,[1]Hedef!$A$4:$ES$45409,105,0))</f>
        <v>5.6399999999999999E-2</v>
      </c>
      <c r="O7" s="23" t="str">
        <f t="shared" si="2"/>
        <v>-</v>
      </c>
      <c r="P7" s="80" t="e">
        <f t="shared" si="3"/>
        <v>#DIV/0!</v>
      </c>
      <c r="R7" s="44">
        <v>0.384099999999999</v>
      </c>
      <c r="S7" s="11">
        <f t="shared" si="4"/>
        <v>-0.85316323873991107</v>
      </c>
      <c r="U7" s="22"/>
      <c r="V7" s="23">
        <f>IF(ISERROR(VLOOKUP($B7,[1]Hedef!$A$4:$ES$45409,107,0)),0,VLOOKUP($B7,[1]Hedef!$A$4:$ES$45409,107,0))</f>
        <v>3.0999999999999996E-2</v>
      </c>
      <c r="W7" s="23" t="str">
        <f t="shared" si="5"/>
        <v>-</v>
      </c>
      <c r="X7" s="80" t="e">
        <f t="shared" si="6"/>
        <v>#DIV/0!</v>
      </c>
      <c r="Z7" s="44">
        <v>0.42439999999999894</v>
      </c>
      <c r="AA7" s="11">
        <f t="shared" si="7"/>
        <v>-0.92695570216776613</v>
      </c>
      <c r="AC7" s="22"/>
      <c r="AD7" s="23">
        <f>IF(ISERROR(VLOOKUP($B7,[1]Hedef!$A$4:$ES$45409,45,0)),0,VLOOKUP($B7,[1]Hedef!$A$4:$ES$45409,45,0))</f>
        <v>0</v>
      </c>
      <c r="AE7" s="23">
        <f t="shared" si="8"/>
        <v>0</v>
      </c>
      <c r="AF7" s="80" t="e">
        <f t="shared" si="9"/>
        <v>#DIV/0!</v>
      </c>
      <c r="AH7" s="44"/>
      <c r="AI7" s="11">
        <f t="shared" si="10"/>
        <v>0</v>
      </c>
      <c r="AL7" s="22">
        <f t="shared" si="16"/>
        <v>0</v>
      </c>
      <c r="AM7" s="23">
        <f t="shared" si="17"/>
        <v>0.1709</v>
      </c>
      <c r="AN7" s="23" t="str">
        <f t="shared" si="11"/>
        <v>-</v>
      </c>
      <c r="AO7" s="80" t="e">
        <f t="shared" si="12"/>
        <v>#DIV/0!</v>
      </c>
      <c r="AP7" s="22">
        <v>0</v>
      </c>
      <c r="AQ7" s="22">
        <f t="shared" si="18"/>
        <v>0.91479999999999806</v>
      </c>
      <c r="AR7" s="11">
        <f t="shared" si="13"/>
        <v>-0.81318320944468692</v>
      </c>
      <c r="AT7" s="12">
        <f>AL7-'GENEL HEDEF'!U7</f>
        <v>-4.91</v>
      </c>
      <c r="AU7" s="15">
        <f>AM7-'GENEL HEDEF'!V7</f>
        <v>0</v>
      </c>
      <c r="AV7" s="45">
        <f t="shared" si="14"/>
        <v>4.91</v>
      </c>
    </row>
    <row r="8" spans="2:48" ht="12.75" customHeight="1" x14ac:dyDescent="0.15">
      <c r="B8" s="18">
        <v>4</v>
      </c>
      <c r="C8" s="1" t="s">
        <v>3</v>
      </c>
      <c r="D8" s="125"/>
      <c r="E8" s="22"/>
      <c r="F8" s="23">
        <f>IF(ISERROR(VLOOKUP($B8,[1]Hedef!$A$4:$ES$45409,103,0)),0,VLOOKUP($B8,[1]Hedef!$A$4:$ES$45409,103,0))</f>
        <v>0.15000000000000002</v>
      </c>
      <c r="G8" s="23" t="str">
        <f t="shared" si="0"/>
        <v>-</v>
      </c>
      <c r="H8" s="80" t="e">
        <f t="shared" si="15"/>
        <v>#DIV/0!</v>
      </c>
      <c r="J8" s="44">
        <v>0.94600000000000017</v>
      </c>
      <c r="K8" s="11">
        <f t="shared" si="1"/>
        <v>-0.84143763213530653</v>
      </c>
      <c r="M8" s="22"/>
      <c r="N8" s="23">
        <f>IF(ISERROR(VLOOKUP($B8,[1]Hedef!$A$4:$ES$45409,105,0)),0,VLOOKUP($B8,[1]Hedef!$A$4:$ES$45409,105,0))</f>
        <v>3.4000000000000002E-2</v>
      </c>
      <c r="O8" s="23" t="str">
        <f t="shared" si="2"/>
        <v>-</v>
      </c>
      <c r="P8" s="80" t="e">
        <f t="shared" si="3"/>
        <v>#DIV/0!</v>
      </c>
      <c r="Q8" s="80"/>
      <c r="R8" s="44">
        <v>0.73000000000000009</v>
      </c>
      <c r="S8" s="11">
        <f t="shared" si="4"/>
        <v>-0.95342465753424654</v>
      </c>
      <c r="T8" s="11"/>
      <c r="U8" s="22"/>
      <c r="V8" s="23">
        <f>IF(ISERROR(VLOOKUP($B8,[1]Hedef!$A$4:$ES$45409,107,0)),0,VLOOKUP($B8,[1]Hedef!$A$4:$ES$45409,107,0))</f>
        <v>9.1999999999999998E-2</v>
      </c>
      <c r="W8" s="23" t="str">
        <f t="shared" si="5"/>
        <v>-</v>
      </c>
      <c r="X8" s="80" t="e">
        <f t="shared" si="6"/>
        <v>#DIV/0!</v>
      </c>
      <c r="Y8" s="23"/>
      <c r="Z8" s="44">
        <v>1.7590000000000003</v>
      </c>
      <c r="AA8" s="11">
        <f t="shared" si="7"/>
        <v>-0.94769755542922107</v>
      </c>
      <c r="AB8" s="44"/>
      <c r="AC8" s="22"/>
      <c r="AD8" s="23">
        <f>IF(ISERROR(VLOOKUP($B8,[1]Hedef!$A$4:$ES$45409,45,0)),0,VLOOKUP($B8,[1]Hedef!$A$4:$ES$45409,45,0))</f>
        <v>0</v>
      </c>
      <c r="AE8" s="23">
        <f t="shared" si="8"/>
        <v>0</v>
      </c>
      <c r="AF8" s="80" t="e">
        <f t="shared" si="9"/>
        <v>#DIV/0!</v>
      </c>
      <c r="AG8" s="23"/>
      <c r="AH8" s="44"/>
      <c r="AI8" s="11">
        <f t="shared" si="10"/>
        <v>0</v>
      </c>
      <c r="AL8" s="22">
        <f t="shared" si="16"/>
        <v>0</v>
      </c>
      <c r="AM8" s="23">
        <f t="shared" si="17"/>
        <v>0.27600000000000002</v>
      </c>
      <c r="AN8" s="23" t="str">
        <f t="shared" si="11"/>
        <v>-</v>
      </c>
      <c r="AO8" s="80" t="e">
        <f t="shared" si="12"/>
        <v>#DIV/0!</v>
      </c>
      <c r="AP8" s="80"/>
      <c r="AQ8" s="22">
        <f t="shared" si="18"/>
        <v>3.4350000000000005</v>
      </c>
      <c r="AR8" s="11">
        <f t="shared" si="13"/>
        <v>-0.91965065502183418</v>
      </c>
      <c r="AS8" s="11"/>
      <c r="AT8" s="12">
        <f>AL8-'GENEL HEDEF'!U8</f>
        <v>-3.3</v>
      </c>
      <c r="AU8" s="15">
        <f>AM8-'GENEL HEDEF'!V8</f>
        <v>0</v>
      </c>
      <c r="AV8" s="45">
        <f t="shared" si="14"/>
        <v>3.3</v>
      </c>
    </row>
    <row r="9" spans="2:48" ht="12.75" customHeight="1" x14ac:dyDescent="0.15">
      <c r="B9" s="18">
        <v>5</v>
      </c>
      <c r="C9" s="1" t="s">
        <v>4</v>
      </c>
      <c r="D9" s="125"/>
      <c r="E9" s="22"/>
      <c r="F9" s="23">
        <f>IF(ISERROR(VLOOKUP($B9,[1]Hedef!$A$4:$ES$45409,103,0)),0,VLOOKUP($B9,[1]Hedef!$A$4:$ES$45409,103,0))</f>
        <v>0.13</v>
      </c>
      <c r="G9" s="23" t="str">
        <f t="shared" si="0"/>
        <v>-</v>
      </c>
      <c r="H9" s="80" t="e">
        <f t="shared" si="15"/>
        <v>#DIV/0!</v>
      </c>
      <c r="J9" s="44">
        <v>1.58</v>
      </c>
      <c r="K9" s="11">
        <f t="shared" si="1"/>
        <v>-0.91772151898734189</v>
      </c>
      <c r="M9" s="22"/>
      <c r="N9" s="23">
        <f>IF(ISERROR(VLOOKUP($B9,[1]Hedef!$A$4:$ES$45409,105,0)),0,VLOOKUP($B9,[1]Hedef!$A$4:$ES$45409,105,0))</f>
        <v>0</v>
      </c>
      <c r="O9" s="23">
        <f t="shared" si="2"/>
        <v>0</v>
      </c>
      <c r="P9" s="80" t="e">
        <f t="shared" si="3"/>
        <v>#DIV/0!</v>
      </c>
      <c r="R9" s="44">
        <v>0.91100000000000003</v>
      </c>
      <c r="S9" s="11">
        <f t="shared" si="4"/>
        <v>-1</v>
      </c>
      <c r="U9" s="68"/>
      <c r="V9" s="23">
        <f>IF(ISERROR(VLOOKUP($B9,[1]Hedef!$A$4:$ES$45409,107,0)),0,VLOOKUP($B9,[1]Hedef!$A$4:$ES$45409,107,0))</f>
        <v>1.7000000000000001E-2</v>
      </c>
      <c r="W9" s="23" t="str">
        <f t="shared" si="5"/>
        <v>-</v>
      </c>
      <c r="X9" s="80" t="e">
        <f t="shared" si="6"/>
        <v>#DIV/0!</v>
      </c>
      <c r="Z9" s="44">
        <v>0.59099999999999997</v>
      </c>
      <c r="AA9" s="11">
        <f t="shared" si="7"/>
        <v>-0.97123519458544838</v>
      </c>
      <c r="AC9" s="22"/>
      <c r="AD9" s="23">
        <f>IF(ISERROR(VLOOKUP($B9,[1]Hedef!$A$4:$ES$45409,45,0)),0,VLOOKUP($B9,[1]Hedef!$A$4:$ES$45409,45,0))</f>
        <v>0</v>
      </c>
      <c r="AE9" s="23">
        <f t="shared" si="8"/>
        <v>0</v>
      </c>
      <c r="AF9" s="80" t="e">
        <f t="shared" si="9"/>
        <v>#DIV/0!</v>
      </c>
      <c r="AH9" s="44"/>
      <c r="AI9" s="11">
        <f t="shared" si="10"/>
        <v>0</v>
      </c>
      <c r="AL9" s="22">
        <f t="shared" si="16"/>
        <v>0</v>
      </c>
      <c r="AM9" s="23">
        <f t="shared" si="17"/>
        <v>0.14700000000000002</v>
      </c>
      <c r="AN9" s="23" t="str">
        <f t="shared" si="11"/>
        <v>-</v>
      </c>
      <c r="AO9" s="80" t="e">
        <f t="shared" si="12"/>
        <v>#DIV/0!</v>
      </c>
      <c r="AP9" s="22">
        <v>0</v>
      </c>
      <c r="AQ9" s="22">
        <f t="shared" si="18"/>
        <v>3.0819999999999999</v>
      </c>
      <c r="AR9" s="11">
        <f t="shared" si="13"/>
        <v>-0.95230369889682021</v>
      </c>
      <c r="AT9" s="12">
        <f>AL9-'GENEL HEDEF'!U9</f>
        <v>-3.2</v>
      </c>
      <c r="AU9" s="15">
        <f>AM9-'GENEL HEDEF'!V9</f>
        <v>0</v>
      </c>
      <c r="AV9" s="45">
        <f t="shared" si="14"/>
        <v>3.2</v>
      </c>
    </row>
    <row r="10" spans="2:48" ht="12.75" customHeight="1" x14ac:dyDescent="0.15">
      <c r="B10" s="18">
        <v>6</v>
      </c>
      <c r="C10" s="1" t="s">
        <v>5</v>
      </c>
      <c r="D10" s="125"/>
      <c r="E10" s="22"/>
      <c r="F10" s="23">
        <f>IF(ISERROR(VLOOKUP($B10,[1]Hedef!$A$4:$ES$45409,103,0)),0,VLOOKUP($B10,[1]Hedef!$A$4:$ES$45409,103,0))</f>
        <v>3.9E-2</v>
      </c>
      <c r="G10" s="23" t="str">
        <f t="shared" si="0"/>
        <v>-</v>
      </c>
      <c r="H10" s="80" t="e">
        <f t="shared" si="15"/>
        <v>#DIV/0!</v>
      </c>
      <c r="J10" s="44">
        <v>0.38624999999999998</v>
      </c>
      <c r="K10" s="11">
        <f t="shared" si="1"/>
        <v>-0.89902912621359232</v>
      </c>
      <c r="M10" s="22"/>
      <c r="N10" s="23">
        <f>IF(ISERROR(VLOOKUP($B10,[1]Hedef!$A$4:$ES$45409,105,0)),0,VLOOKUP($B10,[1]Hedef!$A$4:$ES$45409,105,0))</f>
        <v>1.5E-3</v>
      </c>
      <c r="O10" s="23" t="str">
        <f t="shared" si="2"/>
        <v>-</v>
      </c>
      <c r="P10" s="80" t="e">
        <f t="shared" si="3"/>
        <v>#DIV/0!</v>
      </c>
      <c r="R10" s="44">
        <v>3.4000000000000002E-2</v>
      </c>
      <c r="S10" s="11">
        <f t="shared" si="4"/>
        <v>-0.95588235294117641</v>
      </c>
      <c r="U10" s="22"/>
      <c r="V10" s="23">
        <f>IF(ISERROR(VLOOKUP($B10,[1]Hedef!$A$4:$ES$45409,107,0)),0,VLOOKUP($B10,[1]Hedef!$A$4:$ES$45409,107,0))</f>
        <v>7.2499999999999995E-3</v>
      </c>
      <c r="W10" s="23" t="str">
        <f t="shared" si="5"/>
        <v>-</v>
      </c>
      <c r="X10" s="80" t="e">
        <f t="shared" si="6"/>
        <v>#DIV/0!</v>
      </c>
      <c r="Z10" s="44">
        <v>4.1500000000000002E-2</v>
      </c>
      <c r="AA10" s="11">
        <f t="shared" si="7"/>
        <v>-0.82530120481927716</v>
      </c>
      <c r="AC10" s="22"/>
      <c r="AD10" s="23">
        <f>IF(ISERROR(VLOOKUP($B10,[1]Hedef!$A$4:$ES$45409,45,0)),0,VLOOKUP($B10,[1]Hedef!$A$4:$ES$45409,45,0))</f>
        <v>0</v>
      </c>
      <c r="AE10" s="23">
        <f t="shared" si="8"/>
        <v>0</v>
      </c>
      <c r="AF10" s="80" t="e">
        <f t="shared" si="9"/>
        <v>#DIV/0!</v>
      </c>
      <c r="AH10" s="44"/>
      <c r="AI10" s="11">
        <f t="shared" si="10"/>
        <v>0</v>
      </c>
      <c r="AL10" s="22">
        <f t="shared" si="16"/>
        <v>0</v>
      </c>
      <c r="AM10" s="23">
        <f t="shared" si="17"/>
        <v>4.7750000000000001E-2</v>
      </c>
      <c r="AN10" s="23" t="str">
        <f t="shared" si="11"/>
        <v>-</v>
      </c>
      <c r="AO10" s="80" t="e">
        <f t="shared" si="12"/>
        <v>#DIV/0!</v>
      </c>
      <c r="AP10" s="22">
        <v>0</v>
      </c>
      <c r="AQ10" s="22">
        <f t="shared" si="18"/>
        <v>0.46174999999999999</v>
      </c>
      <c r="AR10" s="11">
        <f t="shared" si="13"/>
        <v>-0.89658906334596644</v>
      </c>
      <c r="AT10" s="12">
        <f>AL10-'GENEL HEDEF'!U10</f>
        <v>-0.49</v>
      </c>
      <c r="AU10" s="15">
        <f>AM10-'GENEL HEDEF'!V10</f>
        <v>0</v>
      </c>
      <c r="AV10" s="45">
        <f t="shared" si="14"/>
        <v>0.49</v>
      </c>
    </row>
    <row r="11" spans="2:48" ht="12.75" customHeight="1" x14ac:dyDescent="0.15">
      <c r="B11" s="31">
        <v>54</v>
      </c>
      <c r="C11" s="1" t="s">
        <v>151</v>
      </c>
      <c r="D11" s="125"/>
      <c r="E11" s="22"/>
      <c r="F11" s="23">
        <f>IF(ISERROR(VLOOKUP($B11,[1]Hedef!$A$4:$ES$45409,103,0)),0,VLOOKUP($B11,[1]Hedef!$A$4:$ES$45409,103,0))</f>
        <v>8.3999999999999995E-3</v>
      </c>
      <c r="G11" s="23" t="str">
        <f t="shared" si="0"/>
        <v>-</v>
      </c>
      <c r="H11" s="80" t="e">
        <f t="shared" si="15"/>
        <v>#DIV/0!</v>
      </c>
      <c r="J11" s="44">
        <v>1.6799999999999999E-2</v>
      </c>
      <c r="K11" s="11">
        <f t="shared" si="1"/>
        <v>-0.5</v>
      </c>
      <c r="M11" s="22"/>
      <c r="N11" s="23">
        <f>IF(ISERROR(VLOOKUP($B11,[1]Hedef!$A$4:$ES$45409,105,0)),0,VLOOKUP($B11,[1]Hedef!$A$4:$ES$45409,105,0))</f>
        <v>-3.8500000000000001E-3</v>
      </c>
      <c r="O11" s="23">
        <f t="shared" ref="O11" si="19">IF((M11-N11)&lt;0, "-", (M11-N11))</f>
        <v>3.8500000000000001E-3</v>
      </c>
      <c r="P11" s="80"/>
      <c r="R11" s="44">
        <v>1.9089999999999999E-2</v>
      </c>
      <c r="S11" s="11">
        <f t="shared" ref="S11" si="20">IF(ISERROR((N11-R11)/R11),0,(N11-R11)/R11)</f>
        <v>-1.2016762702985857</v>
      </c>
      <c r="U11" s="22"/>
      <c r="V11" s="23">
        <f>IF(ISERROR(VLOOKUP($B11,[1]Hedef!$A$4:$ES$45409,107,0)),0,VLOOKUP($B11,[1]Hedef!$A$4:$ES$45409,107,0))</f>
        <v>2.8E-3</v>
      </c>
      <c r="W11" s="23" t="str">
        <f t="shared" ref="W11" si="21">IF((U11-V11)&lt;0, "-", (U11-V11))</f>
        <v>-</v>
      </c>
      <c r="X11" s="80"/>
      <c r="Z11" s="44">
        <v>2.4980000000000002E-2</v>
      </c>
      <c r="AA11" s="11">
        <f t="shared" ref="AA11" si="22">IF(ISERROR((V11-Z11)/Z11),0,(V11-Z11)/Z11)</f>
        <v>-0.88791032826261007</v>
      </c>
      <c r="AC11" s="22"/>
      <c r="AD11" s="23">
        <f>IF(ISERROR(VLOOKUP($B11,[1]Hedef!$A$4:$ES$45409,45,0)),0,VLOOKUP($B11,[1]Hedef!$A$4:$ES$45409,45,0))</f>
        <v>0</v>
      </c>
      <c r="AE11" s="23">
        <f t="shared" ref="AE11" si="23">IF((AC11-AD11)&lt;0, "-", (AC11-AD11))</f>
        <v>0</v>
      </c>
      <c r="AF11" s="80" t="e">
        <f t="shared" si="9"/>
        <v>#DIV/0!</v>
      </c>
      <c r="AH11" s="44"/>
      <c r="AI11" s="11">
        <f t="shared" ref="AI11" si="24">IF(ISERROR((AD11-AH11)/AH11),0,(AD11-AH11)/AH11)</f>
        <v>0</v>
      </c>
      <c r="AL11" s="22">
        <f t="shared" si="16"/>
        <v>0</v>
      </c>
      <c r="AM11" s="23">
        <f t="shared" si="17"/>
        <v>7.3499999999999989E-3</v>
      </c>
      <c r="AN11" s="23" t="str">
        <f t="shared" ref="AN11" si="25">IF((AL11-AM11)&lt;0, "-", (AL11-AM11))</f>
        <v>-</v>
      </c>
      <c r="AO11" s="80" t="e">
        <f t="shared" si="12"/>
        <v>#DIV/0!</v>
      </c>
      <c r="AP11" s="22">
        <v>0</v>
      </c>
      <c r="AQ11" s="22">
        <f t="shared" si="18"/>
        <v>6.0869999999999994E-2</v>
      </c>
      <c r="AR11" s="11">
        <f t="shared" ref="AR11" si="26">IF(ISERROR((AM11-AQ11)/AQ11),0,(AM11-AQ11)/AQ11)</f>
        <v>-0.87925086249383944</v>
      </c>
      <c r="AT11" s="12">
        <f>AL11-'GENEL HEDEF'!U11</f>
        <v>-7.0000000000000007E-2</v>
      </c>
      <c r="AU11" s="15">
        <f>AM11-'GENEL HEDEF'!V11</f>
        <v>0</v>
      </c>
      <c r="AV11" s="45">
        <f t="shared" ref="AV11" si="27">AT11*-1</f>
        <v>7.0000000000000007E-2</v>
      </c>
    </row>
    <row r="12" spans="2:48" ht="12.75" customHeight="1" thickBot="1" x14ac:dyDescent="0.2">
      <c r="B12" s="18">
        <v>7</v>
      </c>
      <c r="C12" s="1" t="s">
        <v>6</v>
      </c>
      <c r="D12" s="125"/>
      <c r="E12" s="22"/>
      <c r="F12" s="23">
        <f>IF(ISERROR(VLOOKUP($B12,[1]Hedef!$A$4:$ES$45409,103,0)),0,VLOOKUP($B12,[1]Hedef!$A$4:$ES$45409,103,0))</f>
        <v>2.6495999999999999E-2</v>
      </c>
      <c r="G12" s="23" t="str">
        <f t="shared" si="0"/>
        <v>-</v>
      </c>
      <c r="H12" s="80" t="e">
        <f t="shared" si="15"/>
        <v>#DIV/0!</v>
      </c>
      <c r="J12" s="44">
        <v>0.72332399999999997</v>
      </c>
      <c r="K12" s="11">
        <f t="shared" si="1"/>
        <v>-0.96336911259684466</v>
      </c>
      <c r="M12" s="68"/>
      <c r="N12" s="23">
        <f>IF(ISERROR(VLOOKUP($B12,[1]Hedef!$A$4:$ES$45409,105,0)),0,VLOOKUP($B12,[1]Hedef!$A$4:$ES$45409,105,0))</f>
        <v>8.2800000000000009E-3</v>
      </c>
      <c r="O12" s="23" t="str">
        <f t="shared" si="2"/>
        <v>-</v>
      </c>
      <c r="P12" s="80" t="e">
        <f t="shared" si="3"/>
        <v>#DIV/0!</v>
      </c>
      <c r="R12" s="44">
        <v>0.36891999999999997</v>
      </c>
      <c r="S12" s="11">
        <f t="shared" si="4"/>
        <v>-0.97755610972568574</v>
      </c>
      <c r="U12" s="68"/>
      <c r="V12" s="23">
        <f>IF(ISERROR(VLOOKUP($B12,[1]Hedef!$A$4:$ES$45409,107,0)),0,VLOOKUP($B12,[1]Hedef!$A$4:$ES$45409,107,0))</f>
        <v>6.7344000000000001E-2</v>
      </c>
      <c r="W12" s="23" t="str">
        <f t="shared" si="5"/>
        <v>-</v>
      </c>
      <c r="X12" s="80" t="e">
        <f t="shared" si="6"/>
        <v>#DIV/0!</v>
      </c>
      <c r="Z12" s="44">
        <v>0.577708</v>
      </c>
      <c r="AA12" s="11">
        <f t="shared" si="7"/>
        <v>-0.88342899873292402</v>
      </c>
      <c r="AC12" s="22"/>
      <c r="AD12" s="23">
        <f>IF(ISERROR(VLOOKUP($B12,[1]Hedef!$A$4:$ES$45409,45,0)),0,VLOOKUP($B12,[1]Hedef!$A$4:$ES$45409,45,0))</f>
        <v>0</v>
      </c>
      <c r="AE12" s="23">
        <f t="shared" si="8"/>
        <v>0</v>
      </c>
      <c r="AF12" s="80" t="e">
        <f t="shared" si="9"/>
        <v>#DIV/0!</v>
      </c>
      <c r="AH12" s="44"/>
      <c r="AI12" s="11">
        <f t="shared" si="10"/>
        <v>0</v>
      </c>
      <c r="AL12" s="22">
        <f t="shared" si="16"/>
        <v>0</v>
      </c>
      <c r="AM12" s="23">
        <f t="shared" si="17"/>
        <v>0.10211999999999999</v>
      </c>
      <c r="AN12" s="23" t="str">
        <f t="shared" si="11"/>
        <v>-</v>
      </c>
      <c r="AO12" s="80" t="e">
        <f t="shared" si="12"/>
        <v>#DIV/0!</v>
      </c>
      <c r="AP12" s="22">
        <v>0</v>
      </c>
      <c r="AQ12" s="22">
        <f t="shared" si="18"/>
        <v>1.6699519999999999</v>
      </c>
      <c r="AR12" s="11">
        <f t="shared" si="13"/>
        <v>-0.9388485417544935</v>
      </c>
      <c r="AT12" s="12">
        <f>AL12-'GENEL HEDEF'!U12</f>
        <v>-1.85</v>
      </c>
      <c r="AU12" s="15">
        <f>AM12-'GENEL HEDEF'!V12</f>
        <v>0</v>
      </c>
      <c r="AV12" s="45">
        <f t="shared" si="14"/>
        <v>1.85</v>
      </c>
    </row>
    <row r="13" spans="2:48" ht="12.75" customHeight="1" thickTop="1" thickBot="1" x14ac:dyDescent="0.2">
      <c r="B13" s="18"/>
      <c r="C13" s="2" t="s">
        <v>7</v>
      </c>
      <c r="D13" s="126"/>
      <c r="E13" s="67">
        <f>SUM(E5:E12)</f>
        <v>0</v>
      </c>
      <c r="F13" s="67">
        <f>SUM(F5:F12)</f>
        <v>0.561616</v>
      </c>
      <c r="G13" s="67">
        <f>SUM(G5:G12)</f>
        <v>0</v>
      </c>
      <c r="H13" s="39" t="e">
        <f>TRUNC(IF((F13/E13)&gt;1.2,"120%",(F13/E13)),2)</f>
        <v>#DIV/0!</v>
      </c>
      <c r="J13" s="67"/>
      <c r="K13" s="48"/>
      <c r="M13" s="67">
        <f>SUM(M5:M12)</f>
        <v>0</v>
      </c>
      <c r="N13" s="67">
        <f>SUM(N5:N12)</f>
        <v>0.23290500000000003</v>
      </c>
      <c r="O13" s="67">
        <f>SUM(O5:O12)</f>
        <v>3.8500000000000001E-3</v>
      </c>
      <c r="P13" s="39" t="e">
        <f>TRUNC(IF((N13/M13)&gt;1.2,"120%",(N13/M13)),2)</f>
        <v>#DIV/0!</v>
      </c>
      <c r="Q13" s="78"/>
      <c r="R13" s="67"/>
      <c r="S13" s="48"/>
      <c r="T13" s="78"/>
      <c r="U13" s="67">
        <f>SUM(U5:U12)</f>
        <v>0</v>
      </c>
      <c r="V13" s="67">
        <f>SUM(V5:V12)</f>
        <v>0.23747400000000002</v>
      </c>
      <c r="W13" s="67">
        <f>SUM(W5:W12)</f>
        <v>0</v>
      </c>
      <c r="X13" s="39" t="e">
        <f>TRUNC(IF((V13/U13)&gt;1.2,"120%",(V13/U13)),2)</f>
        <v>#DIV/0!</v>
      </c>
      <c r="Y13" s="78"/>
      <c r="Z13" s="67"/>
      <c r="AA13" s="48"/>
      <c r="AB13" s="78"/>
      <c r="AC13" s="67">
        <f>SUM(AC5:AC12)</f>
        <v>0</v>
      </c>
      <c r="AD13" s="67">
        <f>SUM(AD5:AD12)</f>
        <v>0</v>
      </c>
      <c r="AE13" s="67">
        <f>SUM(AE5:AE12)</f>
        <v>0</v>
      </c>
      <c r="AF13" s="39" t="e">
        <f>TRUNC(IF((AD13/AC13)&gt;1.2,"120%",(AD13/AC13)),2)</f>
        <v>#DIV/0!</v>
      </c>
      <c r="AG13" s="78"/>
      <c r="AH13" s="67"/>
      <c r="AI13" s="48"/>
      <c r="AJ13" s="78"/>
      <c r="AK13" s="78"/>
      <c r="AL13" s="67">
        <f>SUM(AL5:AL12)</f>
        <v>0</v>
      </c>
      <c r="AM13" s="67">
        <f>SUM(AM5:AM12)</f>
        <v>1.031995</v>
      </c>
      <c r="AN13" s="67">
        <f>SUM(AN5:AN12)</f>
        <v>0</v>
      </c>
      <c r="AO13" s="39" t="e">
        <f>TRUNC(IF((AM13/AL13)&gt;1.2,"120%",(AM13/AL13)),2)</f>
        <v>#DIV/0!</v>
      </c>
      <c r="AP13" s="67">
        <v>0</v>
      </c>
      <c r="AQ13" s="67"/>
      <c r="AR13" s="113"/>
      <c r="AS13" s="78"/>
      <c r="AT13" s="67">
        <f t="shared" ref="AT13:AU13" si="28">SUM(AT5:AT12)</f>
        <v>-22.82</v>
      </c>
      <c r="AU13" s="67">
        <f t="shared" si="28"/>
        <v>0</v>
      </c>
      <c r="AV13" s="45">
        <f t="shared" si="14"/>
        <v>22.82</v>
      </c>
    </row>
    <row r="14" spans="2:48" ht="12.75" customHeight="1" thickTop="1" x14ac:dyDescent="0.15">
      <c r="B14" s="18">
        <v>4000</v>
      </c>
      <c r="C14" s="1" t="s">
        <v>8</v>
      </c>
      <c r="D14" s="125"/>
      <c r="E14" s="22"/>
      <c r="F14" s="23">
        <f>IF(ISERROR(VLOOKUP($B14,[1]Hedef!$A$4:$ES$45409,103,0)),0,VLOOKUP($B14,[1]Hedef!$A$4:$ES$45409,103,0))</f>
        <v>2.06E-2</v>
      </c>
      <c r="G14" s="23" t="str">
        <f>IF((E14-F14)&lt;0, "-", (E14-F14))</f>
        <v>-</v>
      </c>
      <c r="H14" s="80" t="e">
        <f t="shared" ref="H14:H16" si="29">TRUNC(IF((F14/E14)&gt;1.2,"120%",(F14/E14)),2)</f>
        <v>#DIV/0!</v>
      </c>
      <c r="J14" s="44">
        <v>7.6350000000000001E-2</v>
      </c>
      <c r="K14" s="11">
        <f>IF(ISERROR((F14-J14)/J14),0,(F14-J14)/J14)</f>
        <v>-0.7301899148657498</v>
      </c>
      <c r="M14" s="22"/>
      <c r="N14" s="23">
        <f>IF(ISERROR(VLOOKUP($B14,[1]Hedef!$A$4:$ES$45409,105,0)),0,VLOOKUP($B14,[1]Hedef!$A$4:$ES$45409,105,0))</f>
        <v>1.125E-2</v>
      </c>
      <c r="O14" s="23" t="str">
        <f>IF((M14-N14)&lt;0, "-", (M14-N14))</f>
        <v>-</v>
      </c>
      <c r="P14" s="80" t="e">
        <f t="shared" ref="P14:P16" si="30">TRUNC(IF((N14/M14)&gt;1.2,"120%",(N14/M14)),2)</f>
        <v>#DIV/0!</v>
      </c>
      <c r="R14" s="44">
        <v>0.23035</v>
      </c>
      <c r="S14" s="11">
        <f>IF(ISERROR((N14-R14)/R14),0,(N14-R14)/R14)</f>
        <v>-0.95116127631864544</v>
      </c>
      <c r="U14" s="22"/>
      <c r="V14" s="23">
        <f>IF(ISERROR(VLOOKUP($B14,[1]Hedef!$A$4:$ES$45409,107,0)),0,VLOOKUP($B14,[1]Hedef!$A$4:$ES$45409,107,0))</f>
        <v>-1.75E-3</v>
      </c>
      <c r="W14" s="23">
        <f>IF((U14-V14)&lt;0, "-", (U14-V14))</f>
        <v>1.75E-3</v>
      </c>
      <c r="X14" s="80" t="e">
        <f t="shared" ref="X14:X16" si="31">TRUNC(IF((V14/U14)&gt;1.2,"120%",(V14/U14)),2)</f>
        <v>#DIV/0!</v>
      </c>
      <c r="Z14" s="44">
        <v>0.2209000000000001</v>
      </c>
      <c r="AA14" s="11">
        <f>IF(ISERROR((V14-Z14)/Z14),0,(V14-Z14)/Z14)</f>
        <v>-1.007922136713445</v>
      </c>
      <c r="AC14" s="22"/>
      <c r="AD14" s="23">
        <f>IF(ISERROR(VLOOKUP($B14,[1]Hedef!$A$4:$ES$45409,45,0)),0,VLOOKUP($B14,[1]Hedef!$A$4:$ES$45409,45,0))</f>
        <v>0</v>
      </c>
      <c r="AE14" s="23">
        <f>IF((AC14-AD14)&lt;0, "-", (AC14-AD14))</f>
        <v>0</v>
      </c>
      <c r="AF14" s="80" t="e">
        <f t="shared" ref="AF14:AF16" si="32">TRUNC(IF((AD14/AC14)&gt;1.2,"120%",(AD14/AC14)),2)</f>
        <v>#DIV/0!</v>
      </c>
      <c r="AH14" s="44"/>
      <c r="AI14" s="11">
        <f>IF(ISERROR((AD14-AH14)/AH14),0,(AD14-AH14)/AH14)</f>
        <v>0</v>
      </c>
      <c r="AL14" s="22">
        <f t="shared" si="16"/>
        <v>0</v>
      </c>
      <c r="AM14" s="23">
        <f t="shared" si="17"/>
        <v>3.0100000000000002E-2</v>
      </c>
      <c r="AN14" s="23" t="str">
        <f>IF((AL14-AM14)&lt;0, "-", (AL14-AM14))</f>
        <v>-</v>
      </c>
      <c r="AO14" s="80" t="e">
        <f t="shared" ref="AO14:AO16" si="33">TRUNC(IF((AM14/AL14)&gt;1.2,"120%",(AM14/AL14)),2)</f>
        <v>#DIV/0!</v>
      </c>
      <c r="AP14" s="22">
        <v>0</v>
      </c>
      <c r="AQ14" s="22">
        <f t="shared" ref="AQ14:AQ16" si="34">AH14+Z14+R14+J14</f>
        <v>0.52760000000000007</v>
      </c>
      <c r="AR14" s="11">
        <f>IF(ISERROR((AM14-AQ14)/AQ14),0,(AM14-AQ14)/AQ14)</f>
        <v>-0.94294920394238058</v>
      </c>
      <c r="AT14" s="12">
        <f>AL14-'GENEL HEDEF'!U14</f>
        <v>-0.53</v>
      </c>
      <c r="AU14" s="15">
        <f>AM14-'GENEL HEDEF'!V14</f>
        <v>0</v>
      </c>
      <c r="AV14" s="45">
        <f t="shared" si="14"/>
        <v>0.53</v>
      </c>
    </row>
    <row r="15" spans="2:48" ht="12.75" customHeight="1" x14ac:dyDescent="0.15">
      <c r="B15" s="18">
        <v>3000</v>
      </c>
      <c r="C15" s="1" t="s">
        <v>9</v>
      </c>
      <c r="D15" s="125"/>
      <c r="E15" s="22"/>
      <c r="F15" s="23">
        <f>IF(ISERROR(VLOOKUP($B15,[1]Hedef!$A$4:$ES$45409,103,0)),0,VLOOKUP($B15,[1]Hedef!$A$4:$ES$45409,103,0))</f>
        <v>6.8700000000000011E-2</v>
      </c>
      <c r="G15" s="23" t="str">
        <f>IF((E15-F15)&lt;0, "-", (E15-F15))</f>
        <v>-</v>
      </c>
      <c r="H15" s="80" t="e">
        <f t="shared" si="29"/>
        <v>#DIV/0!</v>
      </c>
      <c r="J15" s="44">
        <v>0.32390000000000002</v>
      </c>
      <c r="K15" s="11">
        <f>IF(ISERROR((F15-J15)/J15),0,(F15-J15)/J15)</f>
        <v>-0.78789749922815677</v>
      </c>
      <c r="M15" s="22"/>
      <c r="N15" s="23">
        <f>IF(ISERROR(VLOOKUP($B15,[1]Hedef!$A$4:$ES$45409,105,0)),0,VLOOKUP($B15,[1]Hedef!$A$4:$ES$45409,105,0))</f>
        <v>6.0999999999999995E-3</v>
      </c>
      <c r="O15" s="23" t="str">
        <f>IF((M15-N15)&lt;0, "-", (M15-N15))</f>
        <v>-</v>
      </c>
      <c r="P15" s="80" t="e">
        <f t="shared" si="30"/>
        <v>#DIV/0!</v>
      </c>
      <c r="R15" s="44">
        <v>0.18660000000000004</v>
      </c>
      <c r="S15" s="11">
        <f>IF(ISERROR((N15-R15)/R15),0,(N15-R15)/R15)</f>
        <v>-0.96730975348338699</v>
      </c>
      <c r="U15" s="22"/>
      <c r="V15" s="23">
        <f>IF(ISERROR(VLOOKUP($B15,[1]Hedef!$A$4:$ES$45409,107,0)),0,VLOOKUP($B15,[1]Hedef!$A$4:$ES$45409,107,0))</f>
        <v>1.2750000000000001E-2</v>
      </c>
      <c r="W15" s="23" t="str">
        <f>IF((U15-V15)&lt;0, "-", (U15-V15))</f>
        <v>-</v>
      </c>
      <c r="X15" s="80" t="e">
        <f t="shared" si="31"/>
        <v>#DIV/0!</v>
      </c>
      <c r="Z15" s="44">
        <v>0.28989999999999994</v>
      </c>
      <c r="AA15" s="11">
        <f>IF(ISERROR((V15-Z15)/Z15),0,(V15-Z15)/Z15)</f>
        <v>-0.95601931700586418</v>
      </c>
      <c r="AC15" s="22"/>
      <c r="AD15" s="23">
        <f>IF(ISERROR(VLOOKUP($B15,[1]Hedef!$A$4:$ES$45409,45,0)),0,VLOOKUP($B15,[1]Hedef!$A$4:$ES$45409,45,0))</f>
        <v>0</v>
      </c>
      <c r="AE15" s="23">
        <f>IF((AC15-AD15)&lt;0, "-", (AC15-AD15))</f>
        <v>0</v>
      </c>
      <c r="AF15" s="80" t="e">
        <f t="shared" si="32"/>
        <v>#DIV/0!</v>
      </c>
      <c r="AH15" s="44"/>
      <c r="AI15" s="11">
        <f>IF(ISERROR((AD15-AH15)/AH15),0,(AD15-AH15)/AH15)</f>
        <v>0</v>
      </c>
      <c r="AL15" s="22">
        <f t="shared" si="16"/>
        <v>0</v>
      </c>
      <c r="AM15" s="23">
        <f t="shared" si="17"/>
        <v>8.7550000000000017E-2</v>
      </c>
      <c r="AN15" s="23" t="str">
        <f>IF((AL15-AM15)&lt;0, "-", (AL15-AM15))</f>
        <v>-</v>
      </c>
      <c r="AO15" s="80" t="e">
        <f t="shared" si="33"/>
        <v>#DIV/0!</v>
      </c>
      <c r="AP15" s="22">
        <v>0</v>
      </c>
      <c r="AQ15" s="22">
        <f t="shared" si="34"/>
        <v>0.8004</v>
      </c>
      <c r="AR15" s="11">
        <f>IF(ISERROR((AM15-AQ15)/AQ15),0,(AM15-AQ15)/AQ15)</f>
        <v>-0.89061719140429785</v>
      </c>
      <c r="AT15" s="12">
        <f>AL15-'GENEL HEDEF'!U15</f>
        <v>-0.85</v>
      </c>
      <c r="AU15" s="15">
        <f>AM15-'GENEL HEDEF'!V15</f>
        <v>0</v>
      </c>
      <c r="AV15" s="45">
        <f t="shared" si="14"/>
        <v>0.85</v>
      </c>
    </row>
    <row r="16" spans="2:48" ht="12.75" customHeight="1" thickBot="1" x14ac:dyDescent="0.2">
      <c r="B16" s="18">
        <v>5000</v>
      </c>
      <c r="C16" s="1" t="s">
        <v>10</v>
      </c>
      <c r="D16" s="125"/>
      <c r="E16" s="22"/>
      <c r="F16" s="23">
        <f>IF(ISERROR(VLOOKUP($B16,[1]Hedef!$A$4:$ES$45409,103,0)),0,VLOOKUP($B16,[1]Hedef!$A$4:$ES$45409,103,0))</f>
        <v>7.3499999999999998E-3</v>
      </c>
      <c r="G16" s="23" t="str">
        <f>IF((E16-F16)&lt;0, "-", (E16-F16))</f>
        <v>-</v>
      </c>
      <c r="H16" s="80" t="e">
        <f t="shared" si="29"/>
        <v>#DIV/0!</v>
      </c>
      <c r="J16" s="44">
        <v>5.8599999999999999E-2</v>
      </c>
      <c r="K16" s="11">
        <f>IF(ISERROR((F16-J16)/J16),0,(F16-J16)/J16)</f>
        <v>-0.87457337883959041</v>
      </c>
      <c r="M16" s="22"/>
      <c r="N16" s="23">
        <f>IF(ISERROR(VLOOKUP($B16,[1]Hedef!$A$4:$ES$45409,105,0)),0,VLOOKUP($B16,[1]Hedef!$A$4:$ES$45409,105,0))</f>
        <v>8.5500000000000003E-3</v>
      </c>
      <c r="O16" s="23" t="str">
        <f>IF((M16-N16)&lt;0, "-", (M16-N16))</f>
        <v>-</v>
      </c>
      <c r="P16" s="80" t="e">
        <f t="shared" si="30"/>
        <v>#DIV/0!</v>
      </c>
      <c r="R16" s="44">
        <v>0.16185000000000002</v>
      </c>
      <c r="S16" s="11">
        <f>IF(ISERROR((N16-R16)/R16),0,(N16-R16)/R16)</f>
        <v>-0.94717330861909177</v>
      </c>
      <c r="U16" s="22"/>
      <c r="V16" s="23">
        <f>IF(ISERROR(VLOOKUP($B16,[1]Hedef!$A$4:$ES$45409,107,0)),0,VLOOKUP($B16,[1]Hedef!$A$4:$ES$45409,107,0))</f>
        <v>5.6999999999999993E-3</v>
      </c>
      <c r="W16" s="23" t="str">
        <f>IF((U16-V16)&lt;0, "-", (U16-V16))</f>
        <v>-</v>
      </c>
      <c r="X16" s="80" t="e">
        <f t="shared" si="31"/>
        <v>#DIV/0!</v>
      </c>
      <c r="Z16" s="44">
        <v>0.18555000000000002</v>
      </c>
      <c r="AA16" s="11">
        <f>IF(ISERROR((V16-Z16)/Z16),0,(V16-Z16)/Z16)</f>
        <v>-0.96928051738075982</v>
      </c>
      <c r="AC16" s="22"/>
      <c r="AD16" s="23">
        <f>IF(ISERROR(VLOOKUP($B16,[1]Hedef!$A$4:$ES$45409,45,0)),0,VLOOKUP($B16,[1]Hedef!$A$4:$ES$45409,45,0))</f>
        <v>0</v>
      </c>
      <c r="AE16" s="23">
        <f>IF((AC16-AD16)&lt;0, "-", (AC16-AD16))</f>
        <v>0</v>
      </c>
      <c r="AF16" s="80" t="e">
        <f t="shared" si="32"/>
        <v>#DIV/0!</v>
      </c>
      <c r="AH16" s="44"/>
      <c r="AI16" s="11">
        <f>IF(ISERROR((AD16-AH16)/AH16),0,(AD16-AH16)/AH16)</f>
        <v>0</v>
      </c>
      <c r="AL16" s="22">
        <f t="shared" si="16"/>
        <v>0</v>
      </c>
      <c r="AM16" s="23">
        <f t="shared" si="17"/>
        <v>2.1599999999999998E-2</v>
      </c>
      <c r="AN16" s="23" t="str">
        <f>IF((AL16-AM16)&lt;0, "-", (AL16-AM16))</f>
        <v>-</v>
      </c>
      <c r="AO16" s="80" t="e">
        <f t="shared" si="33"/>
        <v>#DIV/0!</v>
      </c>
      <c r="AP16" s="22">
        <v>0</v>
      </c>
      <c r="AQ16" s="22">
        <f t="shared" si="34"/>
        <v>0.40600000000000003</v>
      </c>
      <c r="AR16" s="11">
        <f>IF(ISERROR((AM16-AQ16)/AQ16),0,(AM16-AQ16)/AQ16)</f>
        <v>-0.94679802955665027</v>
      </c>
      <c r="AT16" s="12">
        <f>AL16-'GENEL HEDEF'!U16</f>
        <v>-0.5</v>
      </c>
      <c r="AU16" s="15">
        <f>AM16-'GENEL HEDEF'!V16</f>
        <v>0</v>
      </c>
      <c r="AV16" s="45">
        <f t="shared" si="14"/>
        <v>0.5</v>
      </c>
    </row>
    <row r="17" spans="2:48" ht="12.75" customHeight="1" thickTop="1" thickBot="1" x14ac:dyDescent="0.2">
      <c r="B17" s="18" t="s">
        <v>55</v>
      </c>
      <c r="C17" s="2" t="s">
        <v>11</v>
      </c>
      <c r="D17" s="126"/>
      <c r="E17" s="67">
        <f>SUM(E14:E16)</f>
        <v>0</v>
      </c>
      <c r="F17" s="67">
        <f>SUM(F14:F16)</f>
        <v>9.6650000000000014E-2</v>
      </c>
      <c r="G17" s="67">
        <f>SUM(G14:G16)</f>
        <v>0</v>
      </c>
      <c r="H17" s="39" t="e">
        <f>TRUNC(IF((F17/E17)&gt;1.2,"120%",(F17/E17)),2)</f>
        <v>#DIV/0!</v>
      </c>
      <c r="J17" s="67"/>
      <c r="K17" s="48"/>
      <c r="M17" s="67">
        <f>SUM(M14:M16)</f>
        <v>0</v>
      </c>
      <c r="N17" s="67">
        <f>SUM(N14:N16)</f>
        <v>2.5899999999999999E-2</v>
      </c>
      <c r="O17" s="67">
        <f>SUM(O14:O16)</f>
        <v>0</v>
      </c>
      <c r="P17" s="39" t="e">
        <f>TRUNC(IF((N17/M17)&gt;1.2,"120%",(N17/M17)),2)</f>
        <v>#DIV/0!</v>
      </c>
      <c r="Q17" s="78"/>
      <c r="R17" s="67"/>
      <c r="S17" s="48"/>
      <c r="T17" s="78"/>
      <c r="U17" s="67">
        <f>SUM(U14:U16)</f>
        <v>0</v>
      </c>
      <c r="V17" s="67">
        <f>SUM(V14:V16)</f>
        <v>1.67E-2</v>
      </c>
      <c r="W17" s="67">
        <f>SUM(W14:W16)</f>
        <v>1.75E-3</v>
      </c>
      <c r="X17" s="39" t="e">
        <f>TRUNC(IF((V17/U17)&gt;1.2,"120%",(V17/U17)),2)</f>
        <v>#DIV/0!</v>
      </c>
      <c r="Y17" s="78"/>
      <c r="Z17" s="67"/>
      <c r="AA17" s="48"/>
      <c r="AB17" s="78"/>
      <c r="AC17" s="67">
        <f>SUM(AC14:AC16)</f>
        <v>0</v>
      </c>
      <c r="AD17" s="67">
        <f>SUM(AD14:AD16)</f>
        <v>0</v>
      </c>
      <c r="AE17" s="67">
        <f>SUM(AE14:AE16)</f>
        <v>0</v>
      </c>
      <c r="AF17" s="39" t="e">
        <f>TRUNC(IF((AD17/AC17)&gt;1.2,"120%",(AD17/AC17)),2)</f>
        <v>#DIV/0!</v>
      </c>
      <c r="AG17" s="78"/>
      <c r="AH17" s="67"/>
      <c r="AI17" s="48"/>
      <c r="AJ17" s="78"/>
      <c r="AK17" s="78"/>
      <c r="AL17" s="67">
        <f>SUM(AL14:AL16)</f>
        <v>0</v>
      </c>
      <c r="AM17" s="67">
        <f>SUM(AM14:AM16)</f>
        <v>0.13925000000000001</v>
      </c>
      <c r="AN17" s="67">
        <f>SUM(AN14:AN16)</f>
        <v>0</v>
      </c>
      <c r="AO17" s="39" t="e">
        <f>TRUNC(IF((AM17/AL17)&gt;1.2,"120%",(AM17/AL17)),2)</f>
        <v>#DIV/0!</v>
      </c>
      <c r="AP17" s="67">
        <v>0</v>
      </c>
      <c r="AQ17" s="67"/>
      <c r="AR17" s="113"/>
      <c r="AS17" s="78"/>
      <c r="AT17" s="67">
        <f t="shared" ref="AT17:AU17" si="35">SUM(AT14:AT16)</f>
        <v>-1.88</v>
      </c>
      <c r="AU17" s="67">
        <f t="shared" si="35"/>
        <v>0</v>
      </c>
      <c r="AV17" s="45">
        <f t="shared" si="14"/>
        <v>1.88</v>
      </c>
    </row>
    <row r="18" spans="2:48" ht="12.75" customHeight="1" thickTop="1" x14ac:dyDescent="0.15">
      <c r="B18" s="18">
        <v>1000</v>
      </c>
      <c r="C18" s="1" t="s">
        <v>105</v>
      </c>
      <c r="D18" s="125"/>
      <c r="E18" s="22"/>
      <c r="F18" s="23">
        <f>IF(ISERROR(VLOOKUP($B18,[1]Hedef!$A$4:$ES$45409,103,0)),0,VLOOKUP($B18,[1]Hedef!$A$4:$ES$45409,103,0))</f>
        <v>3.3660000000000002E-2</v>
      </c>
      <c r="G18" s="23" t="str">
        <f>IF((E18-F18)&lt;0, "-", (E18-F18))</f>
        <v>-</v>
      </c>
      <c r="H18" s="80" t="e">
        <f t="shared" ref="H18:H21" si="36">TRUNC(IF((F18/E18)&gt;1.2,"120%",(F18/E18)),2)</f>
        <v>#DIV/0!</v>
      </c>
      <c r="J18" s="44">
        <v>0.32215759999999982</v>
      </c>
      <c r="K18" s="11">
        <f>IF(ISERROR((F18-J18)/J18),0,(F18-J18)/J18)</f>
        <v>-0.89551697678403352</v>
      </c>
      <c r="M18" s="22"/>
      <c r="N18" s="23">
        <f>IF(ISERROR(VLOOKUP($B18,[1]Hedef!$A$4:$ES$45409,105,0)),0,VLOOKUP($B18,[1]Hedef!$A$4:$ES$45409,105,0))</f>
        <v>7.7184000000000003E-3</v>
      </c>
      <c r="O18" s="23" t="str">
        <f>IF((M18-N18)&lt;0, "-", (M18-N18))</f>
        <v>-</v>
      </c>
      <c r="P18" s="80" t="e">
        <f t="shared" ref="P18:P21" si="37">TRUNC(IF((N18/M18)&gt;1.2,"120%",(N18/M18)),2)</f>
        <v>#DIV/0!</v>
      </c>
      <c r="R18" s="44">
        <v>0.44833720000000005</v>
      </c>
      <c r="S18" s="11">
        <f>IF(ISERROR((N18-R18)/R18),0,(N18-R18)/R18)</f>
        <v>-0.98278438639488308</v>
      </c>
      <c r="U18" s="22"/>
      <c r="V18" s="23">
        <f>IF(ISERROR(VLOOKUP($B18,[1]Hedef!$A$4:$ES$45409,107,0)),0,VLOOKUP($B18,[1]Hedef!$A$4:$ES$45409,107,0))</f>
        <v>9.3547999999999999E-3</v>
      </c>
      <c r="W18" s="23" t="str">
        <f>IF((U18-V18)&lt;0, "-", (U18-V18))</f>
        <v>-</v>
      </c>
      <c r="X18" s="80" t="e">
        <f t="shared" ref="X18:X21" si="38">TRUNC(IF((V18/U18)&gt;1.2,"120%",(V18/U18)),2)</f>
        <v>#DIV/0!</v>
      </c>
      <c r="Z18" s="44">
        <v>0.64251479999999983</v>
      </c>
      <c r="AA18" s="11">
        <f>IF(ISERROR((V18-Z18)/Z18),0,(V18-Z18)/Z18)</f>
        <v>-0.98544033538215769</v>
      </c>
      <c r="AC18" s="22"/>
      <c r="AD18" s="23">
        <f>IF(ISERROR(VLOOKUP($B18,[1]Hedef!$A$4:$ES$45409,45,0)),0,VLOOKUP($B18,[1]Hedef!$A$4:$ES$45409,45,0))</f>
        <v>0</v>
      </c>
      <c r="AE18" s="23">
        <f>IF((AC18-AD18)&lt;0, "-", (AC18-AD18))</f>
        <v>0</v>
      </c>
      <c r="AF18" s="80" t="e">
        <f t="shared" ref="AF18:AF21" si="39">TRUNC(IF((AD18/AC18)&gt;1.2,"120%",(AD18/AC18)),2)</f>
        <v>#DIV/0!</v>
      </c>
      <c r="AH18" s="44"/>
      <c r="AI18" s="11">
        <f>IF(ISERROR((AD18-AH18)/AH18),0,(AD18-AH18)/AH18)</f>
        <v>0</v>
      </c>
      <c r="AL18" s="22">
        <f t="shared" si="16"/>
        <v>0</v>
      </c>
      <c r="AM18" s="23">
        <f t="shared" si="17"/>
        <v>5.0733200000000006E-2</v>
      </c>
      <c r="AN18" s="23" t="str">
        <f>IF((AL18-AM18)&lt;0, "-", (AL18-AM18))</f>
        <v>-</v>
      </c>
      <c r="AO18" s="80" t="e">
        <f t="shared" ref="AO18:AO21" si="40">TRUNC(IF((AM18/AL18)&gt;1.2,"120%",(AM18/AL18)),2)</f>
        <v>#DIV/0!</v>
      </c>
      <c r="AP18" s="46">
        <v>0</v>
      </c>
      <c r="AQ18" s="22">
        <f t="shared" ref="AQ18:AQ19" si="41">AH18+Z18+R18+J18</f>
        <v>1.4130095999999996</v>
      </c>
      <c r="AR18" s="11">
        <f>IF(ISERROR((AM18-AQ18)/AQ18),0,(AM18-AQ18)/AQ18)</f>
        <v>-0.96409564379463519</v>
      </c>
      <c r="AT18" s="12">
        <f>AL18-'GENEL HEDEF'!U18</f>
        <v>-1.45</v>
      </c>
      <c r="AU18" s="15">
        <f>AM18-'GENEL HEDEF'!V18</f>
        <v>0</v>
      </c>
      <c r="AV18" s="45">
        <f>AT18*-1</f>
        <v>1.45</v>
      </c>
    </row>
    <row r="19" spans="2:48" ht="12.75" customHeight="1" thickBot="1" x14ac:dyDescent="0.2">
      <c r="B19" s="18">
        <v>2000</v>
      </c>
      <c r="C19" s="1" t="s">
        <v>12</v>
      </c>
      <c r="D19" s="125"/>
      <c r="E19" s="22"/>
      <c r="F19" s="23">
        <f>IF(ISERROR(VLOOKUP($B19,[1]Hedef!$A$4:$ES$45409,103,0)),0,VLOOKUP($B19,[1]Hedef!$A$4:$ES$45409,103,0))</f>
        <v>3.2045999999999998E-2</v>
      </c>
      <c r="G19" s="23" t="str">
        <f>IF((E19-F19)&lt;0, "-", (E19-F19))</f>
        <v>-</v>
      </c>
      <c r="H19" s="80" t="e">
        <f t="shared" si="36"/>
        <v>#DIV/0!</v>
      </c>
      <c r="J19" s="44">
        <v>0.27343800000000001</v>
      </c>
      <c r="K19" s="11">
        <f>IF(ISERROR((F19-J19)/J19),0,(F19-J19)/J19)</f>
        <v>-0.88280341430232823</v>
      </c>
      <c r="M19" s="22"/>
      <c r="N19" s="23">
        <f>IF(ISERROR(VLOOKUP($B19,[1]Hedef!$A$4:$ES$45409,105,0)),0,VLOOKUP($B19,[1]Hedef!$A$4:$ES$45409,105,0))</f>
        <v>5.3699999999999998E-3</v>
      </c>
      <c r="O19" s="23" t="str">
        <f>IF((M19-N19)&lt;0, "-", (M19-N19))</f>
        <v>-</v>
      </c>
      <c r="P19" s="80" t="e">
        <f t="shared" si="37"/>
        <v>#DIV/0!</v>
      </c>
      <c r="R19" s="44">
        <v>0.16130299999999997</v>
      </c>
      <c r="S19" s="11">
        <f>IF(ISERROR((N19-R19)/R19),0,(N19-R19)/R19)</f>
        <v>-0.96670861670272723</v>
      </c>
      <c r="U19" s="22"/>
      <c r="V19" s="23">
        <f>IF(ISERROR(VLOOKUP($B19,[1]Hedef!$A$4:$ES$45409,107,0)),0,VLOOKUP($B19,[1]Hedef!$A$4:$ES$45409,107,0))</f>
        <v>5.7970000000000009E-3</v>
      </c>
      <c r="W19" s="23" t="str">
        <f>IF((U19-V19)&lt;0, "-", (U19-V19))</f>
        <v>-</v>
      </c>
      <c r="X19" s="80" t="e">
        <f t="shared" si="38"/>
        <v>#DIV/0!</v>
      </c>
      <c r="Z19" s="44">
        <v>0.21029800000000001</v>
      </c>
      <c r="AA19" s="11">
        <f>IF(ISERROR((V19-Z19)/Z19),0,(V19-Z19)/Z19)</f>
        <v>-0.97243435505806053</v>
      </c>
      <c r="AC19" s="12"/>
      <c r="AD19" s="23">
        <f>IF(ISERROR(VLOOKUP($B19,[1]Hedef!$A$4:$ES$45409,45,0)),0,VLOOKUP($B19,[1]Hedef!$A$4:$ES$45409,45,0))</f>
        <v>0</v>
      </c>
      <c r="AE19" s="23">
        <f>IF((AC19-AD19)&lt;0, "-", (AC19-AD19))</f>
        <v>0</v>
      </c>
      <c r="AF19" s="80" t="e">
        <f t="shared" si="39"/>
        <v>#DIV/0!</v>
      </c>
      <c r="AH19" s="44"/>
      <c r="AI19" s="11">
        <f>IF(ISERROR((AD19-AH19)/AH19),0,(AD19-AH19)/AH19)</f>
        <v>0</v>
      </c>
      <c r="AL19" s="22">
        <f t="shared" si="16"/>
        <v>0</v>
      </c>
      <c r="AM19" s="23">
        <f t="shared" si="17"/>
        <v>4.3213000000000001E-2</v>
      </c>
      <c r="AN19" s="23" t="str">
        <f>IF((AL19-AM19)&lt;0, "-", (AL19-AM19))</f>
        <v>-</v>
      </c>
      <c r="AO19" s="80" t="e">
        <f t="shared" si="40"/>
        <v>#DIV/0!</v>
      </c>
      <c r="AP19" s="22">
        <v>0</v>
      </c>
      <c r="AQ19" s="22">
        <f t="shared" si="41"/>
        <v>0.64503899999999992</v>
      </c>
      <c r="AR19" s="11">
        <f>IF(ISERROR((AM19-AQ19)/AQ19),0,(AM19-AQ19)/AQ19)</f>
        <v>-0.93300715150556801</v>
      </c>
      <c r="AT19" s="12">
        <f>AL19-'GENEL HEDEF'!U19</f>
        <v>-0.84</v>
      </c>
      <c r="AU19" s="15">
        <f>AM19-'GENEL HEDEF'!V19</f>
        <v>0</v>
      </c>
      <c r="AV19" s="45">
        <f>AT19*-1</f>
        <v>0.84</v>
      </c>
    </row>
    <row r="20" spans="2:48" ht="12.75" customHeight="1" thickTop="1" thickBot="1" x14ac:dyDescent="0.2">
      <c r="B20" s="18" t="s">
        <v>56</v>
      </c>
      <c r="C20" s="2" t="s">
        <v>13</v>
      </c>
      <c r="D20" s="126"/>
      <c r="E20" s="67">
        <f>SUM(E18:E19)</f>
        <v>0</v>
      </c>
      <c r="F20" s="67">
        <f>SUM(F18:F19)</f>
        <v>6.5706000000000001E-2</v>
      </c>
      <c r="G20" s="67">
        <f>SUM(G18:G19)</f>
        <v>0</v>
      </c>
      <c r="H20" s="39" t="e">
        <f t="shared" si="36"/>
        <v>#DIV/0!</v>
      </c>
      <c r="J20" s="67"/>
      <c r="K20" s="48"/>
      <c r="M20" s="67">
        <f>SUM(M18:M19)</f>
        <v>0</v>
      </c>
      <c r="N20" s="67">
        <f>SUM(N18:N19)</f>
        <v>1.30884E-2</v>
      </c>
      <c r="O20" s="67">
        <f>SUM(O18:O19)</f>
        <v>0</v>
      </c>
      <c r="P20" s="39" t="e">
        <f t="shared" si="37"/>
        <v>#DIV/0!</v>
      </c>
      <c r="Q20" s="78"/>
      <c r="R20" s="67"/>
      <c r="S20" s="48"/>
      <c r="T20" s="78"/>
      <c r="U20" s="67">
        <f>SUM(U18:U19)</f>
        <v>0</v>
      </c>
      <c r="V20" s="67">
        <f>SUM(V18:V19)</f>
        <v>1.51518E-2</v>
      </c>
      <c r="W20" s="67">
        <f>SUM(W18:W19)</f>
        <v>0</v>
      </c>
      <c r="X20" s="39" t="e">
        <f t="shared" si="38"/>
        <v>#DIV/0!</v>
      </c>
      <c r="Y20" s="78"/>
      <c r="Z20" s="67"/>
      <c r="AA20" s="48"/>
      <c r="AB20" s="78"/>
      <c r="AC20" s="67">
        <f>SUM(AC18:AC19)</f>
        <v>0</v>
      </c>
      <c r="AD20" s="67">
        <f>SUM(AD18:AD19)</f>
        <v>0</v>
      </c>
      <c r="AE20" s="67">
        <f>SUM(AE18:AE19)</f>
        <v>0</v>
      </c>
      <c r="AF20" s="39" t="e">
        <f t="shared" si="39"/>
        <v>#DIV/0!</v>
      </c>
      <c r="AG20" s="78"/>
      <c r="AH20" s="48"/>
      <c r="AI20" s="48"/>
      <c r="AJ20" s="78"/>
      <c r="AK20" s="78"/>
      <c r="AL20" s="67">
        <f>SUM(AL18:AL19)</f>
        <v>0</v>
      </c>
      <c r="AM20" s="67">
        <f>SUM(AM18:AM19)</f>
        <v>9.3946200000000007E-2</v>
      </c>
      <c r="AN20" s="67">
        <f>SUM(AN18:AN19)</f>
        <v>0</v>
      </c>
      <c r="AO20" s="39" t="e">
        <f t="shared" si="40"/>
        <v>#DIV/0!</v>
      </c>
      <c r="AP20" s="67">
        <v>0</v>
      </c>
      <c r="AQ20" s="67"/>
      <c r="AR20" s="113"/>
      <c r="AS20" s="78"/>
      <c r="AT20" s="67">
        <f t="shared" ref="AT20:AU20" si="42">SUM(AT18:AT19)</f>
        <v>-2.29</v>
      </c>
      <c r="AU20" s="67">
        <f t="shared" si="42"/>
        <v>0</v>
      </c>
      <c r="AV20" s="45">
        <f t="shared" ref="AV20:AV57" si="43">AT20*-1</f>
        <v>2.29</v>
      </c>
    </row>
    <row r="21" spans="2:48" ht="12.75" customHeight="1" thickTop="1" thickBot="1" x14ac:dyDescent="0.2">
      <c r="B21" s="18"/>
      <c r="C21" s="2" t="s">
        <v>14</v>
      </c>
      <c r="D21" s="126"/>
      <c r="E21" s="67">
        <f>E20+E17</f>
        <v>0</v>
      </c>
      <c r="F21" s="110">
        <f>F20+F17</f>
        <v>0.162356</v>
      </c>
      <c r="G21" s="110">
        <f>G20+G17</f>
        <v>0</v>
      </c>
      <c r="H21" s="39" t="e">
        <f t="shared" si="36"/>
        <v>#DIV/0!</v>
      </c>
      <c r="J21" s="67"/>
      <c r="K21" s="48"/>
      <c r="M21" s="67">
        <f>M20+M17</f>
        <v>0</v>
      </c>
      <c r="N21" s="110">
        <f>N20+N17</f>
        <v>3.8988399999999999E-2</v>
      </c>
      <c r="O21" s="110">
        <f>O20+O17</f>
        <v>0</v>
      </c>
      <c r="P21" s="39" t="e">
        <f t="shared" si="37"/>
        <v>#DIV/0!</v>
      </c>
      <c r="Q21" s="78"/>
      <c r="R21" s="67"/>
      <c r="S21" s="48"/>
      <c r="T21" s="78"/>
      <c r="U21" s="67">
        <f>U20+U17</f>
        <v>0</v>
      </c>
      <c r="V21" s="110">
        <f>V20+V17</f>
        <v>3.18518E-2</v>
      </c>
      <c r="W21" s="110">
        <f>W20+W17</f>
        <v>1.75E-3</v>
      </c>
      <c r="X21" s="39" t="e">
        <f t="shared" si="38"/>
        <v>#DIV/0!</v>
      </c>
      <c r="Y21" s="78"/>
      <c r="Z21" s="67"/>
      <c r="AA21" s="48"/>
      <c r="AB21" s="78"/>
      <c r="AC21" s="67">
        <f>AC20+AC17</f>
        <v>0</v>
      </c>
      <c r="AD21" s="110">
        <f>AD20+AD17</f>
        <v>0</v>
      </c>
      <c r="AE21" s="110">
        <f>AE20+AE17</f>
        <v>0</v>
      </c>
      <c r="AF21" s="39" t="e">
        <f t="shared" si="39"/>
        <v>#DIV/0!</v>
      </c>
      <c r="AG21" s="78"/>
      <c r="AH21" s="67"/>
      <c r="AI21" s="48"/>
      <c r="AJ21" s="78"/>
      <c r="AK21" s="78"/>
      <c r="AL21" s="67">
        <f>AL20+AL17</f>
        <v>0</v>
      </c>
      <c r="AM21" s="110">
        <f>AM20+AM17</f>
        <v>0.23319620000000002</v>
      </c>
      <c r="AN21" s="110">
        <f>AN20+AN17</f>
        <v>0</v>
      </c>
      <c r="AO21" s="39" t="e">
        <f t="shared" si="40"/>
        <v>#DIV/0!</v>
      </c>
      <c r="AP21" s="67">
        <v>0</v>
      </c>
      <c r="AQ21" s="67"/>
      <c r="AR21" s="113"/>
      <c r="AS21" s="78"/>
      <c r="AT21" s="67">
        <f t="shared" ref="AT21:AU21" si="44">AT20+AT17</f>
        <v>-4.17</v>
      </c>
      <c r="AU21" s="67">
        <f t="shared" si="44"/>
        <v>0</v>
      </c>
      <c r="AV21" s="45">
        <f t="shared" si="43"/>
        <v>4.17</v>
      </c>
    </row>
    <row r="22" spans="2:48" ht="12.75" customHeight="1" thickTop="1" x14ac:dyDescent="0.15">
      <c r="B22" s="31">
        <v>6000</v>
      </c>
      <c r="C22" s="1" t="s">
        <v>15</v>
      </c>
      <c r="D22" s="125"/>
      <c r="E22" s="22"/>
      <c r="F22" s="23">
        <f>IF(ISERROR(VLOOKUP($B22,[1]Hedef!$A$4:$ES$45409,103,0)),0,VLOOKUP($B22,[1]Hedef!$A$4:$ES$45409,103,0))</f>
        <v>1.4556</v>
      </c>
      <c r="G22" s="23" t="str">
        <f t="shared" ref="G22:G23" si="45">IF((E22-F22)&lt;0, "-", (E22-F22))</f>
        <v>-</v>
      </c>
      <c r="H22" s="80" t="e">
        <f t="shared" ref="H22:H27" si="46">TRUNC(IF((F22/E22)&gt;1.2,"120%",(F22/E22)),2)</f>
        <v>#DIV/0!</v>
      </c>
      <c r="J22" s="44">
        <v>15.2384</v>
      </c>
      <c r="K22" s="11">
        <f t="shared" ref="K22:K29" si="47">IF(ISERROR((F22-J22)/J22),0,(F22-J22)/J22)</f>
        <v>-0.90447816043679119</v>
      </c>
      <c r="M22" s="22"/>
      <c r="N22" s="23">
        <f>IF(ISERROR(VLOOKUP($B22,[1]Hedef!$A$4:$ES$45409,105,0)),0,VLOOKUP($B22,[1]Hedef!$A$4:$ES$45409,105,0))</f>
        <v>0.24720000000000003</v>
      </c>
      <c r="O22" s="23" t="str">
        <f t="shared" ref="O22:O29" si="48">IF((M22-N22)&lt;0, "-", (M22-N22))</f>
        <v>-</v>
      </c>
      <c r="P22" s="80" t="e">
        <f t="shared" ref="P22:P29" si="49">TRUNC(IF((N22/M22)&gt;1.2,"120%",(N22/M22)),2)</f>
        <v>#DIV/0!</v>
      </c>
      <c r="R22" s="44">
        <v>6.0369999999999999</v>
      </c>
      <c r="S22" s="11">
        <f t="shared" ref="S22:S29" si="50">IF(ISERROR((N22-R22)/R22),0,(N22-R22)/R22)</f>
        <v>-0.95905250952459831</v>
      </c>
      <c r="U22" s="22"/>
      <c r="V22" s="23">
        <f>IF(ISERROR(VLOOKUP($B22,[1]Hedef!$A$4:$ES$45409,107,0)),0,VLOOKUP($B22,[1]Hedef!$A$4:$ES$45409,107,0))</f>
        <v>0.31579999999999997</v>
      </c>
      <c r="W22" s="23" t="str">
        <f t="shared" ref="W22:W29" si="51">IF((U22-V22)&lt;0, "-", (U22-V22))</f>
        <v>-</v>
      </c>
      <c r="X22" s="80" t="e">
        <f t="shared" ref="X22:X29" si="52">TRUNC(IF((V22/U22)&gt;1.2,"120%",(V22/U22)),2)</f>
        <v>#DIV/0!</v>
      </c>
      <c r="Z22" s="44">
        <v>9.5443999999999907</v>
      </c>
      <c r="AA22" s="11">
        <f t="shared" ref="AA22:AA29" si="53">IF(ISERROR((V22-Z22)/Z22),0,(V22-Z22)/Z22)</f>
        <v>-0.96691253509911579</v>
      </c>
      <c r="AC22" s="22"/>
      <c r="AD22" s="23">
        <f>IF(ISERROR(VLOOKUP($B22,[1]Hedef!$A$4:$ES$45409,45,0)),0,VLOOKUP($B22,[1]Hedef!$A$4:$ES$45409,45,0))</f>
        <v>0</v>
      </c>
      <c r="AE22" s="23">
        <f t="shared" ref="AE22:AE29" si="54">IF((AC22-AD22)&lt;0, "-", (AC22-AD22))</f>
        <v>0</v>
      </c>
      <c r="AF22" s="80" t="e">
        <f t="shared" ref="AF22:AF24" si="55">TRUNC(IF((AD22/AC22)&gt;1.2,"120%",(AD22/AC22)),2)</f>
        <v>#DIV/0!</v>
      </c>
      <c r="AH22" s="44"/>
      <c r="AI22" s="11">
        <f t="shared" ref="AI22:AI29" si="56">IF(ISERROR((AD22-AH22)/AH22),0,(AD22-AH22)/AH22)</f>
        <v>0</v>
      </c>
      <c r="AL22" s="22">
        <f t="shared" ref="AL22:AL29" si="57">AC22+U22+M22+E22</f>
        <v>0</v>
      </c>
      <c r="AM22" s="23">
        <f t="shared" ref="AM22:AM29" si="58">N22+V22+AD22+F22</f>
        <v>2.0186000000000002</v>
      </c>
      <c r="AN22" s="23" t="str">
        <f t="shared" ref="AN22:AN29" si="59">IF((AL22-AM22)&lt;0, "-", (AL22-AM22))</f>
        <v>-</v>
      </c>
      <c r="AO22" s="80" t="e">
        <f t="shared" ref="AO22:AO29" si="60">TRUNC(IF((AM22/AL22)&gt;1.2,"120%",(AM22/AL22)),2)</f>
        <v>#DIV/0!</v>
      </c>
      <c r="AP22" s="22">
        <v>0</v>
      </c>
      <c r="AQ22" s="22">
        <f t="shared" ref="AQ22:AQ29" si="61">AH22+Z22+R22+J22</f>
        <v>30.819799999999994</v>
      </c>
      <c r="AR22" s="11">
        <f t="shared" ref="AR22:AR29" si="62">IF(ISERROR((AM22-AQ22)/AQ22),0,(AM22-AQ22)/AQ22)</f>
        <v>-0.93450314408270008</v>
      </c>
      <c r="AT22" s="12">
        <f>AL22-'GENEL HEDEF'!U22</f>
        <v>-29.45</v>
      </c>
      <c r="AU22" s="15">
        <f>AM22-'GENEL HEDEF'!V22</f>
        <v>0</v>
      </c>
      <c r="AV22" s="45">
        <f t="shared" si="43"/>
        <v>29.45</v>
      </c>
    </row>
    <row r="23" spans="2:48" ht="12.75" customHeight="1" x14ac:dyDescent="0.15">
      <c r="B23" s="31">
        <v>10</v>
      </c>
      <c r="C23" s="1" t="s">
        <v>16</v>
      </c>
      <c r="D23" s="125"/>
      <c r="E23" s="22"/>
      <c r="F23" s="23">
        <f>IF(ISERROR(VLOOKUP($B23,[1]Hedef!$A$4:$ES$45409,103,0)),0,VLOOKUP($B23,[1]Hedef!$A$4:$ES$45409,103,0))</f>
        <v>1.1172</v>
      </c>
      <c r="G23" s="23" t="str">
        <f t="shared" si="45"/>
        <v>-</v>
      </c>
      <c r="H23" s="80" t="e">
        <f t="shared" si="46"/>
        <v>#DIV/0!</v>
      </c>
      <c r="J23" s="44">
        <v>11.426200000000001</v>
      </c>
      <c r="K23" s="11">
        <f t="shared" si="47"/>
        <v>-0.90222471162766271</v>
      </c>
      <c r="M23" s="22"/>
      <c r="N23" s="23">
        <f>IF(ISERROR(VLOOKUP($B23,[1]Hedef!$A$4:$ES$45409,105,0)),0,VLOOKUP($B23,[1]Hedef!$A$4:$ES$45409,105,0))</f>
        <v>0.18049999999999999</v>
      </c>
      <c r="O23" s="23" t="str">
        <f t="shared" si="48"/>
        <v>-</v>
      </c>
      <c r="P23" s="80" t="e">
        <f t="shared" si="49"/>
        <v>#DIV/0!</v>
      </c>
      <c r="R23" s="44">
        <v>5.9553999999999938</v>
      </c>
      <c r="S23" s="11">
        <f t="shared" si="50"/>
        <v>-0.96969137253584969</v>
      </c>
      <c r="U23" s="22"/>
      <c r="V23" s="23">
        <f>IF(ISERROR(VLOOKUP($B23,[1]Hedef!$A$4:$ES$45409,107,0)),0,VLOOKUP($B23,[1]Hedef!$A$4:$ES$45409,107,0))</f>
        <v>0.65690000000000004</v>
      </c>
      <c r="W23" s="23" t="str">
        <f t="shared" si="51"/>
        <v>-</v>
      </c>
      <c r="X23" s="80" t="e">
        <f t="shared" si="52"/>
        <v>#DIV/0!</v>
      </c>
      <c r="Z23" s="44">
        <v>10.167400000000001</v>
      </c>
      <c r="AA23" s="11">
        <f t="shared" si="53"/>
        <v>-0.93539154552786352</v>
      </c>
      <c r="AC23" s="22"/>
      <c r="AD23" s="23">
        <f>IF(ISERROR(VLOOKUP($B23,[1]Hedef!$A$4:$ES$45409,45,0)),0,VLOOKUP($B23,[1]Hedef!$A$4:$ES$45409,45,0))</f>
        <v>0</v>
      </c>
      <c r="AE23" s="23">
        <f t="shared" si="54"/>
        <v>0</v>
      </c>
      <c r="AF23" s="80" t="e">
        <f t="shared" si="55"/>
        <v>#DIV/0!</v>
      </c>
      <c r="AH23" s="44"/>
      <c r="AI23" s="11">
        <f t="shared" si="56"/>
        <v>0</v>
      </c>
      <c r="AL23" s="22">
        <f t="shared" si="57"/>
        <v>0</v>
      </c>
      <c r="AM23" s="23">
        <f t="shared" si="58"/>
        <v>1.9546000000000001</v>
      </c>
      <c r="AN23" s="23" t="str">
        <f t="shared" si="59"/>
        <v>-</v>
      </c>
      <c r="AO23" s="80" t="e">
        <f t="shared" si="60"/>
        <v>#DIV/0!</v>
      </c>
      <c r="AP23" s="22">
        <v>0</v>
      </c>
      <c r="AQ23" s="22">
        <f t="shared" si="61"/>
        <v>27.548999999999996</v>
      </c>
      <c r="AR23" s="11">
        <f t="shared" si="62"/>
        <v>-0.92905005626338522</v>
      </c>
      <c r="AT23" s="12">
        <f>AL23-'GENEL HEDEF'!U23</f>
        <v>-30.1</v>
      </c>
      <c r="AU23" s="15">
        <f>AM23-'GENEL HEDEF'!V23</f>
        <v>0</v>
      </c>
      <c r="AV23" s="45">
        <f t="shared" si="43"/>
        <v>30.1</v>
      </c>
    </row>
    <row r="24" spans="2:48" ht="12.75" customHeight="1" x14ac:dyDescent="0.15">
      <c r="B24" s="31">
        <v>60</v>
      </c>
      <c r="C24" s="1" t="s">
        <v>62</v>
      </c>
      <c r="D24" s="125"/>
      <c r="E24" s="22"/>
      <c r="F24" s="23">
        <f>IF(ISERROR(VLOOKUP($B24,[1]Hedef!$A$4:$ES$45409,103,0)),0,VLOOKUP($B24,[1]Hedef!$A$4:$ES$45409,103,0))</f>
        <v>1.1638800000000002</v>
      </c>
      <c r="G24" s="23" t="str">
        <f>IF((E24-F24)&lt;0, "-", (E24-F24))</f>
        <v>-</v>
      </c>
      <c r="H24" s="80" t="e">
        <f t="shared" si="46"/>
        <v>#DIV/0!</v>
      </c>
      <c r="J24" s="44">
        <v>10.340119999999999</v>
      </c>
      <c r="K24" s="11">
        <f t="shared" si="47"/>
        <v>-0.88744037786795504</v>
      </c>
      <c r="M24" s="22"/>
      <c r="N24" s="23">
        <f>IF(ISERROR(VLOOKUP($B24,[1]Hedef!$A$4:$ES$45409,105,0)),0,VLOOKUP($B24,[1]Hedef!$A$4:$ES$45409,105,0))</f>
        <v>0.15042</v>
      </c>
      <c r="O24" s="23" t="str">
        <f>IF((M24-N24)&lt;0, "-", (M24-N24))</f>
        <v>-</v>
      </c>
      <c r="P24" s="80" t="e">
        <f t="shared" si="49"/>
        <v>#DIV/0!</v>
      </c>
      <c r="R24" s="44">
        <v>2.3854599999999997</v>
      </c>
      <c r="S24" s="11">
        <f t="shared" si="50"/>
        <v>-0.93694297955111383</v>
      </c>
      <c r="U24" s="22"/>
      <c r="V24" s="23">
        <f>IF(ISERROR(VLOOKUP($B24,[1]Hedef!$A$4:$ES$45409,107,0)),0,VLOOKUP($B24,[1]Hedef!$A$4:$ES$45409,107,0))</f>
        <v>0.13550000000000001</v>
      </c>
      <c r="W24" s="23" t="str">
        <f>IF((U24-V24)&lt;0, "-", (U24-V24))</f>
        <v>-</v>
      </c>
      <c r="X24" s="80" t="e">
        <f t="shared" si="52"/>
        <v>#DIV/0!</v>
      </c>
      <c r="Z24" s="44">
        <v>3.3177599999999998</v>
      </c>
      <c r="AA24" s="11">
        <f>IF(ISERROR((V24-Z24)/Z24),0,(V24-Z24)/Z24)</f>
        <v>-0.95915919174382713</v>
      </c>
      <c r="AC24" s="22"/>
      <c r="AD24" s="23">
        <f>IF(ISERROR(VLOOKUP($B24,[1]Hedef!$A$4:$ES$45409,45,0)),0,VLOOKUP($B24,[1]Hedef!$A$4:$ES$45409,45,0))</f>
        <v>0</v>
      </c>
      <c r="AE24" s="23">
        <f>IF((AC24-AD24)&lt;0, "-", (AC24-AD24))</f>
        <v>0</v>
      </c>
      <c r="AF24" s="80" t="e">
        <f t="shared" si="55"/>
        <v>#DIV/0!</v>
      </c>
      <c r="AH24" s="44"/>
      <c r="AI24" s="11">
        <f>IF(ISERROR((AD24-AH24)/AH24),0,(AD24-AH24)/AH24)</f>
        <v>0</v>
      </c>
      <c r="AL24" s="22">
        <f t="shared" si="57"/>
        <v>0</v>
      </c>
      <c r="AM24" s="23">
        <f t="shared" si="58"/>
        <v>1.4498000000000002</v>
      </c>
      <c r="AN24" s="23" t="str">
        <f>IF((AL24-AM24)&lt;0, "-", (AL24-AM24))</f>
        <v>-</v>
      </c>
      <c r="AO24" s="80" t="e">
        <f t="shared" si="60"/>
        <v>#DIV/0!</v>
      </c>
      <c r="AP24" s="22">
        <v>0</v>
      </c>
      <c r="AQ24" s="22">
        <f t="shared" si="61"/>
        <v>16.043340000000001</v>
      </c>
      <c r="AR24" s="11">
        <f>IF(ISERROR((AM24-AQ24)/AQ24),0,(AM24-AQ24)/AQ24)</f>
        <v>-0.90963228355192871</v>
      </c>
      <c r="AT24" s="12">
        <f>AL24-'GENEL HEDEF'!U24</f>
        <v>-16.48</v>
      </c>
      <c r="AU24" s="15">
        <f>AM24-'GENEL HEDEF'!V24</f>
        <v>0</v>
      </c>
      <c r="AV24" s="45">
        <f>AT24*-1</f>
        <v>16.48</v>
      </c>
    </row>
    <row r="25" spans="2:48" ht="12.75" customHeight="1" x14ac:dyDescent="0.15">
      <c r="B25" s="31">
        <v>45</v>
      </c>
      <c r="C25" s="1" t="s">
        <v>17</v>
      </c>
      <c r="D25" s="125"/>
      <c r="E25" s="22"/>
      <c r="F25" s="23">
        <f>IF(ISERROR(VLOOKUP($B25,[1]Hedef!$A$4:$ES$45409,103,0)),0,VLOOKUP($B25,[1]Hedef!$A$4:$ES$45409,103,0))</f>
        <v>0.37</v>
      </c>
      <c r="G25" s="23" t="str">
        <f t="shared" ref="G25:G27" si="63">IF((E25-F25)&lt;0, "-", (E25-F25))</f>
        <v>-</v>
      </c>
      <c r="H25" s="80" t="e">
        <f t="shared" si="46"/>
        <v>#DIV/0!</v>
      </c>
      <c r="J25" s="44">
        <v>0.15000000000000002</v>
      </c>
      <c r="K25" s="11">
        <f t="shared" si="47"/>
        <v>1.4666666666666663</v>
      </c>
      <c r="M25" s="22"/>
      <c r="N25" s="23">
        <f>IF(ISERROR(VLOOKUP($B25,[1]Hedef!$A$4:$ES$45409,105,0)),0,VLOOKUP($B25,[1]Hedef!$A$4:$ES$45409,105,0))</f>
        <v>0.05</v>
      </c>
      <c r="O25" s="23" t="str">
        <f t="shared" si="48"/>
        <v>-</v>
      </c>
      <c r="P25" s="80" t="e">
        <f t="shared" si="49"/>
        <v>#DIV/0!</v>
      </c>
      <c r="R25" s="44">
        <v>0.31950000000000001</v>
      </c>
      <c r="S25" s="11">
        <f t="shared" si="50"/>
        <v>-0.84350547730829428</v>
      </c>
      <c r="U25" s="22"/>
      <c r="V25" s="23">
        <f>IF(ISERROR(VLOOKUP($B25,[1]Hedef!$A$4:$ES$45409,107,0)),0,VLOOKUP($B25,[1]Hedef!$A$4:$ES$45409,107,0))</f>
        <v>0.11399999999999999</v>
      </c>
      <c r="W25" s="23" t="str">
        <f t="shared" si="51"/>
        <v>-</v>
      </c>
      <c r="X25" s="80" t="e">
        <f t="shared" si="52"/>
        <v>#DIV/0!</v>
      </c>
      <c r="Z25" s="44">
        <v>0.40150000000000008</v>
      </c>
      <c r="AA25" s="11">
        <f t="shared" si="53"/>
        <v>-0.71606475716064766</v>
      </c>
      <c r="AC25" s="22"/>
      <c r="AD25" s="23">
        <f>IF(ISERROR(VLOOKUP($B25,[1]Hedef!$A$4:$ES$45409,45,0)),0,VLOOKUP($B25,[1]Hedef!$A$4:$ES$45409,45,0))</f>
        <v>0</v>
      </c>
      <c r="AE25" s="23">
        <f t="shared" si="54"/>
        <v>0</v>
      </c>
      <c r="AF25" s="80"/>
      <c r="AH25" s="44"/>
      <c r="AI25" s="11">
        <f t="shared" si="56"/>
        <v>0</v>
      </c>
      <c r="AL25" s="22">
        <f t="shared" si="57"/>
        <v>0</v>
      </c>
      <c r="AM25" s="23">
        <f t="shared" si="58"/>
        <v>0.53400000000000003</v>
      </c>
      <c r="AN25" s="23" t="str">
        <f t="shared" si="59"/>
        <v>-</v>
      </c>
      <c r="AO25" s="80" t="e">
        <f t="shared" si="60"/>
        <v>#DIV/0!</v>
      </c>
      <c r="AP25" s="22">
        <v>0</v>
      </c>
      <c r="AQ25" s="22">
        <f t="shared" si="61"/>
        <v>0.87100000000000011</v>
      </c>
      <c r="AR25" s="11">
        <f t="shared" si="62"/>
        <v>-0.38691159586681978</v>
      </c>
      <c r="AT25" s="12">
        <f>AL25-'GENEL HEDEF'!U25</f>
        <v>-1.17</v>
      </c>
      <c r="AU25" s="15">
        <f>AM25-'GENEL HEDEF'!V25</f>
        <v>0</v>
      </c>
      <c r="AV25" s="45">
        <f t="shared" si="43"/>
        <v>1.17</v>
      </c>
    </row>
    <row r="26" spans="2:48" ht="12.75" customHeight="1" x14ac:dyDescent="0.15">
      <c r="B26" s="31">
        <v>12</v>
      </c>
      <c r="C26" s="1" t="s">
        <v>18</v>
      </c>
      <c r="D26" s="125"/>
      <c r="E26" s="22"/>
      <c r="F26" s="23">
        <f>IF(ISERROR(VLOOKUP($B26,[1]Hedef!$A$4:$ES$45409,103,0)),0,VLOOKUP($B26,[1]Hedef!$A$4:$ES$45409,103,0))</f>
        <v>0.08</v>
      </c>
      <c r="G26" s="23" t="str">
        <f t="shared" si="63"/>
        <v>-</v>
      </c>
      <c r="H26" s="80" t="e">
        <f t="shared" si="46"/>
        <v>#DIV/0!</v>
      </c>
      <c r="J26" s="44">
        <v>0</v>
      </c>
      <c r="K26" s="11">
        <f t="shared" si="47"/>
        <v>0</v>
      </c>
      <c r="M26" s="22"/>
      <c r="N26" s="23">
        <f>IF(ISERROR(VLOOKUP($B26,[1]Hedef!$A$4:$ES$45409,105,0)),0,VLOOKUP($B26,[1]Hedef!$A$4:$ES$45409,105,0))</f>
        <v>2.3549999999999998E-2</v>
      </c>
      <c r="O26" s="23" t="str">
        <f t="shared" si="48"/>
        <v>-</v>
      </c>
      <c r="P26" s="80" t="e">
        <f t="shared" si="49"/>
        <v>#DIV/0!</v>
      </c>
      <c r="R26" s="44">
        <v>0.15925</v>
      </c>
      <c r="S26" s="11">
        <f t="shared" si="50"/>
        <v>-0.8521193092621665</v>
      </c>
      <c r="U26" s="22"/>
      <c r="V26" s="23">
        <f>IF(ISERROR(VLOOKUP($B26,[1]Hedef!$A$4:$ES$45409,107,0)),0,VLOOKUP($B26,[1]Hedef!$A$4:$ES$45409,107,0))</f>
        <v>7.6749999999999999E-2</v>
      </c>
      <c r="W26" s="23" t="str">
        <f t="shared" si="51"/>
        <v>-</v>
      </c>
      <c r="X26" s="80" t="e">
        <f t="shared" si="52"/>
        <v>#DIV/0!</v>
      </c>
      <c r="Z26" s="44">
        <v>-1.15E-3</v>
      </c>
      <c r="AA26" s="11">
        <f t="shared" si="53"/>
        <v>-67.739130434782609</v>
      </c>
      <c r="AC26" s="22"/>
      <c r="AD26" s="23">
        <f>IF(ISERROR(VLOOKUP($B26,[1]Hedef!$A$4:$ES$45409,45,0)),0,VLOOKUP($B26,[1]Hedef!$A$4:$ES$45409,45,0))</f>
        <v>0</v>
      </c>
      <c r="AE26" s="23">
        <f t="shared" si="54"/>
        <v>0</v>
      </c>
      <c r="AF26" s="80" t="e">
        <f t="shared" ref="AF26:AF27" si="64">TRUNC(IF((AD26/AC26)&gt;1.2,"120%",(AD26/AC26)),2)</f>
        <v>#DIV/0!</v>
      </c>
      <c r="AH26" s="44"/>
      <c r="AI26" s="11">
        <f t="shared" si="56"/>
        <v>0</v>
      </c>
      <c r="AL26" s="22">
        <f t="shared" si="57"/>
        <v>0</v>
      </c>
      <c r="AM26" s="23">
        <f t="shared" si="58"/>
        <v>0.18030000000000002</v>
      </c>
      <c r="AN26" s="23" t="str">
        <f t="shared" si="59"/>
        <v>-</v>
      </c>
      <c r="AO26" s="80" t="e">
        <f t="shared" si="60"/>
        <v>#DIV/0!</v>
      </c>
      <c r="AP26" s="22">
        <v>0</v>
      </c>
      <c r="AQ26" s="22">
        <f t="shared" si="61"/>
        <v>0.15809999999999999</v>
      </c>
      <c r="AR26" s="11">
        <f t="shared" si="62"/>
        <v>0.14041745730550301</v>
      </c>
      <c r="AT26" s="12">
        <f>AL26-'GENEL HEDEF'!U26</f>
        <v>-0.4</v>
      </c>
      <c r="AU26" s="15">
        <f>AM26-'GENEL HEDEF'!V26</f>
        <v>0</v>
      </c>
      <c r="AV26" s="45">
        <f t="shared" si="43"/>
        <v>0.4</v>
      </c>
    </row>
    <row r="27" spans="2:48" ht="12.75" customHeight="1" x14ac:dyDescent="0.15">
      <c r="B27" s="31">
        <v>13</v>
      </c>
      <c r="C27" s="1" t="s">
        <v>106</v>
      </c>
      <c r="D27" s="125"/>
      <c r="E27" s="22"/>
      <c r="F27" s="23">
        <f>IF(ISERROR(VLOOKUP($B27,[1]Hedef!$A$4:$ES$45409,103,0)),0,VLOOKUP($B27,[1]Hedef!$A$4:$ES$45409,103,0))</f>
        <v>0.54710000000000003</v>
      </c>
      <c r="G27" s="23" t="str">
        <f t="shared" si="63"/>
        <v>-</v>
      </c>
      <c r="H27" s="80" t="e">
        <f t="shared" si="46"/>
        <v>#DIV/0!</v>
      </c>
      <c r="J27" s="44">
        <v>15.424099999999999</v>
      </c>
      <c r="K27" s="11">
        <f t="shared" si="47"/>
        <v>-0.96452953494855453</v>
      </c>
      <c r="M27" s="22"/>
      <c r="N27" s="23">
        <f>IF(ISERROR(VLOOKUP($B27,[1]Hedef!$A$4:$ES$45409,105,0)),0,VLOOKUP($B27,[1]Hedef!$A$4:$ES$45409,105,0))</f>
        <v>9.512000000000001E-2</v>
      </c>
      <c r="O27" s="23" t="str">
        <f t="shared" si="48"/>
        <v>-</v>
      </c>
      <c r="P27" s="80" t="e">
        <f t="shared" si="49"/>
        <v>#DIV/0!</v>
      </c>
      <c r="R27" s="44">
        <v>7.1197799999999996</v>
      </c>
      <c r="S27" s="11">
        <f t="shared" si="50"/>
        <v>-0.98664003663034539</v>
      </c>
      <c r="U27" s="22"/>
      <c r="V27" s="23">
        <f>IF(ISERROR(VLOOKUP($B27,[1]Hedef!$A$4:$ES$45409,107,0)),0,VLOOKUP($B27,[1]Hedef!$A$4:$ES$45409,107,0))</f>
        <v>0.12472</v>
      </c>
      <c r="W27" s="23" t="str">
        <f t="shared" si="51"/>
        <v>-</v>
      </c>
      <c r="X27" s="80" t="e">
        <f t="shared" si="52"/>
        <v>#DIV/0!</v>
      </c>
      <c r="Z27" s="44">
        <v>76.243250000000003</v>
      </c>
      <c r="AA27" s="11">
        <f t="shared" si="53"/>
        <v>-0.99836418305882824</v>
      </c>
      <c r="AC27" s="22"/>
      <c r="AD27" s="23">
        <f>IF(ISERROR(VLOOKUP($B27,[1]Hedef!$A$4:$ES$45409,45,0)),0,VLOOKUP($B27,[1]Hedef!$A$4:$ES$45409,45,0))</f>
        <v>0</v>
      </c>
      <c r="AE27" s="23">
        <f t="shared" si="54"/>
        <v>0</v>
      </c>
      <c r="AF27" s="80" t="e">
        <f t="shared" si="64"/>
        <v>#DIV/0!</v>
      </c>
      <c r="AH27" s="44"/>
      <c r="AI27" s="11">
        <f t="shared" si="56"/>
        <v>0</v>
      </c>
      <c r="AL27" s="22">
        <f t="shared" si="57"/>
        <v>0</v>
      </c>
      <c r="AM27" s="23">
        <f t="shared" si="58"/>
        <v>0.76694000000000007</v>
      </c>
      <c r="AN27" s="23" t="str">
        <f t="shared" si="59"/>
        <v>-</v>
      </c>
      <c r="AO27" s="80" t="e">
        <f t="shared" si="60"/>
        <v>#DIV/0!</v>
      </c>
      <c r="AP27" s="22">
        <v>0</v>
      </c>
      <c r="AQ27" s="22">
        <f t="shared" si="61"/>
        <v>98.787130000000005</v>
      </c>
      <c r="AR27" s="11">
        <f t="shared" si="62"/>
        <v>-0.9922364380866211</v>
      </c>
      <c r="AT27" s="12">
        <f>AL27-'GENEL HEDEF'!U27</f>
        <v>-49.3</v>
      </c>
      <c r="AU27" s="15">
        <f>AM27-'GENEL HEDEF'!V27</f>
        <v>0</v>
      </c>
      <c r="AV27" s="45">
        <f t="shared" si="43"/>
        <v>49.3</v>
      </c>
    </row>
    <row r="28" spans="2:48" ht="12.75" customHeight="1" x14ac:dyDescent="0.15">
      <c r="B28" s="31">
        <v>21</v>
      </c>
      <c r="C28" s="1" t="s">
        <v>70</v>
      </c>
      <c r="D28" s="125"/>
      <c r="E28" s="22"/>
      <c r="F28" s="23">
        <f>IF(ISERROR(VLOOKUP($B28,[1]Hedef!$A$4:$ES$45409,103,0)),0,VLOOKUP($B28,[1]Hedef!$A$4:$ES$45409,103,0))</f>
        <v>0</v>
      </c>
      <c r="G28" s="23">
        <f>IF((E28-F28)&lt;0, "-", (E28-F28))</f>
        <v>0</v>
      </c>
      <c r="H28" s="80"/>
      <c r="J28" s="44">
        <v>0</v>
      </c>
      <c r="K28" s="11">
        <f t="shared" si="47"/>
        <v>0</v>
      </c>
      <c r="M28" s="22"/>
      <c r="N28" s="23">
        <f>IF(ISERROR(VLOOKUP($B28,[1]Hedef!$A$4:$ES$45409,105,0)),0,VLOOKUP($B28,[1]Hedef!$A$4:$ES$45409,105,0))</f>
        <v>0</v>
      </c>
      <c r="O28" s="23">
        <f>IF((M28-N28)&lt;0, "-", (M28-N28))</f>
        <v>0</v>
      </c>
      <c r="P28" s="80" t="e">
        <f t="shared" si="49"/>
        <v>#DIV/0!</v>
      </c>
      <c r="R28" s="44">
        <v>0.27500000000000002</v>
      </c>
      <c r="S28" s="11">
        <f t="shared" si="50"/>
        <v>-1</v>
      </c>
      <c r="U28" s="46"/>
      <c r="V28" s="23">
        <f>IF(ISERROR(VLOOKUP($B28,[1]Hedef!$A$4:$ES$45409,107,0)),0,VLOOKUP($B28,[1]Hedef!$A$4:$ES$45409,107,0))</f>
        <v>0</v>
      </c>
      <c r="W28" s="23">
        <f>IF((U28-V28)&lt;0, "-", (U28-V28))</f>
        <v>0</v>
      </c>
      <c r="X28" s="80" t="e">
        <f t="shared" si="52"/>
        <v>#DIV/0!</v>
      </c>
      <c r="Z28" s="44">
        <v>0.42499999999999999</v>
      </c>
      <c r="AA28" s="11">
        <f>IF(ISERROR((V28-Z28)/Z28),0,(V28-Z28)/Z28)</f>
        <v>-1</v>
      </c>
      <c r="AC28" s="22"/>
      <c r="AD28" s="23">
        <f>IF(ISERROR(VLOOKUP($B28,[1]Hedef!$A$4:$ES$45409,45,0)),0,VLOOKUP($B28,[1]Hedef!$A$4:$ES$45409,45,0))</f>
        <v>0</v>
      </c>
      <c r="AE28" s="23">
        <f t="shared" si="54"/>
        <v>0</v>
      </c>
      <c r="AF28" s="80"/>
      <c r="AH28" s="44"/>
      <c r="AI28" s="11">
        <f t="shared" si="56"/>
        <v>0</v>
      </c>
      <c r="AL28" s="22">
        <f t="shared" si="57"/>
        <v>0</v>
      </c>
      <c r="AM28" s="23">
        <f t="shared" si="58"/>
        <v>0</v>
      </c>
      <c r="AN28" s="23">
        <f>IF((AL28-AM28)&lt;0, "-", (AL28-AM28))</f>
        <v>0</v>
      </c>
      <c r="AO28" s="80" t="e">
        <f t="shared" si="60"/>
        <v>#DIV/0!</v>
      </c>
      <c r="AP28" s="22">
        <v>0</v>
      </c>
      <c r="AQ28" s="22">
        <f t="shared" si="61"/>
        <v>0.7</v>
      </c>
      <c r="AR28" s="11">
        <f>IF(ISERROR((AM28-AQ28)/AQ28),0,(AM28-AQ28)/AQ28)</f>
        <v>-1</v>
      </c>
      <c r="AT28" s="12">
        <f>AL28-'GENEL HEDEF'!U28</f>
        <v>-0.45</v>
      </c>
      <c r="AU28" s="15">
        <f>AM28-'GENEL HEDEF'!V28</f>
        <v>0</v>
      </c>
      <c r="AV28" s="45">
        <f t="shared" si="43"/>
        <v>0.45</v>
      </c>
    </row>
    <row r="29" spans="2:48" ht="12.75" customHeight="1" thickBot="1" x14ac:dyDescent="0.2">
      <c r="B29" s="31">
        <v>40</v>
      </c>
      <c r="C29" s="1" t="s">
        <v>19</v>
      </c>
      <c r="D29" s="125"/>
      <c r="E29" s="22"/>
      <c r="F29" s="23">
        <f>IF(ISERROR(VLOOKUP($B29,[1]Hedef!$A$4:$ES$45409,103,0)),0,VLOOKUP($B29,[1]Hedef!$A$4:$ES$45409,103,0))</f>
        <v>0</v>
      </c>
      <c r="G29" s="23">
        <f t="shared" ref="G29" si="65">IF((E29-F29)&lt;0, "-", (E29-F29))</f>
        <v>0</v>
      </c>
      <c r="H29" s="80"/>
      <c r="J29" s="44">
        <v>2.5000000000000001E-2</v>
      </c>
      <c r="K29" s="11">
        <f t="shared" si="47"/>
        <v>-1</v>
      </c>
      <c r="M29" s="22"/>
      <c r="N29" s="23">
        <f>IF(ISERROR(VLOOKUP($B29,[1]Hedef!$A$4:$ES$45409,105,0)),0,VLOOKUP($B29,[1]Hedef!$A$4:$ES$45409,105,0))</f>
        <v>0</v>
      </c>
      <c r="O29" s="23">
        <f t="shared" si="48"/>
        <v>0</v>
      </c>
      <c r="P29" s="80" t="e">
        <f t="shared" si="49"/>
        <v>#DIV/0!</v>
      </c>
      <c r="R29" s="44">
        <v>0</v>
      </c>
      <c r="S29" s="11">
        <f t="shared" si="50"/>
        <v>0</v>
      </c>
      <c r="U29" s="85"/>
      <c r="V29" s="23">
        <f>IF(ISERROR(VLOOKUP($B29,[1]Hedef!$A$4:$ES$45409,107,0)),0,VLOOKUP($B29,[1]Hedef!$A$4:$ES$45409,107,0))</f>
        <v>0</v>
      </c>
      <c r="W29" s="23">
        <f t="shared" si="51"/>
        <v>0</v>
      </c>
      <c r="X29" s="80" t="e">
        <f t="shared" si="52"/>
        <v>#DIV/0!</v>
      </c>
      <c r="Z29" s="44">
        <v>0.99999999999999989</v>
      </c>
      <c r="AA29" s="11">
        <f t="shared" si="53"/>
        <v>-1</v>
      </c>
      <c r="AC29" s="22"/>
      <c r="AD29" s="23">
        <f>IF(ISERROR(VLOOKUP($B29,[1]Hedef!$A$4:$ES$45409,45,0)),0,VLOOKUP($B29,[1]Hedef!$A$4:$ES$45409,45,0))</f>
        <v>0</v>
      </c>
      <c r="AE29" s="23">
        <f t="shared" si="54"/>
        <v>0</v>
      </c>
      <c r="AF29" s="80"/>
      <c r="AH29" s="44"/>
      <c r="AI29" s="11">
        <f t="shared" si="56"/>
        <v>0</v>
      </c>
      <c r="AL29" s="22">
        <f t="shared" si="57"/>
        <v>0</v>
      </c>
      <c r="AM29" s="23">
        <f t="shared" si="58"/>
        <v>0</v>
      </c>
      <c r="AN29" s="23">
        <f t="shared" si="59"/>
        <v>0</v>
      </c>
      <c r="AO29" s="80" t="e">
        <f t="shared" si="60"/>
        <v>#DIV/0!</v>
      </c>
      <c r="AP29" s="22">
        <v>0</v>
      </c>
      <c r="AQ29" s="22">
        <f t="shared" si="61"/>
        <v>1.0249999999999999</v>
      </c>
      <c r="AR29" s="11">
        <f t="shared" si="62"/>
        <v>-1</v>
      </c>
      <c r="AT29" s="12">
        <f>AL29-'GENEL HEDEF'!U29</f>
        <v>-1</v>
      </c>
      <c r="AU29" s="15">
        <f>AM29-'GENEL HEDEF'!V29</f>
        <v>0</v>
      </c>
      <c r="AV29" s="45">
        <f t="shared" si="43"/>
        <v>1</v>
      </c>
    </row>
    <row r="30" spans="2:48" ht="12.75" customHeight="1" thickTop="1" thickBot="1" x14ac:dyDescent="0.2">
      <c r="B30" s="18"/>
      <c r="C30" s="2" t="s">
        <v>20</v>
      </c>
      <c r="D30" s="126"/>
      <c r="E30" s="67">
        <f>SUM(E22:E29)</f>
        <v>0</v>
      </c>
      <c r="F30" s="67">
        <f>SUM(F22:F29)</f>
        <v>4.7337800000000003</v>
      </c>
      <c r="G30" s="67">
        <f>SUM(G22:G29)</f>
        <v>0</v>
      </c>
      <c r="H30" s="39" t="e">
        <f>TRUNC(IF((F30/E30)&gt;1.2,"120%",(F30/E30)),2)</f>
        <v>#DIV/0!</v>
      </c>
      <c r="J30" s="40"/>
      <c r="K30" s="48"/>
      <c r="M30" s="67">
        <f>SUM(M22:M29)</f>
        <v>0</v>
      </c>
      <c r="N30" s="67">
        <f>SUM(N22:N29)</f>
        <v>0.74678999999999995</v>
      </c>
      <c r="O30" s="67">
        <f>SUM(O22:O29)</f>
        <v>0</v>
      </c>
      <c r="P30" s="39" t="e">
        <f>TRUNC(IF((N30/M30)&gt;1.2,"120%",(N30/M30)),2)</f>
        <v>#DIV/0!</v>
      </c>
      <c r="Q30" s="78"/>
      <c r="R30" s="40"/>
      <c r="S30" s="48"/>
      <c r="T30" s="78"/>
      <c r="U30" s="67">
        <f>SUM(U22:U29)</f>
        <v>0</v>
      </c>
      <c r="V30" s="67">
        <f>SUM(V22:V29)</f>
        <v>1.42367</v>
      </c>
      <c r="W30" s="67">
        <f>SUM(W22:W29)</f>
        <v>0</v>
      </c>
      <c r="X30" s="39" t="e">
        <f>TRUNC(IF((V30/U30)&gt;1.2,"120%",(V30/U30)),2)</f>
        <v>#DIV/0!</v>
      </c>
      <c r="Y30" s="78"/>
      <c r="Z30" s="40"/>
      <c r="AA30" s="48"/>
      <c r="AB30" s="78"/>
      <c r="AC30" s="67">
        <f>SUM(AC22:AC29)</f>
        <v>0</v>
      </c>
      <c r="AD30" s="67">
        <f>SUM(AD22:AD29)</f>
        <v>0</v>
      </c>
      <c r="AE30" s="67">
        <f>SUM(AE22:AE29)</f>
        <v>0</v>
      </c>
      <c r="AF30" s="39" t="e">
        <f>TRUNC(IF((AD30/AC30)&gt;1.2,"120%",(AD30/AC30)),2)</f>
        <v>#DIV/0!</v>
      </c>
      <c r="AG30" s="78"/>
      <c r="AH30" s="40"/>
      <c r="AI30" s="48"/>
      <c r="AJ30" s="78"/>
      <c r="AK30" s="78"/>
      <c r="AL30" s="67">
        <f>SUM(AL22:AL29)</f>
        <v>0</v>
      </c>
      <c r="AM30" s="67">
        <f>SUM(AM22:AM29)</f>
        <v>6.9042399999999997</v>
      </c>
      <c r="AN30" s="67">
        <f>SUM(AN22:AN29)</f>
        <v>0</v>
      </c>
      <c r="AO30" s="39" t="e">
        <f>TRUNC(IF((AM30/AL30)&gt;1.2,"120%",(AM30/AL30)),2)</f>
        <v>#DIV/0!</v>
      </c>
      <c r="AP30" s="67">
        <v>0</v>
      </c>
      <c r="AQ30" s="67"/>
      <c r="AR30" s="113"/>
      <c r="AS30" s="78"/>
      <c r="AT30" s="67">
        <f t="shared" ref="AT30:AU30" si="66">SUM(AT22:AT29)</f>
        <v>-128.35000000000002</v>
      </c>
      <c r="AU30" s="67">
        <f t="shared" si="66"/>
        <v>0</v>
      </c>
      <c r="AV30" s="45">
        <f t="shared" si="43"/>
        <v>128.35000000000002</v>
      </c>
    </row>
    <row r="31" spans="2:48" ht="12.75" customHeight="1" thickTop="1" x14ac:dyDescent="0.15">
      <c r="B31" s="18">
        <v>15</v>
      </c>
      <c r="C31" s="1" t="s">
        <v>21</v>
      </c>
      <c r="D31" s="125"/>
      <c r="E31" s="22"/>
      <c r="F31" s="23">
        <f>IF(ISERROR(VLOOKUP($B31,[1]Hedef!$A$4:$ES$45409,103,0)),0,VLOOKUP($B31,[1]Hedef!$A$4:$ES$45409,103,0))</f>
        <v>0.16992499999999999</v>
      </c>
      <c r="G31" s="23" t="str">
        <f t="shared" ref="G31" si="67">IF((E31-F31)&lt;0, "-", (E31-F31))</f>
        <v>-</v>
      </c>
      <c r="H31" s="80" t="e">
        <f t="shared" ref="H31:H38" si="68">TRUNC(IF((F31/E31)&gt;1.2,"120%",(F31/E31)),2)</f>
        <v>#DIV/0!</v>
      </c>
      <c r="J31" s="44">
        <v>1.924795</v>
      </c>
      <c r="K31" s="11">
        <f t="shared" ref="K31:K38" si="69">IF(ISERROR((F31-J31)/J31),0,(F31-J31)/J31)</f>
        <v>-0.91171787125382175</v>
      </c>
      <c r="M31" s="22"/>
      <c r="N31" s="23">
        <f>IF(ISERROR(VLOOKUP($B31,[1]Hedef!$A$4:$ES$45409,105,0)),0,VLOOKUP($B31,[1]Hedef!$A$4:$ES$45409,105,0))</f>
        <v>8.6400000000000001E-3</v>
      </c>
      <c r="O31" s="23" t="str">
        <f t="shared" ref="O31:O38" si="70">IF((M31-N31)&lt;0, "-", (M31-N31))</f>
        <v>-</v>
      </c>
      <c r="P31" s="80" t="e">
        <f t="shared" ref="P31:P38" si="71">TRUNC(IF((N31/M31)&gt;1.2,"120%",(N31/M31)),2)</f>
        <v>#DIV/0!</v>
      </c>
      <c r="R31" s="44">
        <v>0.40080000000000005</v>
      </c>
      <c r="S31" s="11">
        <f t="shared" ref="S31:S38" si="72">IF(ISERROR((N31-R31)/R31),0,(N31-R31)/R31)</f>
        <v>-0.97844311377245519</v>
      </c>
      <c r="U31" s="22"/>
      <c r="V31" s="23">
        <f>IF(ISERROR(VLOOKUP($B31,[1]Hedef!$A$4:$ES$45409,107,0)),0,VLOOKUP($B31,[1]Hedef!$A$4:$ES$45409,107,0))</f>
        <v>5.8319999999999997E-2</v>
      </c>
      <c r="W31" s="23" t="str">
        <f t="shared" ref="W31:W38" si="73">IF((U31-V31)&lt;0, "-", (U31-V31))</f>
        <v>-</v>
      </c>
      <c r="X31" s="80" t="e">
        <f t="shared" ref="X31:X38" si="74">TRUNC(IF((V31/U31)&gt;1.2,"120%",(V31/U31)),2)</f>
        <v>#DIV/0!</v>
      </c>
      <c r="Z31" s="44">
        <v>0.48217999999999994</v>
      </c>
      <c r="AA31" s="11">
        <f t="shared" ref="AA31:AA38" si="75">IF(ISERROR((V31-Z31)/Z31),0,(V31-Z31)/Z31)</f>
        <v>-0.87904931768219341</v>
      </c>
      <c r="AC31" s="22"/>
      <c r="AD31" s="23">
        <f>IF(ISERROR(VLOOKUP($B31,[1]Hedef!$A$4:$ES$45409,45,0)),0,VLOOKUP($B31,[1]Hedef!$A$4:$ES$45409,45,0))</f>
        <v>0</v>
      </c>
      <c r="AE31" s="23">
        <f t="shared" ref="AE31:AE38" si="76">IF((AC31-AD31)&lt;0, "-", (AC31-AD31))</f>
        <v>0</v>
      </c>
      <c r="AF31" s="80" t="e">
        <f t="shared" ref="AF31:AF38" si="77">TRUNC(IF((AD31/AC31)&gt;1.2,"120%",(AD31/AC31)),2)</f>
        <v>#DIV/0!</v>
      </c>
      <c r="AH31" s="44"/>
      <c r="AI31" s="11">
        <f t="shared" ref="AI31:AI38" si="78">IF(ISERROR((AD31-AH31)/AH31),0,(AD31-AH31)/AH31)</f>
        <v>0</v>
      </c>
      <c r="AL31" s="22">
        <f t="shared" ref="AL31:AL38" si="79">AC31+U31+M31+E31</f>
        <v>0</v>
      </c>
      <c r="AM31" s="23">
        <f t="shared" ref="AM31:AM38" si="80">N31+V31+AD31+F31</f>
        <v>0.23688499999999998</v>
      </c>
      <c r="AN31" s="23" t="str">
        <f t="shared" ref="AN31:AN38" si="81">IF((AL31-AM31)&lt;0, "-", (AL31-AM31))</f>
        <v>-</v>
      </c>
      <c r="AO31" s="80" t="e">
        <f t="shared" ref="AO31:AO38" si="82">TRUNC(IF((AM31/AL31)&gt;1.2,"120%",(AM31/AL31)),2)</f>
        <v>#DIV/0!</v>
      </c>
      <c r="AP31" s="22">
        <v>0</v>
      </c>
      <c r="AQ31" s="22">
        <f t="shared" ref="AQ31:AQ38" si="83">AH31+Z31+R31+J31</f>
        <v>2.8077749999999999</v>
      </c>
      <c r="AR31" s="11">
        <f t="shared" ref="AR31:AR38" si="84">IF(ISERROR((AM31-AQ31)/AQ31),0,(AM31-AQ31)/AQ31)</f>
        <v>-0.91563248479668069</v>
      </c>
      <c r="AT31" s="12">
        <f>AL31-'GENEL HEDEF'!U31</f>
        <v>-2.95</v>
      </c>
      <c r="AU31" s="15">
        <f>AM31-'GENEL HEDEF'!V31</f>
        <v>0</v>
      </c>
      <c r="AV31" s="45">
        <f t="shared" si="43"/>
        <v>2.95</v>
      </c>
    </row>
    <row r="32" spans="2:48" ht="12.75" customHeight="1" x14ac:dyDescent="0.15">
      <c r="B32" s="18">
        <v>57</v>
      </c>
      <c r="C32" s="1" t="s">
        <v>44</v>
      </c>
      <c r="D32" s="125"/>
      <c r="E32" s="22"/>
      <c r="F32" s="23">
        <f>IF(ISERROR(VLOOKUP($B32,[1]Hedef!$A$4:$ES$45409,103,0)),0,VLOOKUP($B32,[1]Hedef!$A$4:$ES$45409,103,0))</f>
        <v>0.12244000000000001</v>
      </c>
      <c r="G32" s="23" t="str">
        <f>IF((E32-F32)&lt;0, "-", (E32-F32))</f>
        <v>-</v>
      </c>
      <c r="H32" s="80" t="e">
        <f t="shared" si="68"/>
        <v>#DIV/0!</v>
      </c>
      <c r="J32" s="44">
        <v>0.65120999999999996</v>
      </c>
      <c r="K32" s="11">
        <f t="shared" si="69"/>
        <v>-0.81198077425100967</v>
      </c>
      <c r="M32" s="22"/>
      <c r="N32" s="23">
        <f>IF(ISERROR(VLOOKUP($B32,[1]Hedef!$A$4:$ES$45409,105,0)),0,VLOOKUP($B32,[1]Hedef!$A$4:$ES$45409,105,0))</f>
        <v>2.546E-2</v>
      </c>
      <c r="O32" s="23" t="str">
        <f>IF((M32-N32)&lt;0, "-", (M32-N32))</f>
        <v>-</v>
      </c>
      <c r="P32" s="80" t="e">
        <f t="shared" si="71"/>
        <v>#DIV/0!</v>
      </c>
      <c r="R32" s="44">
        <v>0.28239000000000003</v>
      </c>
      <c r="S32" s="11">
        <f t="shared" si="72"/>
        <v>-0.90984100003541213</v>
      </c>
      <c r="U32" s="22"/>
      <c r="V32" s="23">
        <f>IF(ISERROR(VLOOKUP($B32,[1]Hedef!$A$4:$ES$45409,107,0)),0,VLOOKUP($B32,[1]Hedef!$A$4:$ES$45409,107,0))</f>
        <v>5.7610000000000001E-2</v>
      </c>
      <c r="W32" s="23" t="str">
        <f t="shared" si="73"/>
        <v>-</v>
      </c>
      <c r="X32" s="80" t="e">
        <f t="shared" si="74"/>
        <v>#DIV/0!</v>
      </c>
      <c r="Z32" s="44">
        <v>0.32403000000000004</v>
      </c>
      <c r="AA32" s="11">
        <f t="shared" si="75"/>
        <v>-0.82220782026355588</v>
      </c>
      <c r="AC32" s="22"/>
      <c r="AD32" s="23">
        <f>IF(ISERROR(VLOOKUP($B32,[1]Hedef!$A$4:$ES$45409,45,0)),0,VLOOKUP($B32,[1]Hedef!$A$4:$ES$45409,45,0))</f>
        <v>0</v>
      </c>
      <c r="AE32" s="23">
        <f t="shared" si="76"/>
        <v>0</v>
      </c>
      <c r="AF32" s="80" t="e">
        <f t="shared" si="77"/>
        <v>#DIV/0!</v>
      </c>
      <c r="AH32" s="44"/>
      <c r="AI32" s="11">
        <f t="shared" si="78"/>
        <v>0</v>
      </c>
      <c r="AL32" s="22">
        <f t="shared" si="79"/>
        <v>0</v>
      </c>
      <c r="AM32" s="23">
        <f t="shared" si="80"/>
        <v>0.20551000000000003</v>
      </c>
      <c r="AN32" s="23" t="str">
        <f>IF((AL32-AM32)&lt;0, "-", (AL32-AM32))</f>
        <v>-</v>
      </c>
      <c r="AO32" s="80" t="e">
        <f t="shared" si="82"/>
        <v>#DIV/0!</v>
      </c>
      <c r="AP32" s="22">
        <v>0</v>
      </c>
      <c r="AQ32" s="22">
        <f t="shared" si="83"/>
        <v>1.25763</v>
      </c>
      <c r="AR32" s="11">
        <f t="shared" si="84"/>
        <v>-0.83658945794868123</v>
      </c>
      <c r="AT32" s="12">
        <f>AL32-'GENEL HEDEF'!U32</f>
        <v>-1.3</v>
      </c>
      <c r="AU32" s="15">
        <f>AM32-'GENEL HEDEF'!V32</f>
        <v>0</v>
      </c>
      <c r="AV32" s="45">
        <f t="shared" si="43"/>
        <v>1.3</v>
      </c>
    </row>
    <row r="33" spans="2:48" ht="12.75" customHeight="1" x14ac:dyDescent="0.15">
      <c r="B33" s="18">
        <v>16</v>
      </c>
      <c r="C33" s="1" t="s">
        <v>22</v>
      </c>
      <c r="D33" s="125"/>
      <c r="E33" s="22"/>
      <c r="F33" s="23">
        <f>IF(ISERROR(VLOOKUP($B33,[1]Hedef!$A$4:$ES$45409,103,0)),0,VLOOKUP($B33,[1]Hedef!$A$4:$ES$45409,103,0))</f>
        <v>3.3599999999999998E-2</v>
      </c>
      <c r="G33" s="23" t="str">
        <f t="shared" ref="G33:G38" si="85">IF((E33-F33)&lt;0, "-", (E33-F33))</f>
        <v>-</v>
      </c>
      <c r="H33" s="80" t="e">
        <f t="shared" si="68"/>
        <v>#DIV/0!</v>
      </c>
      <c r="J33" s="44">
        <v>8.3500000000000005E-2</v>
      </c>
      <c r="K33" s="11">
        <f t="shared" si="69"/>
        <v>-0.5976047904191617</v>
      </c>
      <c r="M33" s="22"/>
      <c r="N33" s="23">
        <f>IF(ISERROR(VLOOKUP($B33,[1]Hedef!$A$4:$ES$45409,105,0)),0,VLOOKUP($B33,[1]Hedef!$A$4:$ES$45409,105,0))</f>
        <v>5.4999999999999997E-3</v>
      </c>
      <c r="O33" s="23" t="str">
        <f t="shared" si="70"/>
        <v>-</v>
      </c>
      <c r="P33" s="80" t="e">
        <f t="shared" si="71"/>
        <v>#DIV/0!</v>
      </c>
      <c r="R33" s="44">
        <v>5.2700000000000004E-2</v>
      </c>
      <c r="S33" s="11">
        <f t="shared" si="72"/>
        <v>-0.89563567362428842</v>
      </c>
      <c r="U33" s="22"/>
      <c r="V33" s="23">
        <f>IF(ISERROR(VLOOKUP($B33,[1]Hedef!$A$4:$ES$45409,107,0)),0,VLOOKUP($B33,[1]Hedef!$A$4:$ES$45409,107,0))</f>
        <v>1.0999999999999999E-2</v>
      </c>
      <c r="W33" s="23" t="str">
        <f t="shared" si="73"/>
        <v>-</v>
      </c>
      <c r="X33" s="80" t="e">
        <f t="shared" si="74"/>
        <v>#DIV/0!</v>
      </c>
      <c r="Z33" s="44">
        <v>4.2900000000000001E-2</v>
      </c>
      <c r="AA33" s="11">
        <f t="shared" si="75"/>
        <v>-0.7435897435897435</v>
      </c>
      <c r="AC33" s="22"/>
      <c r="AD33" s="23">
        <f>IF(ISERROR(VLOOKUP($B33,[1]Hedef!$A$4:$ES$45409,45,0)),0,VLOOKUP($B33,[1]Hedef!$A$4:$ES$45409,45,0))</f>
        <v>0</v>
      </c>
      <c r="AE33" s="23">
        <f t="shared" si="76"/>
        <v>0</v>
      </c>
      <c r="AF33" s="80" t="e">
        <f t="shared" si="77"/>
        <v>#DIV/0!</v>
      </c>
      <c r="AH33" s="44"/>
      <c r="AI33" s="11">
        <f t="shared" si="78"/>
        <v>0</v>
      </c>
      <c r="AL33" s="22">
        <f t="shared" si="79"/>
        <v>0</v>
      </c>
      <c r="AM33" s="23">
        <f t="shared" si="80"/>
        <v>5.0099999999999999E-2</v>
      </c>
      <c r="AN33" s="23" t="str">
        <f t="shared" si="81"/>
        <v>-</v>
      </c>
      <c r="AO33" s="80" t="e">
        <f t="shared" si="82"/>
        <v>#DIV/0!</v>
      </c>
      <c r="AP33" s="22">
        <v>0</v>
      </c>
      <c r="AQ33" s="22">
        <f t="shared" si="83"/>
        <v>0.17910000000000001</v>
      </c>
      <c r="AR33" s="11">
        <f t="shared" si="84"/>
        <v>-0.72026800670016744</v>
      </c>
      <c r="AT33" s="12">
        <f>AL33-'GENEL HEDEF'!U33</f>
        <v>-0.27</v>
      </c>
      <c r="AU33" s="15">
        <f>AM33-'GENEL HEDEF'!V33</f>
        <v>0</v>
      </c>
      <c r="AV33" s="45">
        <f t="shared" si="43"/>
        <v>0.27</v>
      </c>
    </row>
    <row r="34" spans="2:48" ht="12.75" customHeight="1" x14ac:dyDescent="0.15">
      <c r="B34" s="18">
        <v>43</v>
      </c>
      <c r="C34" s="1" t="s">
        <v>23</v>
      </c>
      <c r="D34" s="125"/>
      <c r="E34" s="22"/>
      <c r="F34" s="23">
        <f>IF(ISERROR(VLOOKUP($B34,[1]Hedef!$A$4:$ES$45409,103,0)),0,VLOOKUP($B34,[1]Hedef!$A$4:$ES$45409,103,0))</f>
        <v>4.8774999999999999E-2</v>
      </c>
      <c r="G34" s="23" t="str">
        <f t="shared" si="85"/>
        <v>-</v>
      </c>
      <c r="H34" s="80" t="e">
        <f t="shared" si="68"/>
        <v>#DIV/0!</v>
      </c>
      <c r="J34" s="44">
        <v>0.67257000000000011</v>
      </c>
      <c r="K34" s="11">
        <f t="shared" si="69"/>
        <v>-0.92747966754389877</v>
      </c>
      <c r="M34" s="22"/>
      <c r="N34" s="23">
        <f>IF(ISERROR(VLOOKUP($B34,[1]Hedef!$A$4:$ES$45409,105,0)),0,VLOOKUP($B34,[1]Hedef!$A$4:$ES$45409,105,0))</f>
        <v>2.3024999999999997E-2</v>
      </c>
      <c r="O34" s="23" t="str">
        <f t="shared" si="70"/>
        <v>-</v>
      </c>
      <c r="P34" s="80" t="e">
        <f t="shared" si="71"/>
        <v>#DIV/0!</v>
      </c>
      <c r="R34" s="44">
        <v>0.11629499999999998</v>
      </c>
      <c r="S34" s="11">
        <f t="shared" si="72"/>
        <v>-0.80201212433896563</v>
      </c>
      <c r="U34" s="22"/>
      <c r="V34" s="23">
        <f>IF(ISERROR(VLOOKUP($B34,[1]Hedef!$A$4:$ES$45409,107,0)),0,VLOOKUP($B34,[1]Hedef!$A$4:$ES$45409,107,0))</f>
        <v>8.5220000000000018E-2</v>
      </c>
      <c r="W34" s="23" t="str">
        <f t="shared" si="73"/>
        <v>-</v>
      </c>
      <c r="X34" s="80" t="e">
        <f t="shared" si="74"/>
        <v>#DIV/0!</v>
      </c>
      <c r="Z34" s="44">
        <v>0.16913</v>
      </c>
      <c r="AA34" s="11">
        <f t="shared" si="75"/>
        <v>-0.4961272394016436</v>
      </c>
      <c r="AC34" s="22"/>
      <c r="AD34" s="23">
        <f>IF(ISERROR(VLOOKUP($B34,[1]Hedef!$A$4:$ES$45409,45,0)),0,VLOOKUP($B34,[1]Hedef!$A$4:$ES$45409,45,0))</f>
        <v>0</v>
      </c>
      <c r="AE34" s="23">
        <f t="shared" si="76"/>
        <v>0</v>
      </c>
      <c r="AF34" s="80" t="e">
        <f t="shared" si="77"/>
        <v>#DIV/0!</v>
      </c>
      <c r="AH34" s="44"/>
      <c r="AI34" s="11">
        <f t="shared" si="78"/>
        <v>0</v>
      </c>
      <c r="AL34" s="22">
        <f t="shared" si="79"/>
        <v>0</v>
      </c>
      <c r="AM34" s="23">
        <f t="shared" si="80"/>
        <v>0.15701999999999999</v>
      </c>
      <c r="AN34" s="23" t="str">
        <f t="shared" si="81"/>
        <v>-</v>
      </c>
      <c r="AO34" s="80" t="e">
        <f t="shared" si="82"/>
        <v>#DIV/0!</v>
      </c>
      <c r="AP34" s="22">
        <v>0</v>
      </c>
      <c r="AQ34" s="22">
        <f t="shared" si="83"/>
        <v>0.95799500000000015</v>
      </c>
      <c r="AR34" s="11">
        <f t="shared" si="84"/>
        <v>-0.83609517794978061</v>
      </c>
      <c r="AT34" s="12">
        <f>AL34-'GENEL HEDEF'!U34</f>
        <v>-1.78</v>
      </c>
      <c r="AU34" s="15">
        <f>AM34-'GENEL HEDEF'!V34</f>
        <v>0</v>
      </c>
      <c r="AV34" s="45">
        <f t="shared" si="43"/>
        <v>1.78</v>
      </c>
    </row>
    <row r="35" spans="2:48" ht="12.75" customHeight="1" x14ac:dyDescent="0.15">
      <c r="B35" s="18">
        <v>18</v>
      </c>
      <c r="C35" s="1" t="s">
        <v>67</v>
      </c>
      <c r="D35" s="125"/>
      <c r="E35" s="22"/>
      <c r="F35" s="23">
        <f>IF(ISERROR(VLOOKUP($B35,[1]Hedef!$A$4:$ES$45409,103,0)),0,VLOOKUP($B35,[1]Hedef!$A$4:$ES$45409,103,0))</f>
        <v>5.6000000000000001E-2</v>
      </c>
      <c r="G35" s="23" t="str">
        <f t="shared" si="85"/>
        <v>-</v>
      </c>
      <c r="H35" s="80" t="e">
        <f t="shared" si="68"/>
        <v>#DIV/0!</v>
      </c>
      <c r="J35" s="44">
        <v>0.26279999999999998</v>
      </c>
      <c r="K35" s="11">
        <f t="shared" si="69"/>
        <v>-0.78691019786910199</v>
      </c>
      <c r="M35" s="22"/>
      <c r="N35" s="23">
        <f>IF(ISERROR(VLOOKUP($B35,[1]Hedef!$A$4:$ES$45409,105,0)),0,VLOOKUP($B35,[1]Hedef!$A$4:$ES$45409,105,0))</f>
        <v>1.1999999999999999E-3</v>
      </c>
      <c r="O35" s="23" t="str">
        <f t="shared" si="70"/>
        <v>-</v>
      </c>
      <c r="P35" s="80" t="e">
        <f t="shared" si="71"/>
        <v>#DIV/0!</v>
      </c>
      <c r="R35" s="44">
        <v>2.2800000000000001E-2</v>
      </c>
      <c r="S35" s="11">
        <f t="shared" si="72"/>
        <v>-0.94736842105263164</v>
      </c>
      <c r="U35" s="22"/>
      <c r="V35" s="23">
        <f>IF(ISERROR(VLOOKUP($B35,[1]Hedef!$A$4:$ES$45409,107,0)),0,VLOOKUP($B35,[1]Hedef!$A$4:$ES$45409,107,0))</f>
        <v>2.0799999999999999E-2</v>
      </c>
      <c r="W35" s="23" t="str">
        <f t="shared" si="73"/>
        <v>-</v>
      </c>
      <c r="X35" s="80" t="e">
        <f t="shared" si="74"/>
        <v>#DIV/0!</v>
      </c>
      <c r="Z35" s="44">
        <v>3.7600000000000001E-2</v>
      </c>
      <c r="AA35" s="11">
        <f t="shared" si="75"/>
        <v>-0.44680851063829791</v>
      </c>
      <c r="AC35" s="22"/>
      <c r="AD35" s="23">
        <f>IF(ISERROR(VLOOKUP($B35,[1]Hedef!$A$4:$ES$45409,45,0)),0,VLOOKUP($B35,[1]Hedef!$A$4:$ES$45409,45,0))</f>
        <v>0</v>
      </c>
      <c r="AE35" s="23">
        <f t="shared" si="76"/>
        <v>0</v>
      </c>
      <c r="AF35" s="80" t="e">
        <f t="shared" si="77"/>
        <v>#DIV/0!</v>
      </c>
      <c r="AH35" s="44"/>
      <c r="AI35" s="11">
        <f t="shared" si="78"/>
        <v>0</v>
      </c>
      <c r="AL35" s="22">
        <f t="shared" si="79"/>
        <v>0</v>
      </c>
      <c r="AM35" s="23">
        <f t="shared" si="80"/>
        <v>7.8E-2</v>
      </c>
      <c r="AN35" s="23" t="str">
        <f t="shared" si="81"/>
        <v>-</v>
      </c>
      <c r="AO35" s="80" t="e">
        <f t="shared" si="82"/>
        <v>#DIV/0!</v>
      </c>
      <c r="AP35" s="22">
        <v>0</v>
      </c>
      <c r="AQ35" s="22">
        <f t="shared" si="83"/>
        <v>0.32319999999999999</v>
      </c>
      <c r="AR35" s="11">
        <f t="shared" si="84"/>
        <v>-0.75866336633663356</v>
      </c>
      <c r="AT35" s="12">
        <f>AL35-'GENEL HEDEF'!U35</f>
        <v>-0.38</v>
      </c>
      <c r="AU35" s="15">
        <f>AM35-'GENEL HEDEF'!V35</f>
        <v>0</v>
      </c>
      <c r="AV35" s="45">
        <f t="shared" si="43"/>
        <v>0.38</v>
      </c>
    </row>
    <row r="36" spans="2:48" ht="12.75" customHeight="1" x14ac:dyDescent="0.15">
      <c r="B36" s="18">
        <v>51</v>
      </c>
      <c r="C36" s="1" t="s">
        <v>24</v>
      </c>
      <c r="D36" s="125"/>
      <c r="E36" s="22"/>
      <c r="F36" s="23">
        <f>IF(ISERROR(VLOOKUP($B36,[1]Hedef!$A$4:$ES$45409,103,0)),0,VLOOKUP($B36,[1]Hedef!$A$4:$ES$45409,103,0))</f>
        <v>0.10200000000000001</v>
      </c>
      <c r="G36" s="23" t="str">
        <f t="shared" si="85"/>
        <v>-</v>
      </c>
      <c r="H36" s="80" t="e">
        <f t="shared" si="68"/>
        <v>#DIV/0!</v>
      </c>
      <c r="J36" s="44">
        <v>1.3808600000000002</v>
      </c>
      <c r="K36" s="11">
        <f t="shared" si="69"/>
        <v>-0.92613298958619983</v>
      </c>
      <c r="M36" s="22"/>
      <c r="N36" s="23">
        <f>IF(ISERROR(VLOOKUP($B36,[1]Hedef!$A$4:$ES$45409,105,0)),0,VLOOKUP($B36,[1]Hedef!$A$4:$ES$45409,105,0))</f>
        <v>1.1609999999999999E-2</v>
      </c>
      <c r="O36" s="23" t="str">
        <f t="shared" si="70"/>
        <v>-</v>
      </c>
      <c r="P36" s="80" t="e">
        <f t="shared" si="71"/>
        <v>#DIV/0!</v>
      </c>
      <c r="R36" s="44">
        <v>0.52393999999999996</v>
      </c>
      <c r="S36" s="11">
        <f t="shared" si="72"/>
        <v>-0.97784097415734628</v>
      </c>
      <c r="U36" s="22"/>
      <c r="V36" s="23">
        <f>IF(ISERROR(VLOOKUP($B36,[1]Hedef!$A$4:$ES$45409,107,0)),0,VLOOKUP($B36,[1]Hedef!$A$4:$ES$45409,107,0))</f>
        <v>8.8999999999999999E-3</v>
      </c>
      <c r="W36" s="23" t="str">
        <f t="shared" si="73"/>
        <v>-</v>
      </c>
      <c r="X36" s="80" t="e">
        <f t="shared" si="74"/>
        <v>#DIV/0!</v>
      </c>
      <c r="Z36" s="44">
        <v>1.110449999999999</v>
      </c>
      <c r="AA36" s="11">
        <f t="shared" si="75"/>
        <v>-0.99198523121257154</v>
      </c>
      <c r="AC36" s="22"/>
      <c r="AD36" s="23">
        <f>IF(ISERROR(VLOOKUP($B36,[1]Hedef!$A$4:$ES$45409,45,0)),0,VLOOKUP($B36,[1]Hedef!$A$4:$ES$45409,45,0))</f>
        <v>0</v>
      </c>
      <c r="AE36" s="23">
        <f t="shared" si="76"/>
        <v>0</v>
      </c>
      <c r="AF36" s="80" t="e">
        <f t="shared" si="77"/>
        <v>#DIV/0!</v>
      </c>
      <c r="AH36" s="44"/>
      <c r="AI36" s="11">
        <f t="shared" si="78"/>
        <v>0</v>
      </c>
      <c r="AL36" s="22">
        <f t="shared" si="79"/>
        <v>0</v>
      </c>
      <c r="AM36" s="23">
        <f t="shared" si="80"/>
        <v>0.12251000000000001</v>
      </c>
      <c r="AN36" s="23" t="str">
        <f t="shared" si="81"/>
        <v>-</v>
      </c>
      <c r="AO36" s="80" t="e">
        <f t="shared" si="82"/>
        <v>#DIV/0!</v>
      </c>
      <c r="AP36" s="22">
        <v>0</v>
      </c>
      <c r="AQ36" s="22">
        <f t="shared" si="83"/>
        <v>3.0152499999999991</v>
      </c>
      <c r="AR36" s="11">
        <f t="shared" si="84"/>
        <v>-0.95936986982837236</v>
      </c>
      <c r="AT36" s="12">
        <f>AL36-'GENEL HEDEF'!U36</f>
        <v>-3</v>
      </c>
      <c r="AU36" s="15">
        <f>AM36-'GENEL HEDEF'!V36</f>
        <v>0</v>
      </c>
      <c r="AV36" s="45">
        <f t="shared" si="43"/>
        <v>3</v>
      </c>
    </row>
    <row r="37" spans="2:48" ht="12.75" customHeight="1" x14ac:dyDescent="0.15">
      <c r="B37" s="18">
        <v>19</v>
      </c>
      <c r="C37" s="1" t="s">
        <v>25</v>
      </c>
      <c r="D37" s="125"/>
      <c r="E37" s="22"/>
      <c r="F37" s="23">
        <f>IF(ISERROR(VLOOKUP($B37,[1]Hedef!$A$4:$ES$45409,103,0)),0,VLOOKUP($B37,[1]Hedef!$A$4:$ES$45409,103,0))</f>
        <v>0</v>
      </c>
      <c r="G37" s="23">
        <f t="shared" si="85"/>
        <v>0</v>
      </c>
      <c r="H37" s="80">
        <v>1</v>
      </c>
      <c r="J37" s="44">
        <v>0.11009999999999999</v>
      </c>
      <c r="K37" s="11">
        <f t="shared" si="69"/>
        <v>-1</v>
      </c>
      <c r="M37" s="22"/>
      <c r="N37" s="23">
        <f>IF(ISERROR(VLOOKUP($B37,[1]Hedef!$A$4:$ES$45409,105,0)),0,VLOOKUP($B37,[1]Hedef!$A$4:$ES$45409,105,0))</f>
        <v>1.464E-2</v>
      </c>
      <c r="O37" s="23" t="str">
        <f t="shared" si="70"/>
        <v>-</v>
      </c>
      <c r="P37" s="80" t="e">
        <f t="shared" si="71"/>
        <v>#DIV/0!</v>
      </c>
      <c r="R37" s="44">
        <v>7.2665000000000021E-2</v>
      </c>
      <c r="S37" s="11">
        <f t="shared" si="72"/>
        <v>-0.79852748916259553</v>
      </c>
      <c r="U37" s="22"/>
      <c r="V37" s="23">
        <f>IF(ISERROR(VLOOKUP($B37,[1]Hedef!$A$4:$ES$45409,107,0)),0,VLOOKUP($B37,[1]Hedef!$A$4:$ES$45409,107,0))</f>
        <v>2.3999999999999998E-3</v>
      </c>
      <c r="W37" s="23" t="str">
        <f t="shared" si="73"/>
        <v>-</v>
      </c>
      <c r="X37" s="80" t="e">
        <f t="shared" si="74"/>
        <v>#DIV/0!</v>
      </c>
      <c r="Z37" s="44">
        <v>0.188495</v>
      </c>
      <c r="AA37" s="11">
        <f t="shared" si="75"/>
        <v>-0.98726756677895955</v>
      </c>
      <c r="AC37" s="22"/>
      <c r="AD37" s="23">
        <f>IF(ISERROR(VLOOKUP($B37,[1]Hedef!$A$4:$ES$45409,45,0)),0,VLOOKUP($B37,[1]Hedef!$A$4:$ES$45409,45,0))</f>
        <v>0</v>
      </c>
      <c r="AE37" s="23">
        <f t="shared" si="76"/>
        <v>0</v>
      </c>
      <c r="AF37" s="80" t="e">
        <f t="shared" si="77"/>
        <v>#DIV/0!</v>
      </c>
      <c r="AH37" s="44"/>
      <c r="AI37" s="11">
        <f t="shared" si="78"/>
        <v>0</v>
      </c>
      <c r="AL37" s="22">
        <f t="shared" si="79"/>
        <v>0</v>
      </c>
      <c r="AM37" s="23">
        <f t="shared" si="80"/>
        <v>1.704E-2</v>
      </c>
      <c r="AN37" s="23" t="str">
        <f t="shared" si="81"/>
        <v>-</v>
      </c>
      <c r="AO37" s="80" t="e">
        <f t="shared" si="82"/>
        <v>#DIV/0!</v>
      </c>
      <c r="AP37" s="22">
        <v>0</v>
      </c>
      <c r="AQ37" s="22">
        <f t="shared" si="83"/>
        <v>0.37125999999999998</v>
      </c>
      <c r="AR37" s="11">
        <f t="shared" si="84"/>
        <v>-0.95410224640413721</v>
      </c>
      <c r="AT37" s="12">
        <f>AL37-'GENEL HEDEF'!U37</f>
        <v>-0.51</v>
      </c>
      <c r="AU37" s="15">
        <f>AM37-'GENEL HEDEF'!V37</f>
        <v>0</v>
      </c>
      <c r="AV37" s="45">
        <f t="shared" si="43"/>
        <v>0.51</v>
      </c>
    </row>
    <row r="38" spans="2:48" ht="12.75" customHeight="1" thickBot="1" x14ac:dyDescent="0.2">
      <c r="B38" s="18">
        <v>20</v>
      </c>
      <c r="C38" s="1" t="s">
        <v>63</v>
      </c>
      <c r="D38" s="125"/>
      <c r="E38" s="22"/>
      <c r="F38" s="23">
        <f>IF(ISERROR(VLOOKUP($B38,[1]Hedef!$A$4:$ES$45409,103,0)),0,VLOOKUP($B38,[1]Hedef!$A$4:$ES$45409,103,0))</f>
        <v>0.108</v>
      </c>
      <c r="G38" s="23" t="str">
        <f t="shared" si="85"/>
        <v>-</v>
      </c>
      <c r="H38" s="80" t="e">
        <f t="shared" si="68"/>
        <v>#DIV/0!</v>
      </c>
      <c r="J38" s="44">
        <v>0.31799999999999995</v>
      </c>
      <c r="K38" s="11">
        <f t="shared" si="69"/>
        <v>-0.660377358490566</v>
      </c>
      <c r="M38" s="22"/>
      <c r="N38" s="23">
        <f>IF(ISERROR(VLOOKUP($B38,[1]Hedef!$A$4:$ES$45409,105,0)),0,VLOOKUP($B38,[1]Hedef!$A$4:$ES$45409,105,0))</f>
        <v>0</v>
      </c>
      <c r="O38" s="23">
        <f t="shared" si="70"/>
        <v>0</v>
      </c>
      <c r="P38" s="80" t="e">
        <f t="shared" si="71"/>
        <v>#DIV/0!</v>
      </c>
      <c r="R38" s="44">
        <v>2.911</v>
      </c>
      <c r="S38" s="11">
        <f t="shared" si="72"/>
        <v>-1</v>
      </c>
      <c r="U38" s="22"/>
      <c r="V38" s="23">
        <f>IF(ISERROR(VLOOKUP($B38,[1]Hedef!$A$4:$ES$45409,107,0)),0,VLOOKUP($B38,[1]Hedef!$A$4:$ES$45409,107,0))</f>
        <v>0.125</v>
      </c>
      <c r="W38" s="23" t="str">
        <f t="shared" si="73"/>
        <v>-</v>
      </c>
      <c r="X38" s="80" t="e">
        <f t="shared" si="74"/>
        <v>#DIV/0!</v>
      </c>
      <c r="Z38" s="44">
        <v>0.33899999999999997</v>
      </c>
      <c r="AA38" s="11">
        <f t="shared" si="75"/>
        <v>-0.63126843657817111</v>
      </c>
      <c r="AC38" s="22"/>
      <c r="AD38" s="23">
        <f>IF(ISERROR(VLOOKUP($B38,[1]Hedef!$A$4:$ES$45409,45,0)),0,VLOOKUP($B38,[1]Hedef!$A$4:$ES$45409,45,0))</f>
        <v>0</v>
      </c>
      <c r="AE38" s="23">
        <f t="shared" si="76"/>
        <v>0</v>
      </c>
      <c r="AF38" s="80" t="e">
        <f t="shared" si="77"/>
        <v>#DIV/0!</v>
      </c>
      <c r="AH38" s="44"/>
      <c r="AI38" s="11">
        <f t="shared" si="78"/>
        <v>0</v>
      </c>
      <c r="AL38" s="22">
        <f t="shared" si="79"/>
        <v>0</v>
      </c>
      <c r="AM38" s="23">
        <f t="shared" si="80"/>
        <v>0.23299999999999998</v>
      </c>
      <c r="AN38" s="23" t="str">
        <f t="shared" si="81"/>
        <v>-</v>
      </c>
      <c r="AO38" s="80" t="e">
        <f t="shared" si="82"/>
        <v>#DIV/0!</v>
      </c>
      <c r="AP38" s="22">
        <v>0</v>
      </c>
      <c r="AQ38" s="22">
        <f t="shared" si="83"/>
        <v>3.5680000000000001</v>
      </c>
      <c r="AR38" s="11">
        <f t="shared" si="84"/>
        <v>-0.93469730941704032</v>
      </c>
      <c r="AT38" s="12">
        <f>AL38-'GENEL HEDEF'!U38</f>
        <v>-3.6</v>
      </c>
      <c r="AU38" s="15">
        <f>AM38-'GENEL HEDEF'!V38</f>
        <v>0</v>
      </c>
      <c r="AV38" s="45">
        <f t="shared" si="43"/>
        <v>3.6</v>
      </c>
    </row>
    <row r="39" spans="2:48" ht="12.75" customHeight="1" thickTop="1" thickBot="1" x14ac:dyDescent="0.2">
      <c r="B39" s="18"/>
      <c r="C39" s="2" t="s">
        <v>26</v>
      </c>
      <c r="D39" s="126"/>
      <c r="E39" s="67">
        <f>SUM(E31:E38)</f>
        <v>0</v>
      </c>
      <c r="F39" s="67">
        <f>SUM(F31:F38)</f>
        <v>0.64073999999999998</v>
      </c>
      <c r="G39" s="67">
        <f>SUM(G31:G38)</f>
        <v>0</v>
      </c>
      <c r="H39" s="39" t="e">
        <f>TRUNC(IF((F39/E39)&gt;1.2,"120%",(F39/E39)),2)</f>
        <v>#DIV/0!</v>
      </c>
      <c r="J39" s="67"/>
      <c r="K39" s="48"/>
      <c r="M39" s="67">
        <f>SUM(M31:M38)</f>
        <v>0</v>
      </c>
      <c r="N39" s="67">
        <f>SUM(N31:N38)</f>
        <v>9.0074999999999988E-2</v>
      </c>
      <c r="O39" s="67">
        <f>SUM(O31:O38)</f>
        <v>0</v>
      </c>
      <c r="P39" s="39" t="e">
        <f>TRUNC(IF((N39/M39)&gt;1.2,"120%",(N39/M39)),2)</f>
        <v>#DIV/0!</v>
      </c>
      <c r="Q39" s="78"/>
      <c r="R39" s="67"/>
      <c r="S39" s="48"/>
      <c r="T39" s="78"/>
      <c r="U39" s="67">
        <f>SUM(U31:U38)</f>
        <v>0</v>
      </c>
      <c r="V39" s="67">
        <f>SUM(V31:V38)</f>
        <v>0.36925000000000008</v>
      </c>
      <c r="W39" s="67">
        <f>SUM(W31:W38)</f>
        <v>0</v>
      </c>
      <c r="X39" s="39" t="e">
        <f>TRUNC(IF((V39/U39)&gt;1.2,"120%",(V39/U39)),2)</f>
        <v>#DIV/0!</v>
      </c>
      <c r="Y39" s="78"/>
      <c r="Z39" s="67"/>
      <c r="AA39" s="48"/>
      <c r="AB39" s="78"/>
      <c r="AC39" s="67">
        <f>SUM(AC31:AC38)</f>
        <v>0</v>
      </c>
      <c r="AD39" s="67">
        <f>SUM(AD31:AD38)</f>
        <v>0</v>
      </c>
      <c r="AE39" s="67">
        <f>SUM(AE31:AE38)</f>
        <v>0</v>
      </c>
      <c r="AF39" s="39" t="e">
        <f>TRUNC(IF((AD39/AC39)&gt;1.2,"120%",(AD39/AC39)),2)</f>
        <v>#DIV/0!</v>
      </c>
      <c r="AG39" s="78"/>
      <c r="AH39" s="67"/>
      <c r="AI39" s="48"/>
      <c r="AJ39" s="78"/>
      <c r="AK39" s="78"/>
      <c r="AL39" s="67">
        <f>SUM(AL31:AL38)</f>
        <v>0</v>
      </c>
      <c r="AM39" s="67">
        <f>SUM(AM31:AM38)</f>
        <v>1.1000649999999998</v>
      </c>
      <c r="AN39" s="67">
        <f>SUM(AN31:AN38)</f>
        <v>0</v>
      </c>
      <c r="AO39" s="39" t="e">
        <f>TRUNC(IF((AM39/AL39)&gt;1.2,"120%",(AM39/AL39)),2)</f>
        <v>#DIV/0!</v>
      </c>
      <c r="AP39" s="67">
        <v>0</v>
      </c>
      <c r="AQ39" s="67"/>
      <c r="AR39" s="113"/>
      <c r="AS39" s="78"/>
      <c r="AT39" s="67">
        <f t="shared" ref="AT39:AU39" si="86">SUM(AT31:AT38)</f>
        <v>-13.79</v>
      </c>
      <c r="AU39" s="67">
        <f t="shared" si="86"/>
        <v>0</v>
      </c>
      <c r="AV39" s="45">
        <f t="shared" si="43"/>
        <v>13.79</v>
      </c>
    </row>
    <row r="40" spans="2:48" ht="12.75" customHeight="1" thickTop="1" x14ac:dyDescent="0.15">
      <c r="B40" s="31">
        <v>22</v>
      </c>
      <c r="C40" s="1" t="s">
        <v>47</v>
      </c>
      <c r="D40" s="125"/>
      <c r="E40" s="38"/>
      <c r="F40" s="23">
        <f>IF(ISERROR(VLOOKUP($B40,[1]Hedef!$A$4:$ES$45409,103,0)),0,VLOOKUP($B40,[1]Hedef!$A$4:$ES$45409,103,0))</f>
        <v>199</v>
      </c>
      <c r="G40" s="35" t="str">
        <f>IF((E40-F40)&lt;0, "-", (E40-F40))</f>
        <v>-</v>
      </c>
      <c r="H40" s="80" t="e">
        <f t="shared" ref="H40:H44" si="87">TRUNC(IF((F40/E40)&gt;1.2,"120%",(F40/E40)),2)</f>
        <v>#DIV/0!</v>
      </c>
      <c r="J40" s="44">
        <v>2288.5</v>
      </c>
      <c r="K40" s="11">
        <f>IF(ISERROR((F40-J40)/J40),0,(F40-J40)/J40)</f>
        <v>-0.91304347826086951</v>
      </c>
      <c r="M40" s="38"/>
      <c r="N40" s="23">
        <f>IF(ISERROR(VLOOKUP($B40,[1]Hedef!$A$4:$ES$45409,105,0)),0,VLOOKUP($B40,[1]Hedef!$A$4:$ES$45409,105,0))</f>
        <v>11</v>
      </c>
      <c r="O40" s="35" t="str">
        <f>IF((M40-N40)&lt;0, "-", (M40-N40))</f>
        <v>-</v>
      </c>
      <c r="P40" s="80" t="e">
        <f t="shared" ref="P40:P44" si="88">TRUNC(IF((N40/M40)&gt;1.2,"120%",(N40/M40)),2)</f>
        <v>#DIV/0!</v>
      </c>
      <c r="R40" s="44">
        <v>152</v>
      </c>
      <c r="S40" s="11">
        <f>IF(ISERROR((N40-R40)/R40),0,(N40-R40)/R40)</f>
        <v>-0.92763157894736847</v>
      </c>
      <c r="U40" s="38"/>
      <c r="V40" s="23">
        <f>IF(ISERROR(VLOOKUP($B40,[1]Hedef!$A$4:$ES$45409,107,0)),0,VLOOKUP($B40,[1]Hedef!$A$4:$ES$45409,107,0))</f>
        <v>2</v>
      </c>
      <c r="W40" s="35" t="str">
        <f>IF((U40-V40)&lt;0, "-", (U40-V40))</f>
        <v>-</v>
      </c>
      <c r="X40" s="80" t="e">
        <f t="shared" ref="X40:X44" si="89">TRUNC(IF((V40/U40)&gt;1.2,"120%",(V40/U40)),2)</f>
        <v>#DIV/0!</v>
      </c>
      <c r="Z40" s="44">
        <v>149</v>
      </c>
      <c r="AA40" s="11">
        <f>IF(ISERROR((V40-Z40)/Z40),0,(V40-Z40)/Z40)</f>
        <v>-0.98657718120805371</v>
      </c>
      <c r="AC40" s="22"/>
      <c r="AD40" s="23">
        <f>IF(ISERROR(VLOOKUP($B40,[1]Hedef!$A$4:$ES$45409,45,0)),0,VLOOKUP($B40,[1]Hedef!$A$4:$ES$45409,45,0))</f>
        <v>0</v>
      </c>
      <c r="AE40" s="35">
        <f>IF((AC40-AD40)&lt;0, "-", (AC40-AD40))</f>
        <v>0</v>
      </c>
      <c r="AF40" s="80" t="e">
        <f t="shared" ref="AF40:AF42" si="90">TRUNC(IF((AD40/AC40)&gt;1.2,"120%",(AD40/AC40)),2)</f>
        <v>#DIV/0!</v>
      </c>
      <c r="AH40" s="44"/>
      <c r="AI40" s="11">
        <f>IF(ISERROR((AD40-AH40)/AH40),0,(AD40-AH40)/AH40)</f>
        <v>0</v>
      </c>
      <c r="AL40" s="22">
        <f t="shared" ref="AL40:AL44" si="91">AC40+U40+M40+E40</f>
        <v>0</v>
      </c>
      <c r="AM40" s="23">
        <f t="shared" ref="AM40:AM44" si="92">N40+V40+AD40+F40</f>
        <v>212</v>
      </c>
      <c r="AN40" s="35" t="str">
        <f>IF((AL40-AM40)&lt;0, "-", (AL40-AM40))</f>
        <v>-</v>
      </c>
      <c r="AO40" s="80" t="e">
        <f t="shared" ref="AO40:AO44" si="93">TRUNC(IF((AM40/AL40)&gt;1.2,"120%",(AM40/AL40)),2)</f>
        <v>#DIV/0!</v>
      </c>
      <c r="AP40" s="38">
        <v>0</v>
      </c>
      <c r="AQ40" s="22">
        <f t="shared" ref="AQ40:AQ44" si="94">AH40+Z40+R40+J40</f>
        <v>2589.5</v>
      </c>
      <c r="AR40" s="11">
        <f>IF(ISERROR((AM40-AQ40)/AQ40),0,(AM40-AQ40)/AQ40)</f>
        <v>-0.91813091330372654</v>
      </c>
      <c r="AT40" s="12">
        <f>AL40-'GENEL HEDEF'!U40</f>
        <v>-3025</v>
      </c>
      <c r="AU40" s="15">
        <f>AM40-'GENEL HEDEF'!V40</f>
        <v>0</v>
      </c>
      <c r="AV40" s="45">
        <f t="shared" si="43"/>
        <v>3025</v>
      </c>
    </row>
    <row r="41" spans="2:48" ht="12.75" customHeight="1" x14ac:dyDescent="0.15">
      <c r="B41" s="31">
        <v>999</v>
      </c>
      <c r="C41" s="1" t="s">
        <v>48</v>
      </c>
      <c r="D41" s="125"/>
      <c r="E41" s="38"/>
      <c r="F41" s="23">
        <f>IF(ISERROR(VLOOKUP($B41,[1]Hedef!$A$4:$ES$45409,103,0)),0,VLOOKUP($B41,[1]Hedef!$A$4:$ES$45409,103,0))</f>
        <v>56</v>
      </c>
      <c r="G41" s="35" t="str">
        <f>IF((E41-F41)&lt;0, "-", (E41-F41))</f>
        <v>-</v>
      </c>
      <c r="H41" s="80" t="e">
        <f t="shared" si="87"/>
        <v>#DIV/0!</v>
      </c>
      <c r="J41" s="44">
        <v>1016.916666666667</v>
      </c>
      <c r="K41" s="11">
        <f>IF(ISERROR((F41-J41)/J41),0,(F41-J41)/J41)</f>
        <v>-0.94493157420306484</v>
      </c>
      <c r="M41" s="38"/>
      <c r="N41" s="23">
        <f>IF(ISERROR(VLOOKUP($B41,[1]Hedef!$A$4:$ES$45409,105,0)),0,VLOOKUP($B41,[1]Hedef!$A$4:$ES$45409,105,0))</f>
        <v>3</v>
      </c>
      <c r="O41" s="35" t="str">
        <f>IF((M41-N41)&lt;0, "-", (M41-N41))</f>
        <v>-</v>
      </c>
      <c r="P41" s="80" t="e">
        <f t="shared" si="88"/>
        <v>#DIV/0!</v>
      </c>
      <c r="R41" s="44">
        <v>94</v>
      </c>
      <c r="S41" s="11">
        <f>IF(ISERROR((N41-R41)/R41),0,(N41-R41)/R41)</f>
        <v>-0.96808510638297873</v>
      </c>
      <c r="U41" s="38"/>
      <c r="V41" s="23">
        <f>IF(ISERROR(VLOOKUP($B41,[1]Hedef!$A$4:$ES$45409,107,0)),0,VLOOKUP($B41,[1]Hedef!$A$4:$ES$45409,107,0))</f>
        <v>1</v>
      </c>
      <c r="W41" s="35" t="str">
        <f>IF((U41-V41)&lt;0, "-", (U41-V41))</f>
        <v>-</v>
      </c>
      <c r="X41" s="80" t="e">
        <f t="shared" si="89"/>
        <v>#DIV/0!</v>
      </c>
      <c r="Z41" s="44">
        <v>131</v>
      </c>
      <c r="AA41" s="11">
        <f>IF(ISERROR((V41-Z41)/Z41),0,(V41-Z41)/Z41)</f>
        <v>-0.99236641221374045</v>
      </c>
      <c r="AC41" s="22"/>
      <c r="AD41" s="23">
        <f>IF(ISERROR(VLOOKUP($B41,[1]Hedef!$A$4:$ES$45409,45,0)),0,VLOOKUP($B41,[1]Hedef!$A$4:$ES$45409,45,0))</f>
        <v>0</v>
      </c>
      <c r="AE41" s="35">
        <f>IF((AC41-AD41)&lt;0, "-", (AC41-AD41))</f>
        <v>0</v>
      </c>
      <c r="AF41" s="80" t="e">
        <f t="shared" si="90"/>
        <v>#DIV/0!</v>
      </c>
      <c r="AH41" s="44"/>
      <c r="AI41" s="11">
        <f>IF(ISERROR((AD41-AH41)/AH41),0,(AD41-AH41)/AH41)</f>
        <v>0</v>
      </c>
      <c r="AL41" s="22">
        <f t="shared" si="91"/>
        <v>0</v>
      </c>
      <c r="AM41" s="23">
        <f t="shared" si="92"/>
        <v>60</v>
      </c>
      <c r="AN41" s="35" t="str">
        <f>IF((AL41-AM41)&lt;0, "-", (AL41-AM41))</f>
        <v>-</v>
      </c>
      <c r="AO41" s="80" t="e">
        <f t="shared" si="93"/>
        <v>#DIV/0!</v>
      </c>
      <c r="AP41" s="38">
        <v>0</v>
      </c>
      <c r="AQ41" s="22">
        <f t="shared" si="94"/>
        <v>1241.916666666667</v>
      </c>
      <c r="AR41" s="11">
        <f>IF(ISERROR((AM41-AQ41)/AQ41),0,(AM41-AQ41)/AQ41)</f>
        <v>-0.95168757968194329</v>
      </c>
      <c r="AT41" s="12">
        <f>AL41-'GENEL HEDEF'!U41</f>
        <v>-1735</v>
      </c>
      <c r="AU41" s="15">
        <f>AM41-'GENEL HEDEF'!V41</f>
        <v>0</v>
      </c>
      <c r="AV41" s="45">
        <f t="shared" si="43"/>
        <v>1735</v>
      </c>
    </row>
    <row r="42" spans="2:48" ht="12.75" customHeight="1" x14ac:dyDescent="0.15">
      <c r="B42" s="18">
        <v>888</v>
      </c>
      <c r="C42" s="1" t="s">
        <v>27</v>
      </c>
      <c r="D42" s="125"/>
      <c r="E42" s="22"/>
      <c r="F42" s="23">
        <f>IF(ISERROR(VLOOKUP($B42,[1]Hedef!$A$4:$ES$45409,103,0)),0,VLOOKUP($B42,[1]Hedef!$A$4:$ES$45409,103,0))</f>
        <v>0</v>
      </c>
      <c r="G42" s="23">
        <f>IF((E42-F42)&lt;0, "-", (E42-F42))</f>
        <v>0</v>
      </c>
      <c r="H42" s="80" t="e">
        <f t="shared" si="87"/>
        <v>#DIV/0!</v>
      </c>
      <c r="J42" s="44">
        <v>28.4166666666667</v>
      </c>
      <c r="K42" s="11">
        <f>IF(ISERROR((F42-J42)/J42),0,(F42-J42)/J42)</f>
        <v>-1</v>
      </c>
      <c r="M42" s="22"/>
      <c r="N42" s="23">
        <f>IF(ISERROR(VLOOKUP($B42,[1]Hedef!$A$4:$ES$45409,105,0)),0,VLOOKUP($B42,[1]Hedef!$A$4:$ES$45409,105,0))</f>
        <v>0</v>
      </c>
      <c r="O42" s="23">
        <f>IF((M42-N42)&lt;0, "-", (M42-N42))</f>
        <v>0</v>
      </c>
      <c r="P42" s="80" t="e">
        <f t="shared" si="88"/>
        <v>#DIV/0!</v>
      </c>
      <c r="R42" s="44">
        <v>23</v>
      </c>
      <c r="S42" s="11">
        <f>IF(ISERROR((N42-R42)/R42),0,(N42-R42)/R42)</f>
        <v>-1</v>
      </c>
      <c r="U42" s="22"/>
      <c r="V42" s="23">
        <f>IF(ISERROR(VLOOKUP($B42,[1]Hedef!$A$4:$ES$45409,107,0)),0,VLOOKUP($B42,[1]Hedef!$A$4:$ES$45409,107,0))</f>
        <v>0</v>
      </c>
      <c r="W42" s="23">
        <f>IF((U42-V42)&lt;0, "-", (U42-V42))</f>
        <v>0</v>
      </c>
      <c r="X42" s="80" t="e">
        <f t="shared" si="89"/>
        <v>#DIV/0!</v>
      </c>
      <c r="Z42" s="44">
        <v>15</v>
      </c>
      <c r="AA42" s="11">
        <f>IF(ISERROR((V42-Z42)/Z42),0,(V42-Z42)/Z42)</f>
        <v>-1</v>
      </c>
      <c r="AC42" s="22"/>
      <c r="AD42" s="23">
        <f>IF(ISERROR(VLOOKUP($B42,[1]Hedef!$A$4:$ES$45409,45,0)),0,VLOOKUP($B42,[1]Hedef!$A$4:$ES$45409,45,0))</f>
        <v>0</v>
      </c>
      <c r="AE42" s="23">
        <f>IF((AC42-AD42)&lt;0, "-", (AC42-AD42))</f>
        <v>0</v>
      </c>
      <c r="AF42" s="80" t="e">
        <f t="shared" si="90"/>
        <v>#DIV/0!</v>
      </c>
      <c r="AH42" s="44"/>
      <c r="AI42" s="11">
        <f>IF(ISERROR((AD42-AH42)/AH42),0,(AD42-AH42)/AH42)</f>
        <v>0</v>
      </c>
      <c r="AL42" s="22">
        <f t="shared" si="91"/>
        <v>0</v>
      </c>
      <c r="AM42" s="23">
        <f t="shared" si="92"/>
        <v>0</v>
      </c>
      <c r="AN42" s="23">
        <f>IF((AL42-AM42)&lt;0, "-", (AL42-AM42))</f>
        <v>0</v>
      </c>
      <c r="AO42" s="80" t="e">
        <f t="shared" si="93"/>
        <v>#DIV/0!</v>
      </c>
      <c r="AP42" s="22">
        <v>0</v>
      </c>
      <c r="AQ42" s="22">
        <f t="shared" si="94"/>
        <v>66.4166666666667</v>
      </c>
      <c r="AR42" s="11">
        <f>IF(ISERROR((AM42-AQ42)/AQ42),0,(AM42-AQ42)/AQ42)</f>
        <v>-1</v>
      </c>
      <c r="AT42" s="12">
        <f>AL42-'GENEL HEDEF'!U42</f>
        <v>-186</v>
      </c>
      <c r="AU42" s="15">
        <f>AM42-'GENEL HEDEF'!V42</f>
        <v>0</v>
      </c>
      <c r="AV42" s="45">
        <f>AT42*-1</f>
        <v>186</v>
      </c>
    </row>
    <row r="43" spans="2:48" ht="12.75" customHeight="1" x14ac:dyDescent="0.15">
      <c r="B43" s="18">
        <v>14</v>
      </c>
      <c r="C43" s="1" t="s">
        <v>131</v>
      </c>
      <c r="D43" s="125"/>
      <c r="E43" s="22"/>
      <c r="F43" s="23">
        <f>IF(ISERROR(VLOOKUP($B43,[1]Hedef!$A$4:$ES$45409,103,0)),0,VLOOKUP($B43,[1]Hedef!$A$4:$ES$45409,103,0))</f>
        <v>0</v>
      </c>
      <c r="G43" s="23">
        <f>IF((E43-F43)&lt;0, "-", (E43-F43))</f>
        <v>0</v>
      </c>
      <c r="H43" s="80"/>
      <c r="J43" s="44">
        <v>0</v>
      </c>
      <c r="K43" s="11">
        <f>IF(ISERROR((F43-J43)/J43),0,(F43-J43)/J43)</f>
        <v>0</v>
      </c>
      <c r="M43" s="22"/>
      <c r="N43" s="23">
        <f>IF(ISERROR(VLOOKUP($B43,[1]Hedef!$A$4:$ES$45409,105,0)),0,VLOOKUP($B43,[1]Hedef!$A$4:$ES$45409,105,0))</f>
        <v>0</v>
      </c>
      <c r="O43" s="23">
        <f>IF((M43-N43)&lt;0, "-", (M43-N43))</f>
        <v>0</v>
      </c>
      <c r="P43" s="80" t="e">
        <f t="shared" si="88"/>
        <v>#DIV/0!</v>
      </c>
      <c r="R43" s="44">
        <v>1.541666666666667</v>
      </c>
      <c r="S43" s="11">
        <f>IF(ISERROR((N43-R43)/R43),0,(N43-R43)/R43)</f>
        <v>-1</v>
      </c>
      <c r="U43" s="22"/>
      <c r="V43" s="23">
        <f>IF(ISERROR(VLOOKUP($B43,[1]Hedef!$A$4:$ES$45409,107,0)),0,VLOOKUP($B43,[1]Hedef!$A$4:$ES$45409,107,0))</f>
        <v>0</v>
      </c>
      <c r="W43" s="23">
        <f>IF((U43-V43)&lt;0, "-", (U43-V43))</f>
        <v>0</v>
      </c>
      <c r="X43" s="80" t="e">
        <f t="shared" si="89"/>
        <v>#DIV/0!</v>
      </c>
      <c r="Z43" s="44">
        <v>3.7083333333333299</v>
      </c>
      <c r="AA43" s="11">
        <f>IF(ISERROR((V43-Z43)/Z43),0,(V43-Z43)/Z43)</f>
        <v>-1</v>
      </c>
      <c r="AC43" s="22"/>
      <c r="AD43" s="23">
        <f>IF(ISERROR(VLOOKUP($B43,[1]Hedef!$A$4:$ES$45409,45,0)),0,VLOOKUP($B43,[1]Hedef!$A$4:$ES$45409,45,0))</f>
        <v>0</v>
      </c>
      <c r="AE43" s="23">
        <f>IF((AC43-AD43)&lt;0, "-", (AC43-AD43))</f>
        <v>0</v>
      </c>
      <c r="AF43" s="80"/>
      <c r="AH43" s="44"/>
      <c r="AI43" s="11">
        <f>IF(ISERROR((AD43-AH43)/AH43),0,(AD43-AH43)/AH43)</f>
        <v>0</v>
      </c>
      <c r="AL43" s="22">
        <f t="shared" ref="AL43" si="95">AC43+U43+M43+E43</f>
        <v>0</v>
      </c>
      <c r="AM43" s="23">
        <f t="shared" ref="AM43" si="96">N43+V43+AD43+F43</f>
        <v>0</v>
      </c>
      <c r="AN43" s="23">
        <f>IF((AL43-AM43)&lt;0, "-", (AL43-AM43))</f>
        <v>0</v>
      </c>
      <c r="AO43" s="80" t="e">
        <f t="shared" si="93"/>
        <v>#DIV/0!</v>
      </c>
      <c r="AP43" s="22">
        <v>0</v>
      </c>
      <c r="AQ43" s="22">
        <f t="shared" ref="AQ43" si="97">AH43+Z43+R43+J43</f>
        <v>5.2499999999999964</v>
      </c>
      <c r="AR43" s="11">
        <f>IF(ISERROR((AM43-AQ43)/AQ43),0,(AM43-AQ43)/AQ43)</f>
        <v>-1</v>
      </c>
      <c r="AT43" s="12">
        <f>AL43-'GENEL HEDEF'!U43</f>
        <v>-8</v>
      </c>
      <c r="AU43" s="15">
        <f>AM43-'GENEL HEDEF'!V43</f>
        <v>0</v>
      </c>
      <c r="AV43" s="45">
        <f t="shared" ref="AV43" si="98">AT43*-1</f>
        <v>8</v>
      </c>
    </row>
    <row r="44" spans="2:48" ht="12.75" customHeight="1" thickBot="1" x14ac:dyDescent="0.2">
      <c r="B44" s="18">
        <v>17</v>
      </c>
      <c r="C44" s="1" t="s">
        <v>61</v>
      </c>
      <c r="D44" s="125"/>
      <c r="E44" s="22"/>
      <c r="F44" s="23">
        <f>IF(ISERROR(VLOOKUP($B44,[1]Hedef!$A$4:$ES$45409,103,0)),0,VLOOKUP($B44,[1]Hedef!$A$4:$ES$45409,103,0))</f>
        <v>4</v>
      </c>
      <c r="G44" s="23" t="str">
        <f>IF((E44-F44)&lt;0, "-", (E44-F44))</f>
        <v>-</v>
      </c>
      <c r="H44" s="80" t="e">
        <f t="shared" si="87"/>
        <v>#DIV/0!</v>
      </c>
      <c r="J44" s="44">
        <v>128</v>
      </c>
      <c r="K44" s="11">
        <f>IF(ISERROR((F44-J44)/J44),0,(F44-J44)/J44)</f>
        <v>-0.96875</v>
      </c>
      <c r="M44" s="22"/>
      <c r="N44" s="23">
        <f>IF(ISERROR(VLOOKUP($B44,[1]Hedef!$A$4:$ES$45409,105,0)),0,VLOOKUP($B44,[1]Hedef!$A$4:$ES$45409,105,0))</f>
        <v>0</v>
      </c>
      <c r="O44" s="23">
        <f>IF((M44-N44)&lt;0, "-", (M44-N44))</f>
        <v>0</v>
      </c>
      <c r="P44" s="80" t="e">
        <f t="shared" si="88"/>
        <v>#DIV/0!</v>
      </c>
      <c r="R44" s="44">
        <v>1</v>
      </c>
      <c r="S44" s="11">
        <f>IF(ISERROR((N44-R44)/R44),0,(N44-R44)/R44)</f>
        <v>-1</v>
      </c>
      <c r="U44" s="22"/>
      <c r="V44" s="23">
        <f>IF(ISERROR(VLOOKUP($B44,[1]Hedef!$A$4:$ES$45409,107,0)),0,VLOOKUP($B44,[1]Hedef!$A$4:$ES$45409,107,0))</f>
        <v>0</v>
      </c>
      <c r="W44" s="23">
        <f>IF((U44-V44)&lt;0, "-", (U44-V44))</f>
        <v>0</v>
      </c>
      <c r="X44" s="80" t="e">
        <f t="shared" si="89"/>
        <v>#DIV/0!</v>
      </c>
      <c r="Z44" s="44">
        <v>3.5</v>
      </c>
      <c r="AA44" s="11">
        <f>IF(ISERROR((V44-Z44)/Z44),0,(V44-Z44)/Z44)</f>
        <v>-1</v>
      </c>
      <c r="AC44" s="22"/>
      <c r="AD44" s="23">
        <f>IF(ISERROR(VLOOKUP($B44,[1]Hedef!$A$4:$ES$45409,45,0)),0,VLOOKUP($B44,[1]Hedef!$A$4:$ES$45409,45,0))</f>
        <v>0</v>
      </c>
      <c r="AE44" s="23">
        <f>IF((AC44-AD44)&lt;0, "-", (AC44-AD44))</f>
        <v>0</v>
      </c>
      <c r="AF44" s="80" t="e">
        <f>TRUNC(IF((AD44/AC44)&gt;1.2,"120%",(AD44/AC44)),2)</f>
        <v>#DIV/0!</v>
      </c>
      <c r="AH44" s="44"/>
      <c r="AI44" s="11">
        <f>IF(ISERROR((AD44-AH44)/AH44),0,(AD44-AH44)/AH44)</f>
        <v>0</v>
      </c>
      <c r="AL44" s="22">
        <f t="shared" si="91"/>
        <v>0</v>
      </c>
      <c r="AM44" s="23">
        <f t="shared" si="92"/>
        <v>4</v>
      </c>
      <c r="AN44" s="23" t="str">
        <f>IF((AL44-AM44)&lt;0, "-", (AL44-AM44))</f>
        <v>-</v>
      </c>
      <c r="AO44" s="80" t="e">
        <f t="shared" si="93"/>
        <v>#DIV/0!</v>
      </c>
      <c r="AP44" s="22">
        <v>0</v>
      </c>
      <c r="AQ44" s="22">
        <f t="shared" si="94"/>
        <v>132.5</v>
      </c>
      <c r="AR44" s="11">
        <f>IF(ISERROR((AM44-AQ44)/AQ44),0,(AM44-AQ44)/AQ44)</f>
        <v>-0.96981132075471699</v>
      </c>
      <c r="AT44" s="12">
        <f>AL44-'GENEL HEDEF'!U44</f>
        <v>-168</v>
      </c>
      <c r="AU44" s="15">
        <f>AM44-'GENEL HEDEF'!V44</f>
        <v>0</v>
      </c>
      <c r="AV44" s="45">
        <f t="shared" si="43"/>
        <v>168</v>
      </c>
    </row>
    <row r="45" spans="2:48" ht="12.75" customHeight="1" thickTop="1" thickBot="1" x14ac:dyDescent="0.2">
      <c r="B45" s="18"/>
      <c r="C45" s="2" t="s">
        <v>28</v>
      </c>
      <c r="D45" s="126"/>
      <c r="E45" s="41">
        <f>SUM(E40:E44)</f>
        <v>0</v>
      </c>
      <c r="F45" s="41">
        <f>SUM(F40:F44)</f>
        <v>259</v>
      </c>
      <c r="G45" s="41">
        <f>SUM(G41:G44)</f>
        <v>0</v>
      </c>
      <c r="H45" s="39" t="e">
        <f>TRUNC(IF((F45/E45)&gt;1.2,"120%",(F45/E45)),2)</f>
        <v>#DIV/0!</v>
      </c>
      <c r="J45" s="41"/>
      <c r="K45" s="48"/>
      <c r="M45" s="41">
        <f>SUM(M40:M44)</f>
        <v>0</v>
      </c>
      <c r="N45" s="41">
        <f>SUM(N40:N44)</f>
        <v>14</v>
      </c>
      <c r="O45" s="41">
        <f>SUM(O41:O44)</f>
        <v>0</v>
      </c>
      <c r="P45" s="39" t="e">
        <f>TRUNC(IF((N45/M45)&gt;1.2,"120%",(N45/M45)),2)</f>
        <v>#DIV/0!</v>
      </c>
      <c r="Q45" s="78"/>
      <c r="R45" s="41"/>
      <c r="S45" s="48"/>
      <c r="T45" s="78"/>
      <c r="U45" s="41">
        <f>SUM(U40:U44)</f>
        <v>0</v>
      </c>
      <c r="V45" s="41">
        <f>SUM(V40:V44)</f>
        <v>3</v>
      </c>
      <c r="W45" s="41">
        <f>SUM(W41:W44)</f>
        <v>0</v>
      </c>
      <c r="X45" s="39" t="e">
        <f>TRUNC(IF((V45/U45)&gt;1.2,"120%",(V45/U45)),2)</f>
        <v>#DIV/0!</v>
      </c>
      <c r="Y45" s="78"/>
      <c r="Z45" s="41"/>
      <c r="AA45" s="48"/>
      <c r="AB45" s="78"/>
      <c r="AC45" s="41">
        <f>SUM(AC40:AC44)</f>
        <v>0</v>
      </c>
      <c r="AD45" s="41">
        <f>SUM(AD40:AD44)</f>
        <v>0</v>
      </c>
      <c r="AE45" s="41">
        <f>SUM(AE41:AE44)</f>
        <v>0</v>
      </c>
      <c r="AF45" s="39" t="e">
        <f>TRUNC(IF((AD45/AC45)&gt;1.2,"120%",(AD45/AC45)),2)</f>
        <v>#DIV/0!</v>
      </c>
      <c r="AG45" s="78"/>
      <c r="AH45" s="41"/>
      <c r="AI45" s="48"/>
      <c r="AJ45" s="78"/>
      <c r="AK45" s="78"/>
      <c r="AL45" s="41">
        <f>SUM(AL40:AL44)</f>
        <v>0</v>
      </c>
      <c r="AM45" s="41">
        <f>SUM(AM40:AM44)</f>
        <v>276</v>
      </c>
      <c r="AN45" s="41">
        <f>SUM(AN41:AN44)</f>
        <v>0</v>
      </c>
      <c r="AO45" s="39" t="e">
        <f>TRUNC(IF((AM45/AL45)&gt;1.2,"120%",(AM45/AL45)),2)</f>
        <v>#DIV/0!</v>
      </c>
      <c r="AP45" s="41">
        <v>0</v>
      </c>
      <c r="AQ45" s="67"/>
      <c r="AR45" s="113"/>
      <c r="AS45" s="78"/>
      <c r="AT45" s="41">
        <f t="shared" ref="AT45:AU45" si="99">SUM(AT40:AT44)</f>
        <v>-5122</v>
      </c>
      <c r="AU45" s="41">
        <f t="shared" si="99"/>
        <v>0</v>
      </c>
      <c r="AV45" s="45">
        <f>AT45*-1</f>
        <v>5122</v>
      </c>
    </row>
    <row r="46" spans="2:48" ht="12.75" customHeight="1" thickTop="1" x14ac:dyDescent="0.15">
      <c r="B46" s="18">
        <v>52</v>
      </c>
      <c r="C46" s="1" t="s">
        <v>68</v>
      </c>
      <c r="D46" s="125"/>
      <c r="E46" s="22"/>
      <c r="F46" s="23">
        <f>IF(ISERROR(VLOOKUP($B46,[1]Hedef!$A$4:$ES$45409,103,0)),0,VLOOKUP($B46,[1]Hedef!$A$4:$ES$45409,103,0))</f>
        <v>0</v>
      </c>
      <c r="G46" s="23">
        <f t="shared" ref="G46:G47" si="100">IF((E46-F46)&lt;0, "-", (E46-F46))</f>
        <v>0</v>
      </c>
      <c r="H46" s="80"/>
      <c r="J46" s="44">
        <v>0</v>
      </c>
      <c r="K46" s="11">
        <f t="shared" ref="K46:K56" si="101">IF(ISERROR((F46-J46)/J46),0,(F46-J46)/J46)</f>
        <v>0</v>
      </c>
      <c r="M46" s="22"/>
      <c r="N46" s="23">
        <f>IF(ISERROR(VLOOKUP($B46,[1]Hedef!$A$4:$ES$45409,105,0)),0,VLOOKUP($B46,[1]Hedef!$A$4:$ES$45409,105,0))</f>
        <v>0</v>
      </c>
      <c r="O46" s="23">
        <f t="shared" ref="O46:O56" si="102">IF((M46-N46)&lt;0, "-", (M46-N46))</f>
        <v>0</v>
      </c>
      <c r="P46" s="80" t="e">
        <f>TRUNC(IF((N46/M46)&gt;1.2,"120%",(N46/M46)),2)</f>
        <v>#DIV/0!</v>
      </c>
      <c r="R46" s="44">
        <v>0</v>
      </c>
      <c r="S46" s="11">
        <f t="shared" ref="S46:S56" si="103">IF(ISERROR((N46-R46)/R46),0,(N46-R46)/R46)</f>
        <v>0</v>
      </c>
      <c r="U46" s="22"/>
      <c r="V46" s="23">
        <f>IF(ISERROR(VLOOKUP($B46,[1]Hedef!$A$4:$ES$45409,107,0)),0,VLOOKUP($B46,[1]Hedef!$A$4:$ES$45409,107,0))</f>
        <v>2.4E-2</v>
      </c>
      <c r="W46" s="23" t="str">
        <f t="shared" ref="W46:W56" si="104">IF((U46-V46)&lt;0, "-", (U46-V46))</f>
        <v>-</v>
      </c>
      <c r="X46" s="80"/>
      <c r="Z46" s="44">
        <v>0</v>
      </c>
      <c r="AA46" s="11">
        <f t="shared" ref="AA46:AA52" si="105">IF(ISERROR((V46-Z46)/Z46),0,(V46-Z46)/Z46)</f>
        <v>0</v>
      </c>
      <c r="AC46" s="22"/>
      <c r="AD46" s="23">
        <f>IF(ISERROR(VLOOKUP($B46,[1]Hedef!$A$4:$ES$45409,45,0)),0,VLOOKUP($B46,[1]Hedef!$A$4:$ES$45409,45,0))</f>
        <v>0</v>
      </c>
      <c r="AE46" s="23">
        <f t="shared" ref="AE46:AE56" si="106">IF((AC46-AD46)&lt;0, "-", (AC46-AD46))</f>
        <v>0</v>
      </c>
      <c r="AF46" s="80"/>
      <c r="AH46" s="44"/>
      <c r="AI46" s="11">
        <f t="shared" ref="AI46:AI52" si="107">IF(ISERROR((AD46-AH46)/AH46),0,(AD46-AH46)/AH46)</f>
        <v>0</v>
      </c>
      <c r="AL46" s="22">
        <f t="shared" ref="AL46:AL56" si="108">AC46+U46+M46+E46</f>
        <v>0</v>
      </c>
      <c r="AM46" s="23">
        <f t="shared" ref="AM46:AM56" si="109">N46+V46+AD46+F46</f>
        <v>2.4E-2</v>
      </c>
      <c r="AN46" s="23" t="str">
        <f t="shared" ref="AN46:AN56" si="110">IF((AL46-AM46)&lt;0, "-", (AL46-AM46))</f>
        <v>-</v>
      </c>
      <c r="AO46" s="80" t="e">
        <f>TRUNC(IF((AM46/AL46)&gt;1.2,"120%",(AM46/AL46)),2)</f>
        <v>#DIV/0!</v>
      </c>
      <c r="AP46" s="22">
        <v>0</v>
      </c>
      <c r="AQ46" s="22">
        <f t="shared" ref="AQ46:AQ56" si="111">AH46+Z46+R46+J46</f>
        <v>0</v>
      </c>
      <c r="AR46" s="11">
        <f t="shared" ref="AR46:AR56" si="112">IF(ISERROR((AM46-AQ46)/AQ46),0,(AM46-AQ46)/AQ46)</f>
        <v>0</v>
      </c>
      <c r="AT46" s="12">
        <f>AL46-'GENEL HEDEF'!U46</f>
        <v>0</v>
      </c>
      <c r="AU46" s="15">
        <f>AM46-'GENEL HEDEF'!V46</f>
        <v>0</v>
      </c>
      <c r="AV46" s="45">
        <f t="shared" si="43"/>
        <v>0</v>
      </c>
    </row>
    <row r="47" spans="2:48" ht="12.75" customHeight="1" x14ac:dyDescent="0.15">
      <c r="B47" s="31">
        <v>55</v>
      </c>
      <c r="C47" s="1" t="s">
        <v>69</v>
      </c>
      <c r="D47" s="125"/>
      <c r="E47" s="22"/>
      <c r="F47" s="23">
        <f>IF(ISERROR(VLOOKUP($B47,[1]Hedef!$A$4:$ES$45409,103,0)),0,VLOOKUP($B47,[1]Hedef!$A$4:$ES$45409,103,0))</f>
        <v>2.5600000000000001E-2</v>
      </c>
      <c r="G47" s="23" t="str">
        <f t="shared" si="100"/>
        <v>-</v>
      </c>
      <c r="H47" s="80" t="e">
        <f>TRUNC(IF((F47/E47)&gt;1.2,"120%",(F47/E47)),2)</f>
        <v>#DIV/0!</v>
      </c>
      <c r="J47" s="44">
        <v>0.46583999999999998</v>
      </c>
      <c r="K47" s="11">
        <f t="shared" si="101"/>
        <v>-0.94504550918770391</v>
      </c>
      <c r="M47" s="22"/>
      <c r="N47" s="23">
        <f>IF(ISERROR(VLOOKUP($B47,[1]Hedef!$A$4:$ES$45409,105,0)),0,VLOOKUP($B47,[1]Hedef!$A$4:$ES$45409,105,0))</f>
        <v>9.5999999999999992E-3</v>
      </c>
      <c r="O47" s="23" t="str">
        <f t="shared" si="102"/>
        <v>-</v>
      </c>
      <c r="P47" s="80" t="e">
        <f>TRUNC(IF((N47/M47)&gt;1.2,"120%",(N47/M47)),2)</f>
        <v>#DIV/0!</v>
      </c>
      <c r="R47" s="44">
        <v>0.55600000000000005</v>
      </c>
      <c r="S47" s="11">
        <f t="shared" si="103"/>
        <v>-0.98273381294964024</v>
      </c>
      <c r="U47" s="22"/>
      <c r="V47" s="23">
        <f>IF(ISERROR(VLOOKUP($B47,[1]Hedef!$A$4:$ES$45409,107,0)),0,VLOOKUP($B47,[1]Hedef!$A$4:$ES$45409,107,0))</f>
        <v>1.92E-3</v>
      </c>
      <c r="W47" s="23" t="str">
        <f t="shared" si="104"/>
        <v>-</v>
      </c>
      <c r="X47" s="80" t="e">
        <f>TRUNC(IF((V47/U47)&gt;1.2,"120%",(V47/U47)),2)</f>
        <v>#DIV/0!</v>
      </c>
      <c r="Z47" s="44">
        <v>0.76496000000000097</v>
      </c>
      <c r="AA47" s="11">
        <f>IF(ISERROR((V47-Z47)/Z47),0,(V47-Z47)/Z47)</f>
        <v>-0.99749006483999159</v>
      </c>
      <c r="AC47" s="22"/>
      <c r="AD47" s="23">
        <f>IF(ISERROR(VLOOKUP($B47,[1]Hedef!$A$4:$ES$45409,45,0)),0,VLOOKUP($B47,[1]Hedef!$A$4:$ES$45409,45,0))</f>
        <v>0</v>
      </c>
      <c r="AE47" s="23">
        <f>IF((AC47-AD47)&lt;0, "-", (AC47-AD47))</f>
        <v>0</v>
      </c>
      <c r="AF47" s="80" t="e">
        <f>TRUNC(IF((AD47/AC47)&gt;1.2,"120%",(AD47/AC47)),2)</f>
        <v>#DIV/0!</v>
      </c>
      <c r="AH47" s="44"/>
      <c r="AI47" s="11">
        <f>IF(ISERROR((AD47-AH47)/AH47),0,(AD47-AH47)/AH47)</f>
        <v>0</v>
      </c>
      <c r="AL47" s="22">
        <f t="shared" si="108"/>
        <v>0</v>
      </c>
      <c r="AM47" s="23">
        <f t="shared" si="109"/>
        <v>3.712E-2</v>
      </c>
      <c r="AN47" s="23" t="str">
        <f>IF((AL47-AM47)&lt;0, "-", (AL47-AM47))</f>
        <v>-</v>
      </c>
      <c r="AO47" s="80" t="e">
        <f>TRUNC(IF((AM47/AL47)&gt;1.2,"120%",(AM47/AL47)),2)</f>
        <v>#DIV/0!</v>
      </c>
      <c r="AP47" s="22">
        <v>0</v>
      </c>
      <c r="AQ47" s="22">
        <f t="shared" si="111"/>
        <v>1.7868000000000011</v>
      </c>
      <c r="AR47" s="11">
        <f>IF(ISERROR((AM47-AQ47)/AQ47),0,(AM47-AQ47)/AQ47)</f>
        <v>-0.97922543093798964</v>
      </c>
      <c r="AT47" s="12">
        <f>AL47-'GENEL HEDEF'!U47</f>
        <v>-2.4700000000000002</v>
      </c>
      <c r="AU47" s="15">
        <f>AM47-'GENEL HEDEF'!V47</f>
        <v>0</v>
      </c>
      <c r="AV47" s="45">
        <f t="shared" ref="AV47:AV51" si="113">AT47*-1</f>
        <v>2.4700000000000002</v>
      </c>
    </row>
    <row r="48" spans="2:48" ht="12.75" customHeight="1" x14ac:dyDescent="0.15">
      <c r="B48" s="31">
        <v>61</v>
      </c>
      <c r="C48" s="1" t="s">
        <v>46</v>
      </c>
      <c r="D48" s="125"/>
      <c r="E48" s="22"/>
      <c r="F48" s="23">
        <f>IF(ISERROR(VLOOKUP($B48,[1]Hedef!$A$4:$ES$45409,103,0)),0,VLOOKUP($B48,[1]Hedef!$A$4:$ES$45409,103,0))</f>
        <v>0</v>
      </c>
      <c r="G48" s="23">
        <f>IF((E48-F48)&lt;0, "-", (E48-F48))</f>
        <v>0</v>
      </c>
      <c r="H48" s="80"/>
      <c r="J48" s="44">
        <v>0</v>
      </c>
      <c r="K48" s="11">
        <f t="shared" si="101"/>
        <v>0</v>
      </c>
      <c r="M48" s="22"/>
      <c r="N48" s="23">
        <f>IF(ISERROR(VLOOKUP($B48,[1]Hedef!$A$4:$ES$45409,105,0)),0,VLOOKUP($B48,[1]Hedef!$A$4:$ES$45409,105,0))</f>
        <v>0</v>
      </c>
      <c r="O48" s="152">
        <f>IF((M48-N48)&lt;0, "-", (M48-N48))</f>
        <v>0</v>
      </c>
      <c r="P48" s="80"/>
      <c r="R48" s="44">
        <v>0</v>
      </c>
      <c r="S48" s="11">
        <f t="shared" si="103"/>
        <v>0</v>
      </c>
      <c r="U48" s="22"/>
      <c r="V48" s="23">
        <f>IF(ISERROR(VLOOKUP($B48,[1]Hedef!$A$4:$ES$45409,107,0)),0,VLOOKUP($B48,[1]Hedef!$A$4:$ES$45409,107,0))</f>
        <v>0</v>
      </c>
      <c r="W48" s="23">
        <f t="shared" si="104"/>
        <v>0</v>
      </c>
      <c r="X48" s="80"/>
      <c r="Z48" s="44">
        <v>0</v>
      </c>
      <c r="AA48" s="11">
        <f t="shared" si="105"/>
        <v>0</v>
      </c>
      <c r="AC48" s="22"/>
      <c r="AD48" s="23">
        <f>IF(ISERROR(VLOOKUP($B48,[1]Hedef!$A$4:$ES$45409,45,0)),0,VLOOKUP($B48,[1]Hedef!$A$4:$ES$45409,45,0))</f>
        <v>0</v>
      </c>
      <c r="AE48" s="23">
        <f t="shared" si="106"/>
        <v>0</v>
      </c>
      <c r="AF48" s="80"/>
      <c r="AH48" s="44"/>
      <c r="AI48" s="11">
        <f t="shared" si="107"/>
        <v>0</v>
      </c>
      <c r="AL48" s="22"/>
      <c r="AM48" s="23">
        <f t="shared" si="109"/>
        <v>0</v>
      </c>
      <c r="AN48" s="23">
        <f t="shared" si="110"/>
        <v>0</v>
      </c>
      <c r="AO48" s="80"/>
      <c r="AP48" s="22">
        <v>0</v>
      </c>
      <c r="AQ48" s="22">
        <f t="shared" si="111"/>
        <v>0</v>
      </c>
      <c r="AR48" s="11">
        <f t="shared" si="112"/>
        <v>0</v>
      </c>
      <c r="AT48" s="12">
        <f>AL48-'GENEL HEDEF'!U48</f>
        <v>0</v>
      </c>
      <c r="AU48" s="15">
        <f>AM48-'GENEL HEDEF'!V48</f>
        <v>0</v>
      </c>
      <c r="AV48" s="45">
        <f t="shared" si="113"/>
        <v>0</v>
      </c>
    </row>
    <row r="49" spans="2:48" ht="12.75" customHeight="1" x14ac:dyDescent="0.15">
      <c r="B49" s="31">
        <v>27</v>
      </c>
      <c r="C49" s="1" t="s">
        <v>158</v>
      </c>
      <c r="D49" s="125"/>
      <c r="E49" s="22"/>
      <c r="F49" s="23">
        <f>IF(ISERROR(VLOOKUP($B49,[1]Hedef!$A$4:$ES$45409,103,0)),0,VLOOKUP($B49,[1]Hedef!$A$4:$ES$45409,103,0))</f>
        <v>0</v>
      </c>
      <c r="G49" s="23">
        <f>IF((E49-F49)&lt;0, "-", (E49-F49))</f>
        <v>0</v>
      </c>
      <c r="H49" s="80"/>
      <c r="J49" s="44">
        <v>0</v>
      </c>
      <c r="K49" s="11">
        <f t="shared" si="101"/>
        <v>0</v>
      </c>
      <c r="M49" s="22"/>
      <c r="N49" s="23">
        <f>IF(ISERROR(VLOOKUP($B49,[1]Hedef!$A$4:$ES$45409,105,0)),0,VLOOKUP($B49,[1]Hedef!$A$4:$ES$45409,105,0))</f>
        <v>0</v>
      </c>
      <c r="O49" s="23">
        <f>IF((M49-N49)&lt;0, "-", (M49-N49))</f>
        <v>0</v>
      </c>
      <c r="P49" s="80"/>
      <c r="R49" s="44">
        <v>0</v>
      </c>
      <c r="S49" s="11">
        <f t="shared" si="103"/>
        <v>0</v>
      </c>
      <c r="U49" s="22"/>
      <c r="V49" s="23">
        <f>IF(ISERROR(VLOOKUP($B49,[1]Hedef!$A$4:$ES$45409,107,0)),0,VLOOKUP($B49,[1]Hedef!$A$4:$ES$45409,107,0))</f>
        <v>0</v>
      </c>
      <c r="W49" s="23">
        <f t="shared" ref="W49:W54" si="114">IF((U49-V49)&lt;0, "-", (U49-V49))</f>
        <v>0</v>
      </c>
      <c r="X49" s="80"/>
      <c r="Z49" s="44">
        <v>0</v>
      </c>
      <c r="AA49" s="11">
        <f>IF(ISERROR((V49-Z49)/Z49),0,(V49-Z49)/Z49)</f>
        <v>0</v>
      </c>
      <c r="AC49" s="22"/>
      <c r="AD49" s="23">
        <f>IF(ISERROR(VLOOKUP($B49,[1]Hedef!$A$4:$ES$45409,45,0)),0,VLOOKUP($B49,[1]Hedef!$A$4:$ES$45409,45,0))</f>
        <v>0</v>
      </c>
      <c r="AE49" s="23">
        <f>IF((AC49-AD49)&lt;0, "-", (AC49-AD49))</f>
        <v>0</v>
      </c>
      <c r="AF49" s="80" t="e">
        <f t="shared" ref="AF49" si="115">TRUNC(IF((AD49/AC49)&gt;1.2,"120%",(AD49/AC49)),2)</f>
        <v>#DIV/0!</v>
      </c>
      <c r="AH49" s="44">
        <v>0</v>
      </c>
      <c r="AI49" s="11">
        <f>IF(ISERROR((AD49-AH49)/AH49),0,(AD49-AH49)/AH49)</f>
        <v>0</v>
      </c>
      <c r="AL49" s="22"/>
      <c r="AM49" s="23">
        <f t="shared" si="109"/>
        <v>0</v>
      </c>
      <c r="AN49" s="90">
        <f t="shared" si="110"/>
        <v>0</v>
      </c>
      <c r="AO49" s="80"/>
      <c r="AP49" s="22">
        <v>0</v>
      </c>
      <c r="AQ49" s="22">
        <f t="shared" si="111"/>
        <v>0</v>
      </c>
      <c r="AR49" s="11">
        <f>IF(ISERROR((AM49-AQ49)/AQ49),0,(AM49-AQ49)/AQ49)</f>
        <v>0</v>
      </c>
      <c r="AT49" s="12">
        <f>AL49-'GENEL HEDEF'!U49</f>
        <v>0</v>
      </c>
      <c r="AU49" s="15">
        <f>AM49-'GENEL HEDEF'!V49</f>
        <v>0</v>
      </c>
      <c r="AV49" s="45">
        <f t="shared" si="113"/>
        <v>0</v>
      </c>
    </row>
    <row r="50" spans="2:48" ht="12.75" customHeight="1" x14ac:dyDescent="0.15">
      <c r="B50" s="31">
        <v>71</v>
      </c>
      <c r="C50" s="1" t="s">
        <v>64</v>
      </c>
      <c r="D50" s="125"/>
      <c r="E50" s="22"/>
      <c r="F50" s="23">
        <f>IF(ISERROR(VLOOKUP($B50,[1]Hedef!$A$4:$ES$45409,103,0)),0,VLOOKUP($B50,[1]Hedef!$A$4:$ES$45409,103,0))</f>
        <v>7.6000000000000012E-2</v>
      </c>
      <c r="G50" s="23" t="str">
        <f>IF((E50-F50)&lt;0, "-", (E50-F50))</f>
        <v>-</v>
      </c>
      <c r="H50" s="80" t="e">
        <f t="shared" ref="H50:H56" si="116">TRUNC(IF((F50/E50)&gt;1.2,"120%",(F50/E50)),2)</f>
        <v>#DIV/0!</v>
      </c>
      <c r="J50" s="44">
        <v>0.68174999999999997</v>
      </c>
      <c r="K50" s="11">
        <f t="shared" si="101"/>
        <v>-0.88852218555188855</v>
      </c>
      <c r="M50" s="22"/>
      <c r="N50" s="23">
        <f>IF(ISERROR(VLOOKUP($B50,[1]Hedef!$A$4:$ES$45409,105,0)),0,VLOOKUP($B50,[1]Hedef!$A$4:$ES$45409,105,0))</f>
        <v>9.0000000000000011E-3</v>
      </c>
      <c r="O50" s="23" t="str">
        <f>IF((M50-N50)&lt;0, "-", (M50-N50))</f>
        <v>-</v>
      </c>
      <c r="P50" s="80" t="e">
        <f t="shared" ref="P50:P55" si="117">TRUNC(IF((N50/M50)&gt;1.2,"120%",(N50/M50)),2)</f>
        <v>#DIV/0!</v>
      </c>
      <c r="R50" s="44">
        <v>8.7319999999999995E-2</v>
      </c>
      <c r="S50" s="11">
        <f t="shared" si="103"/>
        <v>-0.89693082913421907</v>
      </c>
      <c r="U50" s="22"/>
      <c r="V50" s="23">
        <f>IF(ISERROR(VLOOKUP($B50,[1]Hedef!$A$4:$ES$45409,107,0)),0,VLOOKUP($B50,[1]Hedef!$A$4:$ES$45409,107,0))</f>
        <v>3.3500000000000002E-2</v>
      </c>
      <c r="W50" s="23" t="str">
        <f t="shared" si="114"/>
        <v>-</v>
      </c>
      <c r="X50" s="80" t="e">
        <f t="shared" ref="X50:X55" si="118">TRUNC(IF((V50/U50)&gt;1.2,"120%",(V50/U50)),2)</f>
        <v>#DIV/0!</v>
      </c>
      <c r="Z50" s="44">
        <v>8.3249999999999991E-2</v>
      </c>
      <c r="AA50" s="11">
        <f>IF(ISERROR((V50-Z50)/Z50),0,(V50-Z50)/Z50)</f>
        <v>-0.59759759759759756</v>
      </c>
      <c r="AC50" s="22"/>
      <c r="AD50" s="23">
        <f>IF(ISERROR(VLOOKUP($B50,[1]Hedef!$A$4:$ES$45409,45,0)),0,VLOOKUP($B50,[1]Hedef!$A$4:$ES$45409,45,0))</f>
        <v>0</v>
      </c>
      <c r="AE50" s="23">
        <f>IF((AC50-AD50)&lt;0, "-", (AC50-AD50))</f>
        <v>0</v>
      </c>
      <c r="AF50" s="80" t="e">
        <f t="shared" ref="AF50:AF52" si="119">TRUNC(IF((AD50/AC50)&gt;1.2,"120%",(AD50/AC50)),2)</f>
        <v>#DIV/0!</v>
      </c>
      <c r="AH50" s="44"/>
      <c r="AI50" s="11">
        <f>IF(ISERROR((AD50-AH50)/AH50),0,(AD50-AH50)/AH50)</f>
        <v>0</v>
      </c>
      <c r="AL50" s="22">
        <f t="shared" si="108"/>
        <v>0</v>
      </c>
      <c r="AM50" s="23">
        <f t="shared" si="109"/>
        <v>0.11850000000000002</v>
      </c>
      <c r="AN50" s="90" t="str">
        <f t="shared" si="110"/>
        <v>-</v>
      </c>
      <c r="AO50" s="80" t="e">
        <f t="shared" ref="AO50:AO56" si="120">TRUNC(IF((AM50/AL50)&gt;1.2,"120%",(AM50/AL50)),2)</f>
        <v>#DIV/0!</v>
      </c>
      <c r="AP50" s="22">
        <v>0</v>
      </c>
      <c r="AQ50" s="22">
        <f t="shared" si="111"/>
        <v>0.85231999999999997</v>
      </c>
      <c r="AR50" s="11">
        <f>IF(ISERROR((AM50-AQ50)/AQ50),0,(AM50-AQ50)/AQ50)</f>
        <v>-0.86096771165759334</v>
      </c>
      <c r="AT50" s="12">
        <f>AL50-'GENEL HEDEF'!U50</f>
        <v>-1.98</v>
      </c>
      <c r="AU50" s="15">
        <f>AM50-'GENEL HEDEF'!V50</f>
        <v>0</v>
      </c>
      <c r="AV50" s="45">
        <f t="shared" si="113"/>
        <v>1.98</v>
      </c>
    </row>
    <row r="51" spans="2:48" ht="12.75" customHeight="1" x14ac:dyDescent="0.15">
      <c r="B51" s="31">
        <v>111</v>
      </c>
      <c r="C51" s="1" t="s">
        <v>121</v>
      </c>
      <c r="D51" s="125"/>
      <c r="E51" s="166"/>
      <c r="F51" s="23">
        <f>IF(ISERROR(VLOOKUP($B51,[1]Hedef!$A$4:$ES$45409,103,0)),0,VLOOKUP($B51,[1]Hedef!$A$4:$ES$45409,103,0))</f>
        <v>0.14804999999999999</v>
      </c>
      <c r="G51" s="23" t="str">
        <f>IF((E51-F51)&lt;0, "-", (E51-F51))</f>
        <v>-</v>
      </c>
      <c r="H51" s="80" t="e">
        <f t="shared" si="116"/>
        <v>#DIV/0!</v>
      </c>
      <c r="J51" s="44">
        <v>2.9533449999999997</v>
      </c>
      <c r="K51" s="11">
        <f t="shared" si="101"/>
        <v>-0.94987040118916011</v>
      </c>
      <c r="M51" s="22"/>
      <c r="N51" s="23">
        <f>IF(ISERROR(VLOOKUP($B51,[1]Hedef!$A$4:$ES$45409,105,0)),0,VLOOKUP($B51,[1]Hedef!$A$4:$ES$45409,105,0))</f>
        <v>1.4E-3</v>
      </c>
      <c r="O51" s="23" t="str">
        <f>IF((M51-N51)&lt;0, "-", (M51-N51))</f>
        <v>-</v>
      </c>
      <c r="P51" s="80" t="e">
        <f t="shared" si="117"/>
        <v>#DIV/0!</v>
      </c>
      <c r="R51" s="44">
        <v>0.45916499999999999</v>
      </c>
      <c r="S51" s="11">
        <f t="shared" si="103"/>
        <v>-0.99695098711792052</v>
      </c>
      <c r="U51" s="22"/>
      <c r="V51" s="23">
        <f>IF(ISERROR(VLOOKUP($B51,[1]Hedef!$A$4:$ES$45409,107,0)),0,VLOOKUP($B51,[1]Hedef!$A$4:$ES$45409,107,0))</f>
        <v>9.7229999999999997E-2</v>
      </c>
      <c r="W51" s="23" t="str">
        <f t="shared" si="114"/>
        <v>-</v>
      </c>
      <c r="X51" s="80" t="e">
        <f t="shared" si="118"/>
        <v>#DIV/0!</v>
      </c>
      <c r="Z51" s="44">
        <v>0.36890000000000006</v>
      </c>
      <c r="AA51" s="11">
        <f>IF(ISERROR((V51-Z51)/Z51),0,(V51-Z51)/Z51)</f>
        <v>-0.73643263757115762</v>
      </c>
      <c r="AC51" s="22"/>
      <c r="AD51" s="23">
        <f>IF(ISERROR(VLOOKUP($B51,[1]Hedef!$A$4:$ES$45409,45,0)),0,VLOOKUP($B51,[1]Hedef!$A$4:$ES$45409,45,0))</f>
        <v>0</v>
      </c>
      <c r="AE51" s="23">
        <f>IF((AC51-AD51)&lt;0, "-", (AC51-AD51))</f>
        <v>0</v>
      </c>
      <c r="AF51" s="80" t="e">
        <f t="shared" si="119"/>
        <v>#DIV/0!</v>
      </c>
      <c r="AH51" s="44"/>
      <c r="AI51" s="11">
        <f>IF(ISERROR((AD51-AH51)/AH51),0,(AD51-AH51)/AH51)</f>
        <v>0</v>
      </c>
      <c r="AL51" s="22">
        <f t="shared" si="108"/>
        <v>0</v>
      </c>
      <c r="AM51" s="23">
        <f t="shared" si="109"/>
        <v>0.24667999999999998</v>
      </c>
      <c r="AN51" s="23" t="str">
        <f>IF((AL51-AM51)&lt;0, "-", (AL51-AM51))</f>
        <v>-</v>
      </c>
      <c r="AO51" s="80" t="e">
        <f t="shared" si="120"/>
        <v>#DIV/0!</v>
      </c>
      <c r="AP51" s="22">
        <v>0</v>
      </c>
      <c r="AQ51" s="22">
        <f t="shared" si="111"/>
        <v>3.7814099999999997</v>
      </c>
      <c r="AR51" s="11">
        <f>IF(ISERROR((AM51-AQ51)/AQ51),0,(AM51-AQ51)/AQ51)</f>
        <v>-0.93476507440346324</v>
      </c>
      <c r="AT51" s="12">
        <f>AL51-'GENEL HEDEF'!U51</f>
        <v>-6.9</v>
      </c>
      <c r="AU51" s="15">
        <f>AM51-'GENEL HEDEF'!V51</f>
        <v>0</v>
      </c>
      <c r="AV51" s="45">
        <f t="shared" si="113"/>
        <v>6.9</v>
      </c>
    </row>
    <row r="52" spans="2:48" ht="12.75" customHeight="1" x14ac:dyDescent="0.15">
      <c r="B52" s="31">
        <v>135</v>
      </c>
      <c r="C52" s="1" t="s">
        <v>120</v>
      </c>
      <c r="D52" s="125"/>
      <c r="E52" s="22"/>
      <c r="F52" s="23">
        <f>IF(ISERROR(VLOOKUP($B52,[1]Hedef!$A$4:$ES$45409,103,0)),0,VLOOKUP($B52,[1]Hedef!$A$4:$ES$45409,103,0))</f>
        <v>0.50369680000000006</v>
      </c>
      <c r="G52" s="23" t="str">
        <f t="shared" ref="G52:G56" si="121">IF((E52-F52)&lt;0, "-", (E52-F52))</f>
        <v>-</v>
      </c>
      <c r="H52" s="80" t="e">
        <f t="shared" si="116"/>
        <v>#DIV/0!</v>
      </c>
      <c r="J52" s="44">
        <v>2.4001842</v>
      </c>
      <c r="K52" s="11">
        <f t="shared" si="101"/>
        <v>-0.7901424399010708</v>
      </c>
      <c r="M52" s="22"/>
      <c r="N52" s="23">
        <f>IF(ISERROR(VLOOKUP($B52,[1]Hedef!$A$4:$ES$45409,105,0)),0,VLOOKUP($B52,[1]Hedef!$A$4:$ES$45409,105,0))</f>
        <v>9.090299999999997E-2</v>
      </c>
      <c r="O52" s="23" t="str">
        <f t="shared" si="102"/>
        <v>-</v>
      </c>
      <c r="P52" s="80" t="e">
        <f t="shared" si="117"/>
        <v>#DIV/0!</v>
      </c>
      <c r="R52" s="44">
        <v>2.0357810000000001</v>
      </c>
      <c r="S52" s="11">
        <f t="shared" si="103"/>
        <v>-0.9553473580900893</v>
      </c>
      <c r="U52" s="22"/>
      <c r="V52" s="23">
        <f>IF(ISERROR(VLOOKUP($B52,[1]Hedef!$A$4:$ES$45409,107,0)),0,VLOOKUP($B52,[1]Hedef!$A$4:$ES$45409,107,0))</f>
        <v>0.15151300000000001</v>
      </c>
      <c r="W52" s="23" t="str">
        <f t="shared" si="114"/>
        <v>-</v>
      </c>
      <c r="X52" s="80" t="e">
        <f t="shared" si="118"/>
        <v>#DIV/0!</v>
      </c>
      <c r="Z52" s="44">
        <v>4.6477900000000005</v>
      </c>
      <c r="AA52" s="11">
        <f t="shared" si="105"/>
        <v>-0.96740106588292507</v>
      </c>
      <c r="AC52" s="22"/>
      <c r="AD52" s="23">
        <f>IF(ISERROR(VLOOKUP($B52,[1]Hedef!$A$4:$ES$45409,45,0)),0,VLOOKUP($B52,[1]Hedef!$A$4:$ES$45409,45,0))</f>
        <v>0</v>
      </c>
      <c r="AE52" s="23">
        <f t="shared" si="106"/>
        <v>0</v>
      </c>
      <c r="AF52" s="80" t="e">
        <f t="shared" si="119"/>
        <v>#DIV/0!</v>
      </c>
      <c r="AH52" s="44"/>
      <c r="AI52" s="11">
        <f t="shared" si="107"/>
        <v>0</v>
      </c>
      <c r="AL52" s="22">
        <f t="shared" si="108"/>
        <v>0</v>
      </c>
      <c r="AM52" s="23">
        <f t="shared" si="109"/>
        <v>0.74611280000000002</v>
      </c>
      <c r="AN52" s="23" t="str">
        <f t="shared" si="110"/>
        <v>-</v>
      </c>
      <c r="AO52" s="80" t="e">
        <f t="shared" si="120"/>
        <v>#DIV/0!</v>
      </c>
      <c r="AP52" s="22">
        <v>0</v>
      </c>
      <c r="AQ52" s="22">
        <f t="shared" si="111"/>
        <v>9.0837552000000006</v>
      </c>
      <c r="AR52" s="11">
        <f t="shared" si="112"/>
        <v>-0.91786295606028656</v>
      </c>
      <c r="AT52" s="12">
        <f>AL52-'GENEL HEDEF'!U52</f>
        <v>-9.51</v>
      </c>
      <c r="AU52" s="15">
        <f>AM52-'GENEL HEDEF'!V52</f>
        <v>0</v>
      </c>
      <c r="AV52" s="45">
        <f t="shared" si="43"/>
        <v>9.51</v>
      </c>
    </row>
    <row r="53" spans="2:48" ht="12.75" customHeight="1" x14ac:dyDescent="0.15">
      <c r="B53" s="31">
        <v>222</v>
      </c>
      <c r="C53" s="1" t="s">
        <v>174</v>
      </c>
      <c r="D53" s="125"/>
      <c r="E53" s="22"/>
      <c r="F53" s="23">
        <f>IF(ISERROR(VLOOKUP($B53,[1]Hedef!$A$4:$ES$45409,103,0)),0,VLOOKUP($B53,[1]Hedef!$A$4:$ES$45409,103,0))</f>
        <v>1.8E-3</v>
      </c>
      <c r="G53" s="23" t="str">
        <f t="shared" ref="G53" si="122">IF((E53-F53)&lt;0, "-", (E53-F53))</f>
        <v>-</v>
      </c>
      <c r="H53" s="80" t="e">
        <f t="shared" si="116"/>
        <v>#DIV/0!</v>
      </c>
      <c r="J53" s="44"/>
      <c r="K53" s="11">
        <f t="shared" ref="K53" si="123">IF(ISERROR((F53-J53)/J53),0,(F53-J53)/J53)</f>
        <v>0</v>
      </c>
      <c r="M53" s="22"/>
      <c r="N53" s="23">
        <f>IF(ISERROR(VLOOKUP($B53,[1]Hedef!$A$4:$ES$45409,105,0)),0,VLOOKUP($B53,[1]Hedef!$A$4:$ES$45409,105,0))</f>
        <v>0</v>
      </c>
      <c r="O53" s="23">
        <f t="shared" ref="O53" si="124">IF((M53-N53)&lt;0, "-", (M53-N53))</f>
        <v>0</v>
      </c>
      <c r="P53" s="80" t="e">
        <f t="shared" si="117"/>
        <v>#DIV/0!</v>
      </c>
      <c r="R53" s="44"/>
      <c r="S53" s="11">
        <f t="shared" ref="S53" si="125">IF(ISERROR((N53-R53)/R53),0,(N53-R53)/R53)</f>
        <v>0</v>
      </c>
      <c r="U53" s="12"/>
      <c r="V53" s="23">
        <f>IF(ISERROR(VLOOKUP($B53,[1]Hedef!$A$4:$ES$45409,107,0)),0,VLOOKUP($B53,[1]Hedef!$A$4:$ES$45409,107,0))</f>
        <v>0</v>
      </c>
      <c r="W53" s="23">
        <f t="shared" ref="W53" si="126">IF((U53-V53)&lt;0, "-", (U53-V53))</f>
        <v>0</v>
      </c>
      <c r="X53" s="80" t="e">
        <f t="shared" si="118"/>
        <v>#DIV/0!</v>
      </c>
      <c r="Z53" s="44"/>
      <c r="AA53" s="11">
        <f>IF(ISERROR((V53-Z53)/Z53),0,(V53-Z53)/Z53)</f>
        <v>0</v>
      </c>
      <c r="AC53" s="22"/>
      <c r="AD53" s="23">
        <f>IF(ISERROR(VLOOKUP($B53,[1]Hedef!$A$4:$ES$45409,45,0)),0,VLOOKUP($B53,[1]Hedef!$A$4:$ES$45409,45,0))</f>
        <v>0</v>
      </c>
      <c r="AE53" s="23">
        <f>IF((AC53-AD53)&lt;0, "-", (AC53-AD53))</f>
        <v>0</v>
      </c>
      <c r="AF53" s="80"/>
      <c r="AH53" s="44"/>
      <c r="AI53" s="11">
        <f>IF(ISERROR((AD53-AH53)/AH53),0,(AD53-AH53)/AH53)</f>
        <v>0</v>
      </c>
      <c r="AL53" s="22">
        <f t="shared" ref="AL53" si="127">AC53+U53+M53+E53</f>
        <v>0</v>
      </c>
      <c r="AM53" s="23">
        <f t="shared" ref="AM53" si="128">N53+V53+AD53+F53</f>
        <v>1.8E-3</v>
      </c>
      <c r="AN53" s="23" t="str">
        <f t="shared" ref="AN53" si="129">IF((AL53-AM53)&lt;0, "-", (AL53-AM53))</f>
        <v>-</v>
      </c>
      <c r="AO53" s="80" t="e">
        <f t="shared" si="120"/>
        <v>#DIV/0!</v>
      </c>
      <c r="AP53" s="22">
        <v>0</v>
      </c>
      <c r="AQ53" s="22">
        <f t="shared" ref="AQ53" si="130">AH53+Z53+R53+J53</f>
        <v>0</v>
      </c>
      <c r="AR53" s="11">
        <f>IF(ISERROR((AM53-AQ53)/AQ53),0,(AM53-AQ53)/AQ53)</f>
        <v>0</v>
      </c>
      <c r="AT53" s="12">
        <f>AL53-'GENEL HEDEF'!U53</f>
        <v>-0.3</v>
      </c>
      <c r="AU53" s="15">
        <f>AM53-'GENEL HEDEF'!V53</f>
        <v>0</v>
      </c>
      <c r="AV53" s="45">
        <f>AT53*-1</f>
        <v>0.3</v>
      </c>
    </row>
    <row r="54" spans="2:48" ht="12.75" customHeight="1" x14ac:dyDescent="0.15">
      <c r="B54" s="31">
        <v>28</v>
      </c>
      <c r="C54" s="1" t="s">
        <v>29</v>
      </c>
      <c r="D54" s="125"/>
      <c r="E54" s="22"/>
      <c r="F54" s="23">
        <f>IF(ISERROR(VLOOKUP($B54,[1]Hedef!$A$4:$ES$45409,103,0)),0,VLOOKUP($B54,[1]Hedef!$A$4:$ES$45409,103,0))</f>
        <v>0</v>
      </c>
      <c r="G54" s="23">
        <f t="shared" si="121"/>
        <v>0</v>
      </c>
      <c r="H54" s="80"/>
      <c r="J54" s="44">
        <v>0</v>
      </c>
      <c r="K54" s="11">
        <f t="shared" si="101"/>
        <v>0</v>
      </c>
      <c r="M54" s="22"/>
      <c r="N54" s="23">
        <f>IF(ISERROR(VLOOKUP($B54,[1]Hedef!$A$4:$ES$45409,105,0)),0,VLOOKUP($B54,[1]Hedef!$A$4:$ES$45409,105,0))</f>
        <v>0</v>
      </c>
      <c r="O54" s="23">
        <f t="shared" si="102"/>
        <v>0</v>
      </c>
      <c r="P54" s="80"/>
      <c r="R54" s="44">
        <v>1.2959999999999999E-2</v>
      </c>
      <c r="S54" s="11">
        <f t="shared" si="103"/>
        <v>-1</v>
      </c>
      <c r="U54" s="12"/>
      <c r="V54" s="23">
        <f>IF(ISERROR(VLOOKUP($B54,[1]Hedef!$A$4:$ES$45409,107,0)),0,VLOOKUP($B54,[1]Hedef!$A$4:$ES$45409,107,0))</f>
        <v>0</v>
      </c>
      <c r="W54" s="23">
        <f t="shared" si="114"/>
        <v>0</v>
      </c>
      <c r="X54" s="80"/>
      <c r="Z54" s="44">
        <v>0.13364000000000001</v>
      </c>
      <c r="AA54" s="11">
        <f>IF(ISERROR((V54-Z54)/Z54),0,(V54-Z54)/Z54)</f>
        <v>-1</v>
      </c>
      <c r="AC54" s="22"/>
      <c r="AD54" s="23">
        <f>IF(ISERROR(VLOOKUP($B54,[1]Hedef!$A$4:$ES$45409,45,0)),0,VLOOKUP($B54,[1]Hedef!$A$4:$ES$45409,45,0))</f>
        <v>0</v>
      </c>
      <c r="AE54" s="23">
        <f>IF((AC54-AD54)&lt;0, "-", (AC54-AD54))</f>
        <v>0</v>
      </c>
      <c r="AF54" s="80"/>
      <c r="AH54" s="44"/>
      <c r="AI54" s="11">
        <f>IF(ISERROR((AD54-AH54)/AH54),0,(AD54-AH54)/AH54)</f>
        <v>0</v>
      </c>
      <c r="AL54" s="22">
        <f t="shared" si="108"/>
        <v>0</v>
      </c>
      <c r="AM54" s="23">
        <f t="shared" si="109"/>
        <v>0</v>
      </c>
      <c r="AN54" s="23">
        <f t="shared" si="110"/>
        <v>0</v>
      </c>
      <c r="AO54" s="80"/>
      <c r="AP54" s="22">
        <v>0</v>
      </c>
      <c r="AQ54" s="22">
        <f t="shared" si="111"/>
        <v>0.14660000000000001</v>
      </c>
      <c r="AR54" s="11">
        <f>IF(ISERROR((AM54-AQ54)/AQ54),0,(AM54-AQ54)/AQ54)</f>
        <v>-1</v>
      </c>
      <c r="AT54" s="12">
        <f>AL54-'GENEL HEDEF'!U54</f>
        <v>0</v>
      </c>
      <c r="AU54" s="15">
        <f>AM54-'GENEL HEDEF'!V54</f>
        <v>0</v>
      </c>
      <c r="AV54" s="45">
        <f>AT54*-1</f>
        <v>0</v>
      </c>
    </row>
    <row r="55" spans="2:48" ht="12.75" customHeight="1" x14ac:dyDescent="0.15">
      <c r="B55" s="18">
        <v>32</v>
      </c>
      <c r="C55" s="1" t="s">
        <v>30</v>
      </c>
      <c r="D55" s="125"/>
      <c r="E55" s="22"/>
      <c r="F55" s="23">
        <f>IF(ISERROR(VLOOKUP($B55,[1]Hedef!$A$4:$ES$45409,103,0)),0,VLOOKUP($B55,[1]Hedef!$A$4:$ES$45409,103,0))</f>
        <v>6.0240000000000002E-2</v>
      </c>
      <c r="G55" s="23" t="str">
        <f t="shared" si="121"/>
        <v>-</v>
      </c>
      <c r="H55" s="80" t="e">
        <f t="shared" si="116"/>
        <v>#DIV/0!</v>
      </c>
      <c r="J55" s="44">
        <v>0.43956000000000001</v>
      </c>
      <c r="K55" s="11">
        <f t="shared" si="101"/>
        <v>-0.86295386295386289</v>
      </c>
      <c r="M55" s="22"/>
      <c r="N55" s="23">
        <f>IF(ISERROR(VLOOKUP($B55,[1]Hedef!$A$4:$ES$45409,105,0)),0,VLOOKUP($B55,[1]Hedef!$A$4:$ES$45409,105,0))</f>
        <v>4.4700000000000004E-2</v>
      </c>
      <c r="O55" s="23" t="str">
        <f t="shared" si="102"/>
        <v>-</v>
      </c>
      <c r="P55" s="80" t="e">
        <f t="shared" si="117"/>
        <v>#DIV/0!</v>
      </c>
      <c r="R55" s="44">
        <v>-5.3650000000000003E-2</v>
      </c>
      <c r="S55" s="11">
        <f t="shared" si="103"/>
        <v>-1.8331780055917988</v>
      </c>
      <c r="U55" s="22"/>
      <c r="V55" s="23">
        <f>IF(ISERROR(VLOOKUP($B55,[1]Hedef!$A$4:$ES$45409,107,0)),0,VLOOKUP($B55,[1]Hedef!$A$4:$ES$45409,107,0))</f>
        <v>1.6279999999999999E-2</v>
      </c>
      <c r="W55" s="23" t="str">
        <f t="shared" si="104"/>
        <v>-</v>
      </c>
      <c r="X55" s="80" t="e">
        <f t="shared" si="118"/>
        <v>#DIV/0!</v>
      </c>
      <c r="Z55" s="44">
        <v>1.1099999999999999E-2</v>
      </c>
      <c r="AA55" s="11">
        <f>IF(ISERROR((V55-Z55)/Z55),0,(V55-Z55)/Z55)</f>
        <v>0.46666666666666679</v>
      </c>
      <c r="AC55" s="22"/>
      <c r="AD55" s="23">
        <f>IF(ISERROR(VLOOKUP($B55,[1]Hedef!$A$4:$ES$45409,45,0)),0,VLOOKUP($B55,[1]Hedef!$A$4:$ES$45409,45,0))</f>
        <v>0</v>
      </c>
      <c r="AE55" s="23">
        <f t="shared" si="106"/>
        <v>0</v>
      </c>
      <c r="AF55" s="80" t="e">
        <f>TRUNC(IF((AD55/AC55)&gt;1.2,"120%",(AD55/AC55)),2)</f>
        <v>#DIV/0!</v>
      </c>
      <c r="AH55" s="44"/>
      <c r="AI55" s="11">
        <f>IF(ISERROR((AD55-AH55)/AH55),0,(AD55-AH55)/AH55)</f>
        <v>0</v>
      </c>
      <c r="AL55" s="22">
        <f t="shared" si="108"/>
        <v>0</v>
      </c>
      <c r="AM55" s="23">
        <f t="shared" si="109"/>
        <v>0.12122000000000001</v>
      </c>
      <c r="AN55" s="23" t="str">
        <f t="shared" si="110"/>
        <v>-</v>
      </c>
      <c r="AO55" s="80" t="e">
        <f t="shared" si="120"/>
        <v>#DIV/0!</v>
      </c>
      <c r="AP55" s="22">
        <v>0</v>
      </c>
      <c r="AQ55" s="22">
        <f t="shared" si="111"/>
        <v>0.39700999999999997</v>
      </c>
      <c r="AR55" s="11">
        <f t="shared" si="112"/>
        <v>-0.69466764061358655</v>
      </c>
      <c r="AT55" s="12">
        <f>AL55-'GENEL HEDEF'!U55</f>
        <v>-0.5</v>
      </c>
      <c r="AU55" s="15">
        <f>AM55-'GENEL HEDEF'!V55</f>
        <v>0</v>
      </c>
      <c r="AV55" s="45">
        <f t="shared" si="43"/>
        <v>0.5</v>
      </c>
    </row>
    <row r="56" spans="2:48" ht="12.75" customHeight="1" thickBot="1" x14ac:dyDescent="0.2">
      <c r="B56" s="18">
        <v>42</v>
      </c>
      <c r="C56" s="1" t="s">
        <v>31</v>
      </c>
      <c r="D56" s="125"/>
      <c r="E56" s="22"/>
      <c r="F56" s="23">
        <f>IF(ISERROR(VLOOKUP($B56,[1]Hedef!$A$4:$ES$45409,103,0)),0,VLOOKUP($B56,[1]Hedef!$A$4:$ES$45409,103,0))</f>
        <v>4</v>
      </c>
      <c r="G56" s="23" t="str">
        <f t="shared" si="121"/>
        <v>-</v>
      </c>
      <c r="H56" s="80" t="e">
        <f t="shared" si="116"/>
        <v>#DIV/0!</v>
      </c>
      <c r="J56" s="44">
        <v>178</v>
      </c>
      <c r="K56" s="11">
        <f t="shared" si="101"/>
        <v>-0.97752808988764039</v>
      </c>
      <c r="M56" s="22"/>
      <c r="N56" s="23">
        <f>IF(ISERROR(VLOOKUP($B56,[1]Hedef!$A$4:$ES$45409,105,0)),0,VLOOKUP($B56,[1]Hedef!$A$4:$ES$45409,105,0))</f>
        <v>0</v>
      </c>
      <c r="O56" s="23">
        <f t="shared" si="102"/>
        <v>0</v>
      </c>
      <c r="P56" s="80"/>
      <c r="R56" s="44">
        <v>0</v>
      </c>
      <c r="S56" s="11">
        <f t="shared" si="103"/>
        <v>0</v>
      </c>
      <c r="U56" s="22"/>
      <c r="V56" s="23">
        <f>IF(ISERROR(VLOOKUP($B56,[1]Hedef!$A$4:$ES$45409,107,0)),0,VLOOKUP($B56,[1]Hedef!$A$4:$ES$45409,107,0))</f>
        <v>0</v>
      </c>
      <c r="W56" s="23">
        <f t="shared" si="104"/>
        <v>0</v>
      </c>
      <c r="X56" s="80"/>
      <c r="Z56" s="44">
        <v>0</v>
      </c>
      <c r="AA56" s="11">
        <f>IF(ISERROR((V56-Z56)/Z56),0,(V56-Z56)/Z56)</f>
        <v>0</v>
      </c>
      <c r="AC56" s="22"/>
      <c r="AD56" s="23">
        <f>IF(ISERROR(VLOOKUP($B56,[1]Hedef!$A$4:$ES$45409,45,0)),0,VLOOKUP($B56,[1]Hedef!$A$4:$ES$45409,45,0))</f>
        <v>0</v>
      </c>
      <c r="AE56" s="23">
        <f t="shared" si="106"/>
        <v>0</v>
      </c>
      <c r="AF56" s="80"/>
      <c r="AH56" s="44"/>
      <c r="AI56" s="11">
        <f>IF(ISERROR((AD56-AH56)/AH56),0,(AD56-AH56)/AH56)</f>
        <v>0</v>
      </c>
      <c r="AL56" s="22">
        <f t="shared" si="108"/>
        <v>0</v>
      </c>
      <c r="AM56" s="23">
        <f t="shared" si="109"/>
        <v>4</v>
      </c>
      <c r="AN56" s="23" t="str">
        <f t="shared" si="110"/>
        <v>-</v>
      </c>
      <c r="AO56" s="80" t="e">
        <f t="shared" si="120"/>
        <v>#DIV/0!</v>
      </c>
      <c r="AP56" s="22">
        <v>0</v>
      </c>
      <c r="AQ56" s="22">
        <f t="shared" si="111"/>
        <v>178</v>
      </c>
      <c r="AR56" s="11">
        <f t="shared" si="112"/>
        <v>-0.97752808988764039</v>
      </c>
      <c r="AT56" s="12">
        <f>AL56-'GENEL HEDEF'!U56</f>
        <v>-171</v>
      </c>
      <c r="AU56" s="15">
        <f>AM56-'GENEL HEDEF'!V56</f>
        <v>0</v>
      </c>
      <c r="AV56" s="45">
        <f t="shared" si="43"/>
        <v>171</v>
      </c>
    </row>
    <row r="57" spans="2:48" ht="12.75" customHeight="1" thickTop="1" thickBot="1" x14ac:dyDescent="0.2">
      <c r="B57" s="18"/>
      <c r="C57" s="2" t="s">
        <v>32</v>
      </c>
      <c r="D57" s="126"/>
      <c r="E57" s="67">
        <f>SUM(E46:E56)</f>
        <v>0</v>
      </c>
      <c r="F57" s="67">
        <f>SUM(F46:F56)</f>
        <v>4.8153867999999997</v>
      </c>
      <c r="G57" s="67">
        <f>SUM(G46:G56)</f>
        <v>0</v>
      </c>
      <c r="H57" s="39" t="e">
        <f>TRUNC(IF((F57/E57)&gt;1.2,"120%",(F57/E57)),2)</f>
        <v>#DIV/0!</v>
      </c>
      <c r="J57" s="67"/>
      <c r="K57" s="48"/>
      <c r="M57" s="67">
        <f>SUM(M46:M56)</f>
        <v>0</v>
      </c>
      <c r="N57" s="67">
        <f>SUM(N46:N56)</f>
        <v>0.15560299999999999</v>
      </c>
      <c r="O57" s="67">
        <f>SUM(O46:O56)</f>
        <v>0</v>
      </c>
      <c r="P57" s="39" t="e">
        <f>TRUNC(IF((N57/M57)&gt;1.2,"120%",(N57/M57)),2)</f>
        <v>#DIV/0!</v>
      </c>
      <c r="Q57" s="78"/>
      <c r="R57" s="67"/>
      <c r="S57" s="48"/>
      <c r="T57" s="78"/>
      <c r="U57" s="67">
        <f>SUM(U46:U56)</f>
        <v>0</v>
      </c>
      <c r="V57" s="67">
        <f>SUM(V46:V56)</f>
        <v>0.32444300000000004</v>
      </c>
      <c r="W57" s="67">
        <f>SUM(W46:W56)</f>
        <v>0</v>
      </c>
      <c r="X57" s="39" t="e">
        <f>TRUNC(IF((V57/U57)&gt;1.2,"120%",(V57/U57)),2)</f>
        <v>#DIV/0!</v>
      </c>
      <c r="Y57" s="78"/>
      <c r="Z57" s="67"/>
      <c r="AA57" s="48"/>
      <c r="AB57" s="78"/>
      <c r="AC57" s="67">
        <f>SUM(AC46:AC56)</f>
        <v>0</v>
      </c>
      <c r="AD57" s="67">
        <f>SUM(AD46:AD56)</f>
        <v>0</v>
      </c>
      <c r="AE57" s="67">
        <f>SUM(AE46:AE56)</f>
        <v>0</v>
      </c>
      <c r="AF57" s="39" t="e">
        <f>TRUNC(IF((AD57/AC57)&gt;1.2,"120%",(AD57/AC57)),2)</f>
        <v>#DIV/0!</v>
      </c>
      <c r="AG57" s="78"/>
      <c r="AH57" s="67"/>
      <c r="AI57" s="48"/>
      <c r="AJ57" s="78"/>
      <c r="AK57" s="78"/>
      <c r="AL57" s="67">
        <f>SUM(AL46:AL56)</f>
        <v>0</v>
      </c>
      <c r="AM57" s="67">
        <f>SUM(AM46:AM56)</f>
        <v>5.2954328000000004</v>
      </c>
      <c r="AN57" s="67">
        <f>SUM(AN46:AN56)</f>
        <v>0</v>
      </c>
      <c r="AO57" s="39" t="e">
        <f>TRUNC(IF((AM57/AL57)&gt;1.2,"120%",(AM57/AL57)),2)</f>
        <v>#DIV/0!</v>
      </c>
      <c r="AP57" s="78"/>
      <c r="AQ57" s="67"/>
      <c r="AR57" s="113"/>
      <c r="AS57" s="78"/>
      <c r="AT57" s="67">
        <f t="shared" ref="AT57:AU57" si="131">SUM(AT46:AT56)</f>
        <v>-192.66</v>
      </c>
      <c r="AU57" s="67">
        <f t="shared" si="131"/>
        <v>0</v>
      </c>
      <c r="AV57" s="45">
        <f t="shared" si="43"/>
        <v>192.66</v>
      </c>
    </row>
    <row r="58" spans="2:48" ht="13" thickTop="1" x14ac:dyDescent="0.15">
      <c r="AT58" s="4"/>
    </row>
    <row r="59" spans="2:48" x14ac:dyDescent="0.15">
      <c r="H59" s="37" t="e">
        <f>TRUNC((H56+H55+H46+H44+H41+H40+H38+H37+H36+H35+H34+H33+H32+H31+H11+H29+H28+H27+H26+H25+H23+H22+H19+H18+H16+H15+H14+H12+H10+H9+H8+H7+H6+H5+H48+H24+H52+H42+H54+H43+H50+H47+H51+H49+H53)/38,2)</f>
        <v>#DIV/0!</v>
      </c>
      <c r="J59" s="69" t="s">
        <v>41</v>
      </c>
      <c r="K59" s="52">
        <f>COUNTIF(K5:K56,"&gt;10%")</f>
        <v>1</v>
      </c>
      <c r="P59" s="37" t="e">
        <f>TRUNC((P56+P55+P46+P44+P41+P40+P38+P37+P36+P35+P34+P33+P32+P31+P11+P29+P28+P27+P26+P25+P23+P22+P19+P18+P16+P15+P14+P12+P10+P9+P8+P7+P6+P5+P48+P24+P52+P42+P54+P43+P50+P47+P51+P49+P53)/40,2)</f>
        <v>#DIV/0!</v>
      </c>
      <c r="Q59" s="37"/>
      <c r="R59" s="69" t="s">
        <v>41</v>
      </c>
      <c r="S59" s="52">
        <f>COUNTIF(S5:S56,"&gt;10%")</f>
        <v>0</v>
      </c>
      <c r="X59" s="37" t="e">
        <f>TRUNC((X56+X55+X46+X44+X41+X40+X38+X37+X36+X35+X34+X33+X32+X31+X11+X29+X28+X27+X26+X25+X23+X22+X19+X18+X16+X15+X14+X12+X10+X9+X8+X7+X6+X5+X48+X24+X52+X42+X54+X43+X50+X47+X51+X49+X53)/39,2)</f>
        <v>#DIV/0!</v>
      </c>
      <c r="Z59" s="69" t="s">
        <v>41</v>
      </c>
      <c r="AA59" s="52">
        <f>COUNTIF(AA5:AA56,"&gt;10%")</f>
        <v>1</v>
      </c>
      <c r="AF59" s="37" t="e">
        <f>TRUNC((AF56+AF55+AF46+AF44+AF41+AF40+AF38+AF37+AF36+AF35+AF34+AF33+AF32+AF31+AF11+AF29+AF28+AF27+AF26+AF25+AF23+AF22+AF19+AF18+AF16+AF15+AF14+AF12+AF10+AF9+AF8+AF7+AF6+AF5+AF48+AF24+AF52+AF42+AF54+AF43+AF50+AF47+AF51+#REF!)/36,2)</f>
        <v>#DIV/0!</v>
      </c>
      <c r="AH59" s="69" t="s">
        <v>41</v>
      </c>
      <c r="AI59" s="52">
        <f>COUNTIF(AI5:AI56,"&gt;10%")</f>
        <v>0</v>
      </c>
      <c r="AO59" s="37" t="e">
        <f>TRUNC((AO56+AO55+AO46+AO44+AO41+AO40+AO38+AO37+AO36+AO35+AO34+AO33+AO32+AO31+AO11+AO29+AO28+AO27+AO26+AO25+AO23+AO22+AO19+AO18+AO16+AO15+AO14+AO12+AO10+AO9+AO8+AO7+AO6+AO5+AO48+AO24+AO52+AO42+AO54+AO43+AO50+AO47+AO51+AO49+AO53)/42,2)</f>
        <v>#DIV/0!</v>
      </c>
      <c r="AQ59" s="69" t="s">
        <v>41</v>
      </c>
      <c r="AR59" s="52">
        <f>COUNTIF(AR5:AR56,"&gt;10%")</f>
        <v>1</v>
      </c>
    </row>
    <row r="60" spans="2:48" x14ac:dyDescent="0.15">
      <c r="J60" s="54"/>
      <c r="K60" s="53"/>
      <c r="R60" s="54"/>
      <c r="S60" s="53"/>
      <c r="Z60" s="54"/>
      <c r="AA60" s="53"/>
      <c r="AH60" s="54"/>
      <c r="AI60" s="53"/>
      <c r="AR60" s="53"/>
    </row>
    <row r="61" spans="2:48" ht="13" thickBot="1" x14ac:dyDescent="0.2">
      <c r="B61" s="18"/>
    </row>
    <row r="62" spans="2:48" s="78" customFormat="1" ht="14" thickTop="1" thickBot="1" x14ac:dyDescent="0.2">
      <c r="B62" s="117" t="s">
        <v>40</v>
      </c>
      <c r="C62" s="2" t="s">
        <v>39</v>
      </c>
      <c r="D62" s="126"/>
      <c r="E62" s="41"/>
      <c r="F62" s="41">
        <f>IF(ISERROR(VLOOKUP($B62,[1]Hedef!$A$4:$ES$45409,103,0)),0,VLOOKUP($B62,[1]Hedef!$A$4:$ES$45409,103,0))</f>
        <v>60687.05</v>
      </c>
      <c r="G62" s="41" t="str">
        <f>IF((E62-F62)&lt;0, "-", (E62-F62))</f>
        <v>-</v>
      </c>
      <c r="H62" s="39" t="e">
        <f>IF((F62/E62)&gt;1,"100.0%",(F62/E62))</f>
        <v>#DIV/0!</v>
      </c>
      <c r="J62" s="79"/>
      <c r="M62" s="41"/>
      <c r="N62" s="41">
        <f>IF(ISERROR(VLOOKUP($B62,[1]Hedef!$A$4:$ES$45409,106,0)),0,VLOOKUP($B62,[1]Hedef!$A$4:$ES$45409,106,0))</f>
        <v>11194.54</v>
      </c>
      <c r="O62" s="41" t="str">
        <f>IF((M62-N62)&lt;0, "-", (M62-N62))</f>
        <v>-</v>
      </c>
      <c r="P62" s="39" t="e">
        <f>IF((N62/M62)&gt;1,"100.0%",(N62/M62))</f>
        <v>#DIV/0!</v>
      </c>
      <c r="R62" s="79"/>
      <c r="U62" s="41"/>
      <c r="V62" s="41">
        <f>IF(ISERROR(VLOOKUP($B62,[1]Hedef!$A$4:$ES$45409,108,0)),0,VLOOKUP($B62,[1]Hedef!$A$4:$ES$45409,108,0))</f>
        <v>18608.11</v>
      </c>
      <c r="W62" s="41" t="str">
        <f>IF((U62-V62)&lt;0, "-", (U62-V62))</f>
        <v>-</v>
      </c>
      <c r="X62" s="39" t="e">
        <f>IF((V62/U62)&gt;1,"100.0%",(V62/U62))</f>
        <v>#DIV/0!</v>
      </c>
      <c r="Z62" s="79"/>
      <c r="AC62" s="41"/>
      <c r="AD62" s="41">
        <f>IF(ISERROR(VLOOKUP($B62,[1]Hedef!$A$4:$ES$45409,45,0)),0,VLOOKUP($B62,[1]Hedef!$A$4:$ES$45409,45,0))</f>
        <v>0</v>
      </c>
      <c r="AE62" s="41">
        <f>IF((AC62-AD62)&lt;0, "-", (AC62-AD62))</f>
        <v>0</v>
      </c>
      <c r="AF62" s="39" t="e">
        <f>IF((AD62/AC62)&gt;1,"100.0%",(AD62/AC62))</f>
        <v>#DIV/0!</v>
      </c>
      <c r="AH62" s="79"/>
      <c r="AL62" s="41">
        <f>M62+U62+AC62+E62</f>
        <v>0</v>
      </c>
      <c r="AM62" s="41">
        <f t="shared" ref="AM62" si="132">N62+V62+AD62+F62</f>
        <v>90489.700000000012</v>
      </c>
      <c r="AN62" s="41" t="str">
        <f>IF((AL62-AM62)&lt;0, "-", (AL62-AM62))</f>
        <v>-</v>
      </c>
      <c r="AO62" s="39" t="e">
        <f>IF((AM62/AL62)&gt;1,"100.0%",(AM62/AL62))</f>
        <v>#DIV/0!</v>
      </c>
      <c r="AQ62" s="107"/>
      <c r="AS62" s="79"/>
      <c r="AU62" s="79"/>
    </row>
    <row r="63" spans="2:48" s="78" customFormat="1" ht="14" thickTop="1" thickBot="1" x14ac:dyDescent="0.2">
      <c r="B63" s="118"/>
      <c r="E63" s="107"/>
      <c r="J63" s="79"/>
      <c r="M63" s="107"/>
      <c r="R63" s="79"/>
      <c r="U63" s="107"/>
      <c r="Z63" s="79"/>
      <c r="AC63" s="107"/>
      <c r="AH63" s="79"/>
      <c r="AL63" s="79"/>
      <c r="AQ63" s="107"/>
      <c r="AS63" s="79"/>
      <c r="AU63" s="79"/>
    </row>
    <row r="64" spans="2:48" s="78" customFormat="1" ht="14" thickTop="1" thickBot="1" x14ac:dyDescent="0.2">
      <c r="B64" s="55" t="s">
        <v>42</v>
      </c>
      <c r="C64" s="2" t="s">
        <v>43</v>
      </c>
      <c r="D64" s="126"/>
      <c r="E64" s="107"/>
      <c r="F64" s="41">
        <f>IF(ISERROR(VLOOKUP($B64,[1]Hedef!$A$4:$ES$45409,104,0)),0,VLOOKUP($B64,[1]Hedef!$A$4:$ES$45409,104,0))</f>
        <v>1429.78</v>
      </c>
      <c r="G64" s="56">
        <f>F64/F62</f>
        <v>2.3559886334893521E-2</v>
      </c>
      <c r="H64" s="107"/>
      <c r="J64" s="79"/>
      <c r="M64" s="107"/>
      <c r="N64" s="41">
        <f>IF(ISERROR(VLOOKUP($B64,[1]Hedef!$A$4:$ES$45409,106,0)),0,VLOOKUP($B64,[1]Hedef!$A$4:$ES$45409,106,0))</f>
        <v>356.16</v>
      </c>
      <c r="O64" s="56">
        <f>N64/N62</f>
        <v>3.1815510061154816E-2</v>
      </c>
      <c r="P64" s="107"/>
      <c r="R64" s="79"/>
      <c r="U64" s="107"/>
      <c r="V64" s="41">
        <f>IF(ISERROR(VLOOKUP($B64,[1]Hedef!$A$4:$ES$45409,108,0)),0,VLOOKUP($B64,[1]Hedef!$A$4:$ES$45409,108,0))</f>
        <v>1938.22</v>
      </c>
      <c r="W64" s="56">
        <f>V64/V62</f>
        <v>0.10415996036136932</v>
      </c>
      <c r="X64" s="107"/>
      <c r="Z64" s="79"/>
      <c r="AC64" s="107"/>
      <c r="AD64" s="41">
        <f>IF(ISERROR(VLOOKUP($B64,[1]Hedef!$A$4:$ES$45409,46,0)),0,VLOOKUP($B64,[1]Hedef!$A$4:$ES$45409,46,0))</f>
        <v>0</v>
      </c>
      <c r="AE64" s="56" t="e">
        <f>AD64/AD62</f>
        <v>#DIV/0!</v>
      </c>
      <c r="AF64" s="107"/>
      <c r="AH64" s="79"/>
      <c r="AL64" s="79"/>
      <c r="AM64" s="41">
        <f t="shared" ref="AM64" si="133">N64+V64+AD64+F64</f>
        <v>3724.16</v>
      </c>
      <c r="AN64" s="56">
        <f>AM64/AM62</f>
        <v>4.1155623236677756E-2</v>
      </c>
      <c r="AO64" s="107"/>
      <c r="AQ64" s="107"/>
      <c r="AS64" s="79"/>
      <c r="AU64" s="79"/>
    </row>
    <row r="65" spans="3:3" ht="13" thickTop="1" x14ac:dyDescent="0.15"/>
    <row r="68" spans="3:3" x14ac:dyDescent="0.15">
      <c r="C68" s="150"/>
    </row>
    <row r="69" spans="3:3" x14ac:dyDescent="0.15">
      <c r="C69" s="150"/>
    </row>
    <row r="70" spans="3:3" x14ac:dyDescent="0.15">
      <c r="C70" s="150"/>
    </row>
  </sheetData>
  <autoFilter ref="A4:AW57" xr:uid="{00000000-0009-0000-0000-000003000000}">
    <filterColumn colId="45" showButton="0"/>
  </autoFilter>
  <mergeCells count="7">
    <mergeCell ref="AL2:AO3"/>
    <mergeCell ref="AT4:AU4"/>
    <mergeCell ref="C2:C4"/>
    <mergeCell ref="M2:P3"/>
    <mergeCell ref="U2:X3"/>
    <mergeCell ref="AC2:AF3"/>
    <mergeCell ref="E2:H3"/>
  </mergeCells>
  <conditionalFormatting sqref="H5:H12 P5:P12 X5:X12 AF5:AF12 AO5:AO12 Q8 AP8 H14:H16 P14:P16 X14:X16 AF14:AF16 AO14:AO16 H18:H19 P18:P19 X18:X19 AF18:AF19 AO18:AO19 P22:P29 X22:X29 AO22:AO29 H31:H38 P31:P38 X31:X38 AF31:AF38 AO31:AO38 H40:H44 P40:P44 X40:X44 AF40:AF44 AO40:AO44">
    <cfRule type="cellIs" dxfId="165" priority="115" operator="greaterThanOrEqual">
      <formula>1.2</formula>
    </cfRule>
    <cfRule type="cellIs" dxfId="164" priority="116" operator="greaterThanOrEqual">
      <formula>120</formula>
    </cfRule>
  </conditionalFormatting>
  <conditionalFormatting sqref="H22:H29">
    <cfRule type="cellIs" dxfId="163" priority="7" operator="greaterThanOrEqual">
      <formula>1.2</formula>
    </cfRule>
    <cfRule type="cellIs" dxfId="162" priority="8" operator="greaterThanOrEqual">
      <formula>120</formula>
    </cfRule>
  </conditionalFormatting>
  <conditionalFormatting sqref="H46:H56">
    <cfRule type="cellIs" dxfId="161" priority="19" operator="greaterThanOrEqual">
      <formula>1.2</formula>
    </cfRule>
    <cfRule type="cellIs" dxfId="160" priority="20" operator="greaterThanOrEqual">
      <formula>120</formula>
    </cfRule>
  </conditionalFormatting>
  <conditionalFormatting sqref="P46:P56">
    <cfRule type="cellIs" dxfId="159" priority="17" operator="greaterThanOrEqual">
      <formula>1.2</formula>
    </cfRule>
    <cfRule type="cellIs" dxfId="158" priority="18" operator="greaterThanOrEqual">
      <formula>120</formula>
    </cfRule>
  </conditionalFormatting>
  <conditionalFormatting sqref="X46:X56">
    <cfRule type="cellIs" dxfId="157" priority="15" operator="greaterThanOrEqual">
      <formula>1.2</formula>
    </cfRule>
    <cfRule type="cellIs" dxfId="156" priority="16" operator="greaterThanOrEqual">
      <formula>120</formula>
    </cfRule>
  </conditionalFormatting>
  <conditionalFormatting sqref="AF1:AF12 AF14:AF16 AF18:AF19 AF31:AF38 AF40:AF44 AI13 AI17 AH20 AI20:AI21 AI30 AI39:AI40 AI45 AI57 AF58 AF60:AF1048576 AE64">
    <cfRule type="cellIs" dxfId="155" priority="131" operator="greaterThanOrEqual">
      <formula>100</formula>
    </cfRule>
  </conditionalFormatting>
  <conditionalFormatting sqref="AF1:AF12 AI13 AF14:AF16 AI17 AF18:AF19 AH20 AI20:AI21 AI30 AF31:AF38 AI39:AI40 AF40:AF44 AI45 AI57 AF58 AF60:AF1048576 AE64">
    <cfRule type="cellIs" dxfId="154" priority="132" operator="equal">
      <formula>120</formula>
    </cfRule>
    <cfRule type="cellIs" dxfId="153" priority="133" operator="equal">
      <formula>120</formula>
    </cfRule>
    <cfRule type="cellIs" dxfId="152" priority="134" operator="equal">
      <formula>120</formula>
    </cfRule>
  </conditionalFormatting>
  <conditionalFormatting sqref="AF22:AF29">
    <cfRule type="cellIs" dxfId="151" priority="27" operator="greaterThanOrEqual">
      <formula>1.2</formula>
    </cfRule>
    <cfRule type="cellIs" dxfId="150" priority="28" operator="greaterThanOrEqual">
      <formula>120</formula>
    </cfRule>
    <cfRule type="cellIs" dxfId="149" priority="29" operator="greaterThanOrEqual">
      <formula>100</formula>
    </cfRule>
    <cfRule type="cellIs" dxfId="148" priority="30" operator="equal">
      <formula>120</formula>
    </cfRule>
    <cfRule type="cellIs" dxfId="147" priority="31" operator="equal">
      <formula>120</formula>
    </cfRule>
    <cfRule type="cellIs" dxfId="146" priority="32" operator="equal">
      <formula>120</formula>
    </cfRule>
  </conditionalFormatting>
  <conditionalFormatting sqref="AF46:AF56">
    <cfRule type="cellIs" dxfId="145" priority="21" operator="greaterThanOrEqual">
      <formula>1.2</formula>
    </cfRule>
    <cfRule type="cellIs" dxfId="144" priority="22" operator="greaterThanOrEqual">
      <formula>120</formula>
    </cfRule>
    <cfRule type="cellIs" dxfId="143" priority="23" operator="greaterThanOrEqual">
      <formula>100</formula>
    </cfRule>
    <cfRule type="cellIs" dxfId="142" priority="24" operator="equal">
      <formula>120</formula>
    </cfRule>
    <cfRule type="cellIs" dxfId="141" priority="25" operator="equal">
      <formula>120</formula>
    </cfRule>
    <cfRule type="cellIs" dxfId="140" priority="26" operator="equal">
      <formula>120</formula>
    </cfRule>
  </conditionalFormatting>
  <conditionalFormatting sqref="AO46:AO56">
    <cfRule type="cellIs" dxfId="139" priority="13" operator="greaterThanOrEqual">
      <formula>1.2</formula>
    </cfRule>
    <cfRule type="cellIs" dxfId="138" priority="14" operator="greaterThanOrEqual">
      <formula>120</formula>
    </cfRule>
  </conditionalFormatting>
  <pageMargins left="0.17" right="0.17" top="0.74803149606299213" bottom="0.74803149606299213" header="0.31496062992125984" footer="0.31496062992125984"/>
  <pageSetup scale="50" orientation="landscape" r:id="rId1"/>
  <ignoredErrors>
    <ignoredError sqref="N59:O5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E70"/>
  <sheetViews>
    <sheetView zoomScaleNormal="100" workbookViewId="0">
      <pane xSplit="3" ySplit="4" topLeftCell="D20" activePane="bottomRight" state="frozen"/>
      <selection activeCell="C53" sqref="C53"/>
      <selection pane="topRight" activeCell="C53" sqref="C53"/>
      <selection pane="bottomLeft" activeCell="C53" sqref="C53"/>
      <selection pane="bottomRight" activeCell="M46" sqref="M46"/>
    </sheetView>
  </sheetViews>
  <sheetFormatPr baseColWidth="10" defaultColWidth="9.1640625" defaultRowHeight="12" x14ac:dyDescent="0.15"/>
  <cols>
    <col min="1" max="1" width="1.33203125" style="4" customWidth="1"/>
    <col min="2" max="2" width="4" style="19" customWidth="1"/>
    <col min="3" max="3" width="39.33203125" style="4" customWidth="1"/>
    <col min="4" max="4" width="1.33203125" style="4" customWidth="1"/>
    <col min="5" max="5" width="9.5" style="13" customWidth="1"/>
    <col min="6" max="8" width="7.83203125" style="4" customWidth="1"/>
    <col min="9" max="9" width="1.33203125" style="4" customWidth="1"/>
    <col min="10" max="10" width="9.1640625" style="13" customWidth="1"/>
    <col min="11" max="11" width="6.5" style="4" customWidth="1"/>
    <col min="12" max="12" width="1.33203125" style="4" customWidth="1"/>
    <col min="13" max="13" width="9.5" style="13" customWidth="1"/>
    <col min="14" max="16" width="7.83203125" style="4" customWidth="1"/>
    <col min="17" max="17" width="1.33203125" style="4" customWidth="1"/>
    <col min="18" max="18" width="9.1640625" style="13" customWidth="1"/>
    <col min="19" max="19" width="5.83203125" style="4" customWidth="1"/>
    <col min="20" max="20" width="1.33203125" style="4" customWidth="1"/>
    <col min="21" max="21" width="9.83203125" style="13" customWidth="1"/>
    <col min="22" max="22" width="9.1640625" style="4" customWidth="1"/>
    <col min="23" max="24" width="7.83203125" style="4" customWidth="1"/>
    <col min="25" max="25" width="1.33203125" style="4" customWidth="1"/>
    <col min="26" max="26" width="9.1640625" style="25" customWidth="1"/>
    <col min="27" max="27" width="5.1640625" style="4" customWidth="1"/>
    <col min="28" max="28" width="1.33203125" style="4" customWidth="1"/>
    <col min="29" max="29" width="9.1640625" style="13" customWidth="1"/>
    <col min="30" max="30" width="6.5" style="4" customWidth="1"/>
    <col min="31" max="31" width="9.1640625" style="19"/>
    <col min="32" max="16384" width="9.1640625" style="4"/>
  </cols>
  <sheetData>
    <row r="1" spans="2:31" ht="13" thickBot="1" x14ac:dyDescent="0.2">
      <c r="B1" s="17"/>
      <c r="C1" s="3" t="str">
        <f>'GENEL HEDEF'!C1</f>
        <v>01.05.2023 - 04.05.2023</v>
      </c>
    </row>
    <row r="2" spans="2:31" ht="5.25" customHeight="1" thickTop="1" thickBot="1" x14ac:dyDescent="0.2">
      <c r="B2" s="17"/>
      <c r="C2" s="211" t="s">
        <v>0</v>
      </c>
      <c r="E2" s="220" t="s">
        <v>150</v>
      </c>
      <c r="F2" s="221"/>
      <c r="G2" s="221"/>
      <c r="H2" s="222"/>
      <c r="M2" s="203" t="s">
        <v>167</v>
      </c>
      <c r="N2" s="204"/>
      <c r="O2" s="204"/>
      <c r="P2" s="205"/>
      <c r="U2" s="214" t="s">
        <v>168</v>
      </c>
      <c r="V2" s="215"/>
      <c r="W2" s="215"/>
      <c r="X2" s="216"/>
    </row>
    <row r="3" spans="2:31" ht="12" customHeight="1" thickBot="1" x14ac:dyDescent="0.2">
      <c r="B3" s="17"/>
      <c r="C3" s="212"/>
      <c r="E3" s="223"/>
      <c r="F3" s="224"/>
      <c r="G3" s="224"/>
      <c r="H3" s="225"/>
      <c r="M3" s="206"/>
      <c r="N3" s="207"/>
      <c r="O3" s="207"/>
      <c r="P3" s="208"/>
      <c r="U3" s="217"/>
      <c r="V3" s="218"/>
      <c r="W3" s="218"/>
      <c r="X3" s="219"/>
    </row>
    <row r="4" spans="2:31" ht="12.75" customHeight="1" thickTop="1" thickBot="1" x14ac:dyDescent="0.2">
      <c r="B4" s="17"/>
      <c r="C4" s="213"/>
      <c r="E4" s="5" t="s">
        <v>33</v>
      </c>
      <c r="F4" s="6" t="s">
        <v>34</v>
      </c>
      <c r="G4" s="6" t="s">
        <v>35</v>
      </c>
      <c r="H4" s="7" t="s">
        <v>36</v>
      </c>
      <c r="J4" s="30">
        <v>2022</v>
      </c>
      <c r="K4" s="10"/>
      <c r="M4" s="5" t="s">
        <v>33</v>
      </c>
      <c r="N4" s="6" t="s">
        <v>34</v>
      </c>
      <c r="O4" s="6" t="s">
        <v>35</v>
      </c>
      <c r="P4" s="7" t="s">
        <v>36</v>
      </c>
      <c r="R4" s="30">
        <v>2022</v>
      </c>
      <c r="S4" s="10"/>
      <c r="U4" s="5" t="s">
        <v>33</v>
      </c>
      <c r="V4" s="6" t="s">
        <v>34</v>
      </c>
      <c r="W4" s="6" t="s">
        <v>35</v>
      </c>
      <c r="X4" s="7" t="s">
        <v>36</v>
      </c>
      <c r="Z4" s="30">
        <v>2022</v>
      </c>
      <c r="AA4" s="10"/>
      <c r="AC4" s="209" t="s">
        <v>37</v>
      </c>
      <c r="AD4" s="210"/>
    </row>
    <row r="5" spans="2:31" ht="13" thickTop="1" x14ac:dyDescent="0.15">
      <c r="B5" s="31">
        <v>10000</v>
      </c>
      <c r="C5" s="88" t="s">
        <v>1</v>
      </c>
      <c r="E5" s="22"/>
      <c r="F5" s="23">
        <f>IF(ISERROR(VLOOKUP($B5,[1]Hedef!$A$4:$ES$45409,51,0)),0,VLOOKUP($B5,[1]Hedef!$A$4:$ES$45409,51,0))</f>
        <v>1.9419999999999996E-2</v>
      </c>
      <c r="G5" s="23" t="str">
        <f t="shared" ref="G5:G12" si="0">IF((E5-F5)&lt;0, "-", (E5-F5))</f>
        <v>-</v>
      </c>
      <c r="H5" s="80" t="e">
        <f>TRUNC(IF((F5/E5)&gt;1.2,"120%",(F5/E5)),2)</f>
        <v>#DIV/0!</v>
      </c>
      <c r="J5" s="44">
        <v>0.45431499999999997</v>
      </c>
      <c r="K5" s="11">
        <f>IF(ISERROR((F5-J5)/J5),0,(F5-J5)/J5)</f>
        <v>-0.95725432794426779</v>
      </c>
      <c r="M5" s="85"/>
      <c r="N5" s="23">
        <f>IF(ISERROR(VLOOKUP($B5,[1]Hedef!$A$4:$ES$45409,55,0)),0,VLOOKUP($B5,[1]Hedef!$A$4:$ES$45409,55,0))</f>
        <v>8.9714999999999989E-2</v>
      </c>
      <c r="O5" s="23" t="str">
        <f t="shared" ref="O5:O12" si="1">IF((M5-N5)&lt;0, "-", (M5-N5))</f>
        <v>-</v>
      </c>
      <c r="P5" s="80" t="e">
        <f t="shared" ref="P5:P12" si="2">TRUNC(IF((N5/M5)&gt;1.2,"120%",(N5/M5)),2)</f>
        <v>#DIV/0!</v>
      </c>
      <c r="R5" s="44">
        <v>0.17913999999999999</v>
      </c>
      <c r="S5" s="11">
        <f>IF(ISERROR((N5-R5)/R5),0,(N5-R5)/R5)</f>
        <v>-0.49919057720218829</v>
      </c>
      <c r="U5" s="22">
        <f>M5+E5</f>
        <v>0</v>
      </c>
      <c r="V5" s="23">
        <f>+N5+F5</f>
        <v>0.10913499999999998</v>
      </c>
      <c r="W5" s="21" t="str">
        <f t="shared" ref="W5:W12" si="3">IF((U5-V5)&lt;0, "-", (U5-V5))</f>
        <v>-</v>
      </c>
      <c r="X5" s="80" t="e">
        <f t="shared" ref="X5:X12" si="4">TRUNC(IF((V5/U5)&gt;1.2,"120%",(V5/U5)),2)</f>
        <v>#DIV/0!</v>
      </c>
      <c r="Z5" s="23">
        <f>+R5+J5</f>
        <v>0.63345499999999999</v>
      </c>
      <c r="AA5" s="11">
        <f>IF(ISERROR((V5-Z5)/Z5),0,(V5-Z5)/Z5)</f>
        <v>-0.82771467586489966</v>
      </c>
      <c r="AB5" s="45"/>
      <c r="AC5" s="12">
        <f>U5-'GENEL HEDEF'!AS5</f>
        <v>-0.65</v>
      </c>
      <c r="AD5" s="15">
        <f>V5-'GENEL HEDEF'!AT5</f>
        <v>0</v>
      </c>
      <c r="AE5" s="86">
        <f>AC5*-1</f>
        <v>0.65</v>
      </c>
    </row>
    <row r="6" spans="2:31" x14ac:dyDescent="0.15">
      <c r="B6" s="18">
        <v>2</v>
      </c>
      <c r="C6" s="1" t="s">
        <v>2</v>
      </c>
      <c r="E6" s="22"/>
      <c r="F6" s="23">
        <f>IF(ISERROR(VLOOKUP($B6,[1]Hedef!$A$4:$ES$45409,51,0)),0,VLOOKUP($B6,[1]Hedef!$A$4:$ES$45409,51,0))</f>
        <v>3.3000000000000002E-2</v>
      </c>
      <c r="G6" s="23" t="str">
        <f t="shared" si="0"/>
        <v>-</v>
      </c>
      <c r="H6" s="80" t="e">
        <f t="shared" ref="H6:H12" si="5">TRUNC(IF((F6/E6)&gt;1.2,"120%",(F6/E6)),2)</f>
        <v>#DIV/0!</v>
      </c>
      <c r="J6" s="44">
        <v>2.9015</v>
      </c>
      <c r="K6" s="11">
        <f>IF(ISERROR((F6-J6)/J6),0,(F6-J6)/J6)</f>
        <v>-0.98862657246251939</v>
      </c>
      <c r="M6" s="22"/>
      <c r="N6" s="23">
        <f>IF(ISERROR(VLOOKUP($B6,[1]Hedef!$A$4:$ES$45409,55,0)),0,VLOOKUP($B6,[1]Hedef!$A$4:$ES$45409,55,0))</f>
        <v>0.52100000000000002</v>
      </c>
      <c r="O6" s="23" t="str">
        <f t="shared" si="1"/>
        <v>-</v>
      </c>
      <c r="P6" s="80" t="e">
        <f t="shared" si="2"/>
        <v>#DIV/0!</v>
      </c>
      <c r="R6" s="44">
        <v>1.6765000000000001</v>
      </c>
      <c r="S6" s="11">
        <f t="shared" ref="S6:S12" si="6">IF(ISERROR((N6-R6)/R6),0,(N6-R6)/R6)</f>
        <v>-0.68923352221890843</v>
      </c>
      <c r="U6" s="22">
        <f t="shared" ref="U6:U12" si="7">M6+E6</f>
        <v>0</v>
      </c>
      <c r="V6" s="23">
        <f t="shared" ref="V6:V12" si="8">+N6+F6</f>
        <v>0.55400000000000005</v>
      </c>
      <c r="W6" s="23" t="str">
        <f t="shared" si="3"/>
        <v>-</v>
      </c>
      <c r="X6" s="80" t="e">
        <f t="shared" si="4"/>
        <v>#DIV/0!</v>
      </c>
      <c r="Z6" s="23">
        <f t="shared" ref="Z6:Z12" si="9">+R6+J6</f>
        <v>4.5780000000000003</v>
      </c>
      <c r="AA6" s="11">
        <f>IF(ISERROR((V6-Z6)/Z6),0,(V6-Z6)/Z6)</f>
        <v>-0.87898645696810829</v>
      </c>
      <c r="AB6" s="45"/>
      <c r="AC6" s="12">
        <f>U6-'GENEL HEDEF'!AS6</f>
        <v>-5</v>
      </c>
      <c r="AD6" s="15">
        <f>V6-'GENEL HEDEF'!AT6</f>
        <v>0</v>
      </c>
      <c r="AE6" s="86">
        <f t="shared" ref="AE6:AE57" si="10">AC6*-1</f>
        <v>5</v>
      </c>
    </row>
    <row r="7" spans="2:31" x14ac:dyDescent="0.15">
      <c r="B7" s="18">
        <v>3</v>
      </c>
      <c r="C7" s="1" t="s">
        <v>65</v>
      </c>
      <c r="E7" s="22"/>
      <c r="F7" s="23">
        <f>IF(ISERROR(VLOOKUP($B7,[1]Hedef!$A$4:$ES$45409,51,0)),0,VLOOKUP($B7,[1]Hedef!$A$4:$ES$45409,51,0))</f>
        <v>7.9499999999999987E-2</v>
      </c>
      <c r="G7" s="23" t="str">
        <f t="shared" si="0"/>
        <v>-</v>
      </c>
      <c r="H7" s="80" t="e">
        <f t="shared" si="5"/>
        <v>#DIV/0!</v>
      </c>
      <c r="J7" s="44">
        <v>0.42360000000000003</v>
      </c>
      <c r="K7" s="11">
        <f>IF(ISERROR((F7-J7)/J7),0,(F7-J7)/J7)</f>
        <v>-0.81232294617563749</v>
      </c>
      <c r="M7" s="22"/>
      <c r="N7" s="23">
        <f>IF(ISERROR(VLOOKUP($B7,[1]Hedef!$A$4:$ES$45409,55,0)),0,VLOOKUP($B7,[1]Hedef!$A$4:$ES$45409,55,0))</f>
        <v>2.6791</v>
      </c>
      <c r="O7" s="23" t="str">
        <f t="shared" si="1"/>
        <v>-</v>
      </c>
      <c r="P7" s="80" t="e">
        <f t="shared" si="2"/>
        <v>#DIV/0!</v>
      </c>
      <c r="R7" s="44">
        <v>0.34960000000000002</v>
      </c>
      <c r="S7" s="11">
        <f t="shared" si="6"/>
        <v>6.6633295194508007</v>
      </c>
      <c r="U7" s="22">
        <f t="shared" si="7"/>
        <v>0</v>
      </c>
      <c r="V7" s="23">
        <f t="shared" si="8"/>
        <v>2.7585999999999999</v>
      </c>
      <c r="W7" s="23" t="str">
        <f t="shared" si="3"/>
        <v>-</v>
      </c>
      <c r="X7" s="80" t="e">
        <f t="shared" si="4"/>
        <v>#DIV/0!</v>
      </c>
      <c r="Z7" s="23">
        <f t="shared" si="9"/>
        <v>0.77320000000000011</v>
      </c>
      <c r="AA7" s="11">
        <f>IF(ISERROR((V7-Z7)/Z7),0,(V7-Z7)/Z7)</f>
        <v>2.567770305225038</v>
      </c>
      <c r="AB7" s="45"/>
      <c r="AC7" s="12">
        <f>U7-'GENEL HEDEF'!AS7</f>
        <v>-4.1500000000000004</v>
      </c>
      <c r="AD7" s="15">
        <f>V7-'GENEL HEDEF'!AT7</f>
        <v>0</v>
      </c>
      <c r="AE7" s="86">
        <f t="shared" si="10"/>
        <v>4.1500000000000004</v>
      </c>
    </row>
    <row r="8" spans="2:31" x14ac:dyDescent="0.15">
      <c r="B8" s="18">
        <v>4</v>
      </c>
      <c r="C8" s="1" t="s">
        <v>3</v>
      </c>
      <c r="E8" s="22"/>
      <c r="F8" s="23">
        <f>IF(ISERROR(VLOOKUP($B8,[1]Hedef!$A$4:$ES$45409,51,0)),0,VLOOKUP($B8,[1]Hedef!$A$4:$ES$45409,51,0))</f>
        <v>0.39200000000000002</v>
      </c>
      <c r="G8" s="23" t="str">
        <f t="shared" si="0"/>
        <v>-</v>
      </c>
      <c r="H8" s="80" t="e">
        <f t="shared" si="5"/>
        <v>#DIV/0!</v>
      </c>
      <c r="J8" s="44">
        <v>3.069016</v>
      </c>
      <c r="K8" s="11">
        <f t="shared" ref="K8:K12" si="11">IF(ISERROR((F8-J8)/J8),0,(F8-J8)/J8)</f>
        <v>-0.87227176397907347</v>
      </c>
      <c r="M8" s="22"/>
      <c r="N8" s="23">
        <f>IF(ISERROR(VLOOKUP($B8,[1]Hedef!$A$4:$ES$45409,55,0)),0,VLOOKUP($B8,[1]Hedef!$A$4:$ES$45409,55,0))</f>
        <v>0.39800000000000002</v>
      </c>
      <c r="O8" s="23" t="str">
        <f t="shared" si="1"/>
        <v>-</v>
      </c>
      <c r="P8" s="80" t="e">
        <f t="shared" si="2"/>
        <v>#DIV/0!</v>
      </c>
      <c r="R8" s="44">
        <v>5.7020160000000004</v>
      </c>
      <c r="S8" s="11">
        <f t="shared" si="6"/>
        <v>-0.93020012570992439</v>
      </c>
      <c r="U8" s="22">
        <f t="shared" si="7"/>
        <v>0</v>
      </c>
      <c r="V8" s="23">
        <f t="shared" si="8"/>
        <v>0.79</v>
      </c>
      <c r="W8" s="23" t="str">
        <f t="shared" si="3"/>
        <v>-</v>
      </c>
      <c r="X8" s="80" t="e">
        <f t="shared" si="4"/>
        <v>#DIV/0!</v>
      </c>
      <c r="Z8" s="23">
        <f t="shared" si="9"/>
        <v>8.7710319999999999</v>
      </c>
      <c r="AA8" s="11">
        <f t="shared" ref="AA8:AA16" si="12">IF(ISERROR((V8-Z8)/Z8),0,(V8-Z8)/Z8)</f>
        <v>-0.90993078123532101</v>
      </c>
      <c r="AB8" s="45"/>
      <c r="AC8" s="12">
        <f>U8-'GENEL HEDEF'!AS8</f>
        <v>-8.4</v>
      </c>
      <c r="AD8" s="15">
        <f>V8-'GENEL HEDEF'!AT8</f>
        <v>0</v>
      </c>
      <c r="AE8" s="86">
        <f>AC8*-1</f>
        <v>8.4</v>
      </c>
    </row>
    <row r="9" spans="2:31" x14ac:dyDescent="0.15">
      <c r="B9" s="18">
        <v>5</v>
      </c>
      <c r="C9" s="1" t="s">
        <v>4</v>
      </c>
      <c r="E9" s="22"/>
      <c r="F9" s="23">
        <f>IF(ISERROR(VLOOKUP($B9,[1]Hedef!$A$4:$ES$45409,51,0)),0,VLOOKUP($B9,[1]Hedef!$A$4:$ES$45409,51,0))</f>
        <v>1.9E-2</v>
      </c>
      <c r="G9" s="23" t="str">
        <f t="shared" si="0"/>
        <v>-</v>
      </c>
      <c r="H9" s="80" t="e">
        <f t="shared" si="5"/>
        <v>#DIV/0!</v>
      </c>
      <c r="J9" s="44">
        <v>0.70099200000000006</v>
      </c>
      <c r="K9" s="11">
        <f t="shared" si="11"/>
        <v>-0.97289555372957182</v>
      </c>
      <c r="M9" s="22"/>
      <c r="N9" s="23">
        <f>IF(ISERROR(VLOOKUP($B9,[1]Hedef!$A$4:$ES$45409,55,0)),0,VLOOKUP($B9,[1]Hedef!$A$4:$ES$45409,55,0))</f>
        <v>0.27600000000000002</v>
      </c>
      <c r="O9" s="23" t="str">
        <f t="shared" si="1"/>
        <v>-</v>
      </c>
      <c r="P9" s="80" t="e">
        <f t="shared" si="2"/>
        <v>#DIV/0!</v>
      </c>
      <c r="R9" s="44">
        <v>2.3855</v>
      </c>
      <c r="S9" s="11">
        <f t="shared" si="6"/>
        <v>-0.8843009851184237</v>
      </c>
      <c r="U9" s="22">
        <f t="shared" si="7"/>
        <v>0</v>
      </c>
      <c r="V9" s="23">
        <f t="shared" si="8"/>
        <v>0.29500000000000004</v>
      </c>
      <c r="W9" s="23" t="str">
        <f t="shared" si="3"/>
        <v>-</v>
      </c>
      <c r="X9" s="80" t="e">
        <f t="shared" si="4"/>
        <v>#DIV/0!</v>
      </c>
      <c r="Z9" s="23">
        <f t="shared" si="9"/>
        <v>3.0864919999999998</v>
      </c>
      <c r="AA9" s="11">
        <f t="shared" si="12"/>
        <v>-0.90442223728426963</v>
      </c>
      <c r="AB9" s="45"/>
      <c r="AC9" s="12">
        <f>U9-'GENEL HEDEF'!AS9</f>
        <v>-3.3</v>
      </c>
      <c r="AD9" s="15">
        <f>V9-'GENEL HEDEF'!AT9</f>
        <v>0</v>
      </c>
      <c r="AE9" s="86">
        <f t="shared" si="10"/>
        <v>3.3</v>
      </c>
    </row>
    <row r="10" spans="2:31" x14ac:dyDescent="0.15">
      <c r="B10" s="18">
        <v>6</v>
      </c>
      <c r="C10" s="1" t="s">
        <v>5</v>
      </c>
      <c r="E10" s="22"/>
      <c r="F10" s="23">
        <f>IF(ISERROR(VLOOKUP($B10,[1]Hedef!$A$4:$ES$45409,51,0)),0,VLOOKUP($B10,[1]Hedef!$A$4:$ES$45409,51,0))</f>
        <v>2.4500000000000001E-2</v>
      </c>
      <c r="G10" s="23" t="str">
        <f t="shared" si="0"/>
        <v>-</v>
      </c>
      <c r="H10" s="80" t="e">
        <f t="shared" si="5"/>
        <v>#DIV/0!</v>
      </c>
      <c r="J10" s="44">
        <v>6.1499999999999999E-2</v>
      </c>
      <c r="K10" s="11">
        <f t="shared" si="11"/>
        <v>-0.60162601626016254</v>
      </c>
      <c r="M10" s="22"/>
      <c r="N10" s="23">
        <f>IF(ISERROR(VLOOKUP($B10,[1]Hedef!$A$4:$ES$45409,55,0)),0,VLOOKUP($B10,[1]Hedef!$A$4:$ES$45409,55,0))</f>
        <v>2.5000000000000001E-3</v>
      </c>
      <c r="O10" s="23" t="str">
        <f t="shared" si="1"/>
        <v>-</v>
      </c>
      <c r="P10" s="80" t="e">
        <f t="shared" si="2"/>
        <v>#DIV/0!</v>
      </c>
      <c r="R10" s="44">
        <v>2.9250000000000005E-2</v>
      </c>
      <c r="S10" s="11">
        <f t="shared" si="6"/>
        <v>-0.91452991452991461</v>
      </c>
      <c r="U10" s="22">
        <f t="shared" si="7"/>
        <v>0</v>
      </c>
      <c r="V10" s="23">
        <f t="shared" si="8"/>
        <v>2.7E-2</v>
      </c>
      <c r="W10" s="23" t="str">
        <f t="shared" si="3"/>
        <v>-</v>
      </c>
      <c r="X10" s="80" t="e">
        <f t="shared" si="4"/>
        <v>#DIV/0!</v>
      </c>
      <c r="Z10" s="23">
        <f t="shared" si="9"/>
        <v>9.0749999999999997E-2</v>
      </c>
      <c r="AA10" s="11">
        <f t="shared" si="12"/>
        <v>-0.7024793388429752</v>
      </c>
      <c r="AB10" s="45"/>
      <c r="AC10" s="12">
        <f>U10-'GENEL HEDEF'!AS10</f>
        <v>-0.09</v>
      </c>
      <c r="AD10" s="15">
        <f>V10-'GENEL HEDEF'!AT10</f>
        <v>0</v>
      </c>
      <c r="AE10" s="86">
        <f t="shared" si="10"/>
        <v>0.09</v>
      </c>
    </row>
    <row r="11" spans="2:31" x14ac:dyDescent="0.15">
      <c r="B11" s="31">
        <v>54</v>
      </c>
      <c r="C11" s="1" t="s">
        <v>151</v>
      </c>
      <c r="E11" s="22"/>
      <c r="F11" s="23">
        <f>IF(ISERROR(VLOOKUP($B11,[1]Hedef!$A$4:$ES$45409,51,0)),0,VLOOKUP($B11,[1]Hedef!$A$4:$ES$45409,51,0))</f>
        <v>0</v>
      </c>
      <c r="G11" s="23">
        <f t="shared" ref="G11" si="13">IF((E11-F11)&lt;0, "-", (E11-F11))</f>
        <v>0</v>
      </c>
      <c r="H11" s="80" t="e">
        <f t="shared" si="5"/>
        <v>#DIV/0!</v>
      </c>
      <c r="J11" s="44">
        <v>2.937E-2</v>
      </c>
      <c r="K11" s="11">
        <f t="shared" ref="K11" si="14">IF(ISERROR((F11-J11)/J11),0,(F11-J11)/J11)</f>
        <v>-1</v>
      </c>
      <c r="M11" s="22"/>
      <c r="N11" s="23">
        <f>IF(ISERROR(VLOOKUP($B11,[1]Hedef!$A$4:$ES$45409,55,0)),0,VLOOKUP($B11,[1]Hedef!$A$4:$ES$45409,55,0))</f>
        <v>7.6500000000000005E-3</v>
      </c>
      <c r="O11" s="23" t="str">
        <f t="shared" ref="O11" si="15">IF((M11-N11)&lt;0, "-", (M11-N11))</f>
        <v>-</v>
      </c>
      <c r="P11" s="80" t="e">
        <f t="shared" si="2"/>
        <v>#DIV/0!</v>
      </c>
      <c r="R11" s="44">
        <v>5.4710000000000009E-2</v>
      </c>
      <c r="S11" s="11">
        <f t="shared" ref="S11" si="16">IF(ISERROR((N11-R11)/R11),0,(N11-R11)/R11)</f>
        <v>-0.86017181502467555</v>
      </c>
      <c r="U11" s="22">
        <f t="shared" si="7"/>
        <v>0</v>
      </c>
      <c r="V11" s="23">
        <f t="shared" si="8"/>
        <v>7.6500000000000005E-3</v>
      </c>
      <c r="W11" s="23" t="str">
        <f t="shared" ref="W11" si="17">IF((U11-V11)&lt;0, "-", (U11-V11))</f>
        <v>-</v>
      </c>
      <c r="X11" s="80" t="e">
        <f t="shared" si="4"/>
        <v>#DIV/0!</v>
      </c>
      <c r="Z11" s="23">
        <f t="shared" si="9"/>
        <v>8.4080000000000016E-2</v>
      </c>
      <c r="AA11" s="11">
        <f t="shared" ref="AA11" si="18">IF(ISERROR((V11-Z11)/Z11),0,(V11-Z11)/Z11)</f>
        <v>-0.90901522359657461</v>
      </c>
      <c r="AB11" s="45"/>
      <c r="AC11" s="12">
        <f>U11-'GENEL HEDEF'!AS11</f>
        <v>-0.11</v>
      </c>
      <c r="AD11" s="15">
        <f>V11-'GENEL HEDEF'!AT11</f>
        <v>0</v>
      </c>
      <c r="AE11" s="86">
        <f t="shared" ref="AE11" si="19">AC11*-1</f>
        <v>0.11</v>
      </c>
    </row>
    <row r="12" spans="2:31" ht="13" thickBot="1" x14ac:dyDescent="0.2">
      <c r="B12" s="18">
        <v>7</v>
      </c>
      <c r="C12" s="1" t="s">
        <v>6</v>
      </c>
      <c r="E12" s="22"/>
      <c r="F12" s="23">
        <f>IF(ISERROR(VLOOKUP($B12,[1]Hedef!$A$4:$ES$45409,51,0)),0,VLOOKUP($B12,[1]Hedef!$A$4:$ES$45409,51,0))</f>
        <v>1.6376000000000002E-2</v>
      </c>
      <c r="G12" s="23" t="str">
        <f t="shared" si="0"/>
        <v>-</v>
      </c>
      <c r="H12" s="80" t="e">
        <f t="shared" si="5"/>
        <v>#DIV/0!</v>
      </c>
      <c r="J12" s="44">
        <v>0.58862000000000003</v>
      </c>
      <c r="K12" s="11">
        <f t="shared" si="11"/>
        <v>-0.97217899493731086</v>
      </c>
      <c r="M12" s="22"/>
      <c r="N12" s="23">
        <f>IF(ISERROR(VLOOKUP($B12,[1]Hedef!$A$4:$ES$45409,55,0)),0,VLOOKUP($B12,[1]Hedef!$A$4:$ES$45409,55,0))</f>
        <v>9.1999999999999998E-3</v>
      </c>
      <c r="O12" s="23" t="str">
        <f t="shared" si="1"/>
        <v>-</v>
      </c>
      <c r="P12" s="80" t="e">
        <f t="shared" si="2"/>
        <v>#DIV/0!</v>
      </c>
      <c r="R12" s="44">
        <v>0.27172800000000003</v>
      </c>
      <c r="S12" s="11">
        <f t="shared" si="6"/>
        <v>-0.9661426132014368</v>
      </c>
      <c r="U12" s="22">
        <f t="shared" si="7"/>
        <v>0</v>
      </c>
      <c r="V12" s="23">
        <f t="shared" si="8"/>
        <v>2.5576000000000002E-2</v>
      </c>
      <c r="W12" s="23" t="str">
        <f t="shared" si="3"/>
        <v>-</v>
      </c>
      <c r="X12" s="80" t="e">
        <f t="shared" si="4"/>
        <v>#DIV/0!</v>
      </c>
      <c r="Z12" s="23">
        <f t="shared" si="9"/>
        <v>0.86034800000000011</v>
      </c>
      <c r="AA12" s="11">
        <f t="shared" si="12"/>
        <v>-0.97027249438599261</v>
      </c>
      <c r="AB12" s="45"/>
      <c r="AC12" s="12">
        <f>U12-'GENEL HEDEF'!AS12</f>
        <v>-1</v>
      </c>
      <c r="AD12" s="15">
        <f>V12-'GENEL HEDEF'!AT12</f>
        <v>0</v>
      </c>
      <c r="AE12" s="86">
        <f t="shared" si="10"/>
        <v>1</v>
      </c>
    </row>
    <row r="13" spans="2:31" ht="14" thickTop="1" thickBot="1" x14ac:dyDescent="0.2">
      <c r="B13" s="18"/>
      <c r="C13" s="2" t="s">
        <v>7</v>
      </c>
      <c r="E13" s="67">
        <f>SUM(E5:E12)</f>
        <v>0</v>
      </c>
      <c r="F13" s="67">
        <f>SUM(F5:F12)</f>
        <v>0.58379599999999998</v>
      </c>
      <c r="G13" s="67">
        <f>SUM(G5:G12)</f>
        <v>0</v>
      </c>
      <c r="H13" s="39" t="e">
        <f>TRUNC(IF((F13/E13)&gt;1.2,"120%",(F13/E13)),2)</f>
        <v>#DIV/0!</v>
      </c>
      <c r="I13" s="78"/>
      <c r="J13" s="48"/>
      <c r="K13" s="48"/>
      <c r="L13" s="78"/>
      <c r="M13" s="67">
        <f>SUM(M5:M12)</f>
        <v>0</v>
      </c>
      <c r="N13" s="67">
        <f>SUM(N5:N12)</f>
        <v>3.9831650000000001</v>
      </c>
      <c r="O13" s="67">
        <f>SUM(O5:O12)</f>
        <v>0</v>
      </c>
      <c r="P13" s="39" t="e">
        <f>TRUNC(IF((N13/M13)&gt;1.2,"120%",(N13/M13)),2)</f>
        <v>#DIV/0!</v>
      </c>
      <c r="Q13" s="78"/>
      <c r="R13" s="48"/>
      <c r="S13" s="48"/>
      <c r="T13" s="78"/>
      <c r="U13" s="67">
        <f>SUM(U5:U12)</f>
        <v>0</v>
      </c>
      <c r="V13" s="67">
        <f>SUM(V5:V12)</f>
        <v>4.566961</v>
      </c>
      <c r="W13" s="67">
        <f>SUM(W5:W12)</f>
        <v>0</v>
      </c>
      <c r="X13" s="39" t="e">
        <f>TRUNC(IF((V13/U13)&gt;1.2,"120%",(V13/U13)),2)</f>
        <v>#DIV/0!</v>
      </c>
      <c r="Z13" s="67"/>
      <c r="AA13" s="48"/>
      <c r="AB13" s="45"/>
      <c r="AC13" s="8"/>
      <c r="AD13" s="9"/>
      <c r="AE13" s="86">
        <f t="shared" si="10"/>
        <v>0</v>
      </c>
    </row>
    <row r="14" spans="2:31" ht="13" thickTop="1" x14ac:dyDescent="0.15">
      <c r="B14" s="18">
        <v>4000</v>
      </c>
      <c r="C14" s="1" t="s">
        <v>8</v>
      </c>
      <c r="E14" s="22"/>
      <c r="F14" s="23">
        <f>IF(ISERROR(VLOOKUP($B14,[1]Hedef!$A$4:$ES$45409,51,0)),0,VLOOKUP($B14,[1]Hedef!$A$4:$ES$45409,51,0))</f>
        <v>1.38E-2</v>
      </c>
      <c r="G14" s="23" t="str">
        <f>IF((E14-F14)&lt;0, "-", (E14-F14))</f>
        <v>-</v>
      </c>
      <c r="H14" s="80" t="e">
        <f t="shared" ref="H14:H16" si="20">TRUNC(IF((F14/E14)&gt;1.2,"120%",(F14/E14)),2)</f>
        <v>#DIV/0!</v>
      </c>
      <c r="J14" s="44">
        <v>0.35354999999999998</v>
      </c>
      <c r="K14" s="11">
        <f t="shared" ref="K14:K16" si="21">IF(ISERROR((F14-J14)/J14),0,(F14-J14)/J14)</f>
        <v>-0.96096733135341539</v>
      </c>
      <c r="M14" s="22"/>
      <c r="N14" s="23">
        <f>IF(ISERROR(VLOOKUP($B14,[1]Hedef!$A$4:$ES$45409,55,0)),0,VLOOKUP($B14,[1]Hedef!$A$4:$ES$45409,55,0))</f>
        <v>5.4350000000000002E-2</v>
      </c>
      <c r="O14" s="23" t="str">
        <f>IF((M14-N14)&lt;0, "-", (M14-N14))</f>
        <v>-</v>
      </c>
      <c r="P14" s="80" t="e">
        <f t="shared" ref="P14:P16" si="22">TRUNC(IF((N14/M14)&gt;1.2,"120%",(N14/M14)),2)</f>
        <v>#DIV/0!</v>
      </c>
      <c r="R14" s="44">
        <v>1.5376999999999996</v>
      </c>
      <c r="S14" s="11">
        <f>IF(ISERROR((N14-R14)/R14),0,(N14-R14)/R14)</f>
        <v>-0.96465500422709249</v>
      </c>
      <c r="U14" s="22">
        <f t="shared" ref="U14:U16" si="23">M14+E14</f>
        <v>0</v>
      </c>
      <c r="V14" s="23">
        <f t="shared" ref="V14:V16" si="24">+N14+F14</f>
        <v>6.8150000000000002E-2</v>
      </c>
      <c r="W14" s="23" t="str">
        <f>IF((U14-V14)&lt;0, "-", (U14-V14))</f>
        <v>-</v>
      </c>
      <c r="X14" s="80" t="e">
        <f t="shared" ref="X14:X15" si="25">TRUNC(IF((V14/U14)&gt;1.2,"120%",(V14/U14)),2)</f>
        <v>#DIV/0!</v>
      </c>
      <c r="Z14" s="23">
        <f t="shared" ref="Z14:Z16" si="26">+R14+J14</f>
        <v>1.8912499999999997</v>
      </c>
      <c r="AA14" s="11">
        <f t="shared" si="12"/>
        <v>-0.96396563119629874</v>
      </c>
      <c r="AB14" s="45"/>
      <c r="AC14" s="12">
        <f>U14-'GENEL HEDEF'!AS14</f>
        <v>-1.9</v>
      </c>
      <c r="AD14" s="15">
        <f>V14-'GENEL HEDEF'!AT14</f>
        <v>0</v>
      </c>
      <c r="AE14" s="86">
        <f t="shared" si="10"/>
        <v>1.9</v>
      </c>
    </row>
    <row r="15" spans="2:31" x14ac:dyDescent="0.15">
      <c r="B15" s="18">
        <v>3000</v>
      </c>
      <c r="C15" s="1" t="s">
        <v>9</v>
      </c>
      <c r="E15" s="22"/>
      <c r="F15" s="23">
        <f>IF(ISERROR(VLOOKUP($B15,[1]Hedef!$A$4:$ES$45409,51,0)),0,VLOOKUP($B15,[1]Hedef!$A$4:$ES$45409,51,0))</f>
        <v>4.4999999999999997E-3</v>
      </c>
      <c r="G15" s="23" t="str">
        <f>IF((E15-F15)&lt;0, "-", (E15-F15))</f>
        <v>-</v>
      </c>
      <c r="H15" s="80" t="e">
        <f t="shared" si="20"/>
        <v>#DIV/0!</v>
      </c>
      <c r="J15" s="44">
        <v>0.10195</v>
      </c>
      <c r="K15" s="11">
        <f t="shared" si="21"/>
        <v>-0.95586071603727318</v>
      </c>
      <c r="M15" s="22"/>
      <c r="N15" s="23">
        <f>IF(ISERROR(VLOOKUP($B15,[1]Hedef!$A$4:$ES$45409,55,0)),0,VLOOKUP($B15,[1]Hedef!$A$4:$ES$45409,55,0))</f>
        <v>4.9999999999999992E-3</v>
      </c>
      <c r="O15" s="23" t="str">
        <f>IF((M15-N15)&lt;0, "-", (M15-N15))</f>
        <v>-</v>
      </c>
      <c r="P15" s="80" t="e">
        <f t="shared" si="22"/>
        <v>#DIV/0!</v>
      </c>
      <c r="R15" s="44">
        <v>8.7550000000000003E-2</v>
      </c>
      <c r="S15" s="11">
        <f>IF(ISERROR((N15-R15)/R15),0,(N15-R15)/R15)</f>
        <v>-0.94288977727013135</v>
      </c>
      <c r="U15" s="22">
        <f t="shared" si="23"/>
        <v>0</v>
      </c>
      <c r="V15" s="23">
        <f t="shared" si="24"/>
        <v>9.499999999999998E-3</v>
      </c>
      <c r="W15" s="23" t="str">
        <f>IF((U15-V15)&lt;0, "-", (U15-V15))</f>
        <v>-</v>
      </c>
      <c r="X15" s="80" t="e">
        <f t="shared" si="25"/>
        <v>#DIV/0!</v>
      </c>
      <c r="Z15" s="23">
        <f t="shared" si="26"/>
        <v>0.1895</v>
      </c>
      <c r="AA15" s="11">
        <f t="shared" si="12"/>
        <v>-0.94986807387862793</v>
      </c>
      <c r="AB15" s="45"/>
      <c r="AC15" s="12">
        <f>U15-'GENEL HEDEF'!AS15</f>
        <v>-0.2</v>
      </c>
      <c r="AD15" s="15">
        <f>V15-'GENEL HEDEF'!AT15</f>
        <v>0</v>
      </c>
      <c r="AE15" s="86">
        <f t="shared" si="10"/>
        <v>0.2</v>
      </c>
    </row>
    <row r="16" spans="2:31" ht="13" thickBot="1" x14ac:dyDescent="0.2">
      <c r="B16" s="18">
        <v>5000</v>
      </c>
      <c r="C16" s="1" t="s">
        <v>10</v>
      </c>
      <c r="E16" s="22"/>
      <c r="F16" s="23">
        <f>IF(ISERROR(VLOOKUP($B16,[1]Hedef!$A$4:$ES$45409,51,0)),0,VLOOKUP($B16,[1]Hedef!$A$4:$ES$45409,51,0))</f>
        <v>2.0084999999999999E-2</v>
      </c>
      <c r="G16" s="23" t="str">
        <f>IF((E16-F16)&lt;0, "-", (E16-F16))</f>
        <v>-</v>
      </c>
      <c r="H16" s="80" t="e">
        <f t="shared" si="20"/>
        <v>#DIV/0!</v>
      </c>
      <c r="J16" s="44">
        <v>0.24612499999999998</v>
      </c>
      <c r="K16" s="11">
        <f t="shared" si="21"/>
        <v>-0.91839512442864402</v>
      </c>
      <c r="M16" s="22"/>
      <c r="N16" s="23">
        <f>IF(ISERROR(VLOOKUP($B16,[1]Hedef!$A$4:$ES$45409,55,0)),0,VLOOKUP($B16,[1]Hedef!$A$4:$ES$45409,55,0))</f>
        <v>6.0249999999999998E-2</v>
      </c>
      <c r="O16" s="23" t="str">
        <f>IF((M16-N16)&lt;0, "-", (M16-N16))</f>
        <v>-</v>
      </c>
      <c r="P16" s="80" t="e">
        <f t="shared" si="22"/>
        <v>#DIV/0!</v>
      </c>
      <c r="R16" s="44">
        <v>1.5800250000000002</v>
      </c>
      <c r="S16" s="11">
        <f>IF(ISERROR((N16-R16)/R16),0,(N16-R16)/R16)</f>
        <v>-0.96186769196689936</v>
      </c>
      <c r="U16" s="22">
        <f t="shared" si="23"/>
        <v>0</v>
      </c>
      <c r="V16" s="23">
        <f t="shared" si="24"/>
        <v>8.033499999999999E-2</v>
      </c>
      <c r="W16" s="23" t="str">
        <f>IF((U16-V16)&lt;0, "-", (U16-V16))</f>
        <v>-</v>
      </c>
      <c r="X16" s="80" t="e">
        <f t="shared" ref="X16" si="27">TRUNC(IF((V16/U16)&gt;1.2,"120%",(V16/U16)),2)</f>
        <v>#DIV/0!</v>
      </c>
      <c r="Z16" s="23">
        <f t="shared" si="26"/>
        <v>1.8261500000000002</v>
      </c>
      <c r="AA16" s="11">
        <f t="shared" si="12"/>
        <v>-0.95600854256222101</v>
      </c>
      <c r="AB16" s="45"/>
      <c r="AC16" s="12">
        <f>U16-'GENEL HEDEF'!AS16</f>
        <v>-2.2999999999999998</v>
      </c>
      <c r="AD16" s="15">
        <f>V16-'GENEL HEDEF'!AT16</f>
        <v>0</v>
      </c>
      <c r="AE16" s="86">
        <f t="shared" si="10"/>
        <v>2.2999999999999998</v>
      </c>
    </row>
    <row r="17" spans="2:31" ht="14" thickTop="1" thickBot="1" x14ac:dyDescent="0.2">
      <c r="B17" s="18" t="s">
        <v>55</v>
      </c>
      <c r="C17" s="2" t="s">
        <v>11</v>
      </c>
      <c r="E17" s="67">
        <f>SUM(E14:E16)</f>
        <v>0</v>
      </c>
      <c r="F17" s="67">
        <f>SUM(F14:F16)</f>
        <v>3.8385000000000002E-2</v>
      </c>
      <c r="G17" s="67">
        <f>SUM(G14:G16)</f>
        <v>0</v>
      </c>
      <c r="H17" s="39" t="e">
        <f>TRUNC(IF((F17/E17)&gt;1.2,"120%",(F17/E17)),2)</f>
        <v>#DIV/0!</v>
      </c>
      <c r="I17" s="78"/>
      <c r="J17" s="48"/>
      <c r="K17" s="48"/>
      <c r="L17" s="78"/>
      <c r="M17" s="67">
        <f>SUM(M14:M16)</f>
        <v>0</v>
      </c>
      <c r="N17" s="67">
        <f>SUM(N14:N16)</f>
        <v>0.1196</v>
      </c>
      <c r="O17" s="67">
        <f>SUM(O14:O16)</f>
        <v>0</v>
      </c>
      <c r="P17" s="39" t="e">
        <f>TRUNC(IF((N17/M17)&gt;1.2,"120%",(N17/M17)),2)</f>
        <v>#DIV/0!</v>
      </c>
      <c r="Q17" s="78"/>
      <c r="R17" s="48"/>
      <c r="S17" s="48"/>
      <c r="T17" s="78"/>
      <c r="U17" s="67">
        <f>SUM(U14:U16)</f>
        <v>0</v>
      </c>
      <c r="V17" s="67">
        <f>SUM(V14:V16)</f>
        <v>0.15798499999999999</v>
      </c>
      <c r="W17" s="67">
        <f>SUM(W14:W16)</f>
        <v>0</v>
      </c>
      <c r="X17" s="39" t="e">
        <f>TRUNC(IF((V17/U17)&gt;1.2,"120%",(V17/U17)),2)</f>
        <v>#DIV/0!</v>
      </c>
      <c r="Z17" s="67"/>
      <c r="AA17" s="48"/>
      <c r="AB17" s="45"/>
      <c r="AC17" s="8"/>
      <c r="AD17" s="9"/>
      <c r="AE17" s="86">
        <f t="shared" si="10"/>
        <v>0</v>
      </c>
    </row>
    <row r="18" spans="2:31" ht="13" thickTop="1" x14ac:dyDescent="0.15">
      <c r="B18" s="18">
        <v>1000</v>
      </c>
      <c r="C18" s="1" t="s">
        <v>105</v>
      </c>
      <c r="E18" s="22"/>
      <c r="F18" s="23">
        <f>IF(ISERROR(VLOOKUP($B18,[1]Hedef!$A$4:$ES$45409,51,0)),0,VLOOKUP($B18,[1]Hedef!$A$4:$ES$45409,51,0))</f>
        <v>1.0200800000000001E-2</v>
      </c>
      <c r="G18" s="23" t="str">
        <f>IF((E18-F18)&lt;0, "-", (E18-F18))</f>
        <v>-</v>
      </c>
      <c r="H18" s="80" t="e">
        <f t="shared" ref="H18:H21" si="28">TRUNC(IF((F18/E18)&gt;1.2,"120%",(F18/E18)),2)</f>
        <v>#DIV/0!</v>
      </c>
      <c r="J18" s="44">
        <v>0.16241719999999998</v>
      </c>
      <c r="K18" s="11">
        <f>IF(ISERROR((F18-J18)/J18),0,(F18-J18)/J18)</f>
        <v>-0.93719384400174355</v>
      </c>
      <c r="M18" s="22"/>
      <c r="N18" s="23">
        <f>IF(ISERROR(VLOOKUP($B18,[1]Hedef!$A$4:$ES$45409,55,0)),0,VLOOKUP($B18,[1]Hedef!$A$4:$ES$45409,55,0))</f>
        <v>1.0112800000000002E-2</v>
      </c>
      <c r="O18" s="23" t="str">
        <f>IF((M18-N18)&lt;0, "-", (M18-N18))</f>
        <v>-</v>
      </c>
      <c r="P18" s="80" t="e">
        <f t="shared" ref="P18:P21" si="29">TRUNC(IF((N18/M18)&gt;1.2,"120%",(N18/M18)),2)</f>
        <v>#DIV/0!</v>
      </c>
      <c r="R18" s="44">
        <v>9.5412400000000008E-2</v>
      </c>
      <c r="S18" s="11">
        <f>IF(ISERROR((N18-R18)/R18),0,(N18-R18)/R18)</f>
        <v>-0.8940095836599854</v>
      </c>
      <c r="U18" s="22">
        <f t="shared" ref="U18:U19" si="30">M18+E18</f>
        <v>0</v>
      </c>
      <c r="V18" s="23">
        <f t="shared" ref="V18:V19" si="31">+N18+F18</f>
        <v>2.0313600000000001E-2</v>
      </c>
      <c r="W18" s="23" t="str">
        <f>IF((U18-V18)&lt;0, "-", (U18-V18))</f>
        <v>-</v>
      </c>
      <c r="X18" s="80" t="e">
        <f t="shared" ref="X18:X21" si="32">TRUNC(IF((V18/U18)&gt;1.2,"120%",(V18/U18)),2)</f>
        <v>#DIV/0!</v>
      </c>
      <c r="Z18" s="23">
        <f t="shared" ref="Z18:Z19" si="33">+R18+J18</f>
        <v>0.25782959999999999</v>
      </c>
      <c r="AA18" s="11">
        <f>IF(ISERROR((V18-Z18)/Z18),0,(V18-Z18)/Z18)</f>
        <v>-0.92121308026696702</v>
      </c>
      <c r="AB18" s="45"/>
      <c r="AC18" s="12">
        <f>U18-'GENEL HEDEF'!AS18</f>
        <v>-0.26</v>
      </c>
      <c r="AD18" s="15">
        <f>V18-'GENEL HEDEF'!AT18</f>
        <v>0</v>
      </c>
      <c r="AE18" s="86">
        <f t="shared" si="10"/>
        <v>0.26</v>
      </c>
    </row>
    <row r="19" spans="2:31" ht="13" thickBot="1" x14ac:dyDescent="0.2">
      <c r="B19" s="18">
        <v>2000</v>
      </c>
      <c r="C19" s="1" t="s">
        <v>12</v>
      </c>
      <c r="E19" s="22"/>
      <c r="F19" s="23">
        <f>IF(ISERROR(VLOOKUP($B19,[1]Hedef!$A$4:$ES$45409,51,0)),0,VLOOKUP($B19,[1]Hedef!$A$4:$ES$45409,51,0))</f>
        <v>2.64E-3</v>
      </c>
      <c r="G19" s="23" t="str">
        <f>IF((E19-F19)&lt;0, "-", (E19-F19))</f>
        <v>-</v>
      </c>
      <c r="H19" s="80" t="e">
        <f t="shared" si="28"/>
        <v>#DIV/0!</v>
      </c>
      <c r="J19" s="44">
        <v>5.8714000000000009E-2</v>
      </c>
      <c r="K19" s="11">
        <f>IF(ISERROR((F19-J19)/J19),0,(F19-J19)/J19)</f>
        <v>-0.95503627754879594</v>
      </c>
      <c r="M19" s="22"/>
      <c r="N19" s="23">
        <f>IF(ISERROR(VLOOKUP($B19,[1]Hedef!$A$4:$ES$45409,55,0)),0,VLOOKUP($B19,[1]Hedef!$A$4:$ES$45409,55,0))</f>
        <v>4.8900000000000002E-3</v>
      </c>
      <c r="O19" s="23" t="str">
        <f>IF((M19-N19)&lt;0, "-", (M19-N19))</f>
        <v>-</v>
      </c>
      <c r="P19" s="80" t="e">
        <f t="shared" si="29"/>
        <v>#DIV/0!</v>
      </c>
      <c r="R19" s="44">
        <v>2.639E-2</v>
      </c>
      <c r="S19" s="11">
        <f>IF(ISERROR((N19-R19)/R19),0,(N19-R19)/R19)</f>
        <v>-0.81470253884046984</v>
      </c>
      <c r="U19" s="22">
        <f t="shared" si="30"/>
        <v>0</v>
      </c>
      <c r="V19" s="23">
        <f t="shared" si="31"/>
        <v>7.5300000000000002E-3</v>
      </c>
      <c r="W19" s="23" t="str">
        <f>IF((U19-V19)&lt;0, "-", (U19-V19))</f>
        <v>-</v>
      </c>
      <c r="X19" s="80" t="e">
        <f t="shared" si="32"/>
        <v>#DIV/0!</v>
      </c>
      <c r="Z19" s="23">
        <f t="shared" si="33"/>
        <v>8.5104000000000013E-2</v>
      </c>
      <c r="AA19" s="11">
        <f>IF(ISERROR((V19-Z19)/Z19),0,(V19-Z19)/Z19)</f>
        <v>-0.9115200225606318</v>
      </c>
      <c r="AB19" s="45"/>
      <c r="AC19" s="12">
        <f>U19-'GENEL HEDEF'!AS19</f>
        <v>-0.12</v>
      </c>
      <c r="AD19" s="15">
        <f>V19-'GENEL HEDEF'!AT19</f>
        <v>0</v>
      </c>
      <c r="AE19" s="86">
        <f t="shared" si="10"/>
        <v>0.12</v>
      </c>
    </row>
    <row r="20" spans="2:31" ht="14" thickTop="1" thickBot="1" x14ac:dyDescent="0.2">
      <c r="B20" s="18" t="s">
        <v>56</v>
      </c>
      <c r="C20" s="2" t="s">
        <v>13</v>
      </c>
      <c r="E20" s="67">
        <f>SUM(E18:E19)</f>
        <v>0</v>
      </c>
      <c r="F20" s="67">
        <f>SUM(F18:F19)</f>
        <v>1.2840800000000001E-2</v>
      </c>
      <c r="G20" s="67">
        <f>SUM(G18:G19)</f>
        <v>0</v>
      </c>
      <c r="H20" s="39" t="e">
        <f t="shared" si="28"/>
        <v>#DIV/0!</v>
      </c>
      <c r="I20" s="78"/>
      <c r="J20" s="48"/>
      <c r="K20" s="48"/>
      <c r="L20" s="78"/>
      <c r="M20" s="67">
        <f>SUM(M18:M19)</f>
        <v>0</v>
      </c>
      <c r="N20" s="67">
        <f>SUM(N18:N19)</f>
        <v>1.5002800000000002E-2</v>
      </c>
      <c r="O20" s="67">
        <f>SUM(O18:O19)</f>
        <v>0</v>
      </c>
      <c r="P20" s="39" t="e">
        <f t="shared" si="29"/>
        <v>#DIV/0!</v>
      </c>
      <c r="Q20" s="78"/>
      <c r="R20" s="48"/>
      <c r="S20" s="48"/>
      <c r="T20" s="78"/>
      <c r="U20" s="67">
        <f>SUM(U18:U19)</f>
        <v>0</v>
      </c>
      <c r="V20" s="67">
        <f>SUM(V18:V19)</f>
        <v>2.7843600000000003E-2</v>
      </c>
      <c r="W20" s="67">
        <f>SUM(W18:W19)</f>
        <v>0</v>
      </c>
      <c r="X20" s="39" t="e">
        <f t="shared" si="32"/>
        <v>#DIV/0!</v>
      </c>
      <c r="Z20" s="67"/>
      <c r="AA20" s="48"/>
      <c r="AB20" s="45"/>
      <c r="AC20" s="8"/>
      <c r="AD20" s="9"/>
      <c r="AE20" s="86">
        <f t="shared" si="10"/>
        <v>0</v>
      </c>
    </row>
    <row r="21" spans="2:31" ht="14" thickTop="1" thickBot="1" x14ac:dyDescent="0.2">
      <c r="B21" s="18"/>
      <c r="C21" s="2" t="s">
        <v>14</v>
      </c>
      <c r="E21" s="67">
        <f>+E20+E17</f>
        <v>0</v>
      </c>
      <c r="F21" s="110">
        <f>F20+F17</f>
        <v>5.1225800000000002E-2</v>
      </c>
      <c r="G21" s="110">
        <f>G20+G17</f>
        <v>0</v>
      </c>
      <c r="H21" s="39" t="e">
        <f t="shared" si="28"/>
        <v>#DIV/0!</v>
      </c>
      <c r="I21" s="78"/>
      <c r="J21" s="48"/>
      <c r="K21" s="48"/>
      <c r="L21" s="78"/>
      <c r="M21" s="67">
        <f>+M20+M17</f>
        <v>0</v>
      </c>
      <c r="N21" s="110">
        <f>N20+N17</f>
        <v>0.13460279999999999</v>
      </c>
      <c r="O21" s="110">
        <f>O20+O17</f>
        <v>0</v>
      </c>
      <c r="P21" s="39" t="e">
        <f t="shared" si="29"/>
        <v>#DIV/0!</v>
      </c>
      <c r="Q21" s="78"/>
      <c r="R21" s="48"/>
      <c r="S21" s="48"/>
      <c r="T21" s="78"/>
      <c r="U21" s="67">
        <f>+U20+U17</f>
        <v>0</v>
      </c>
      <c r="V21" s="110">
        <f>V20+V17</f>
        <v>0.18582859999999998</v>
      </c>
      <c r="W21" s="110">
        <f>W20+W17</f>
        <v>0</v>
      </c>
      <c r="X21" s="39" t="e">
        <f t="shared" si="32"/>
        <v>#DIV/0!</v>
      </c>
      <c r="Z21" s="67"/>
      <c r="AA21" s="48"/>
      <c r="AB21" s="45"/>
      <c r="AC21" s="8"/>
      <c r="AD21" s="9"/>
      <c r="AE21" s="86">
        <f t="shared" si="10"/>
        <v>0</v>
      </c>
    </row>
    <row r="22" spans="2:31" ht="13" thickTop="1" x14ac:dyDescent="0.15">
      <c r="B22" s="31">
        <v>6000</v>
      </c>
      <c r="C22" s="1" t="s">
        <v>15</v>
      </c>
      <c r="E22" s="22"/>
      <c r="F22" s="23">
        <f>IF(ISERROR(VLOOKUP($B22,[1]Hedef!$A$4:$ES$45409,51,0)),0,VLOOKUP($B22,[1]Hedef!$A$4:$ES$45409,51,0))</f>
        <v>0.18639999999999998</v>
      </c>
      <c r="G22" s="23" t="str">
        <f t="shared" ref="G22:G29" si="34">IF((E22-F22)&lt;0, "-", (E22-F22))</f>
        <v>-</v>
      </c>
      <c r="H22" s="80" t="e">
        <f t="shared" ref="H22:H29" si="35">TRUNC(IF((F22/E22)&gt;1.2,"120%",(F22/E22)),2)</f>
        <v>#DIV/0!</v>
      </c>
      <c r="J22" s="44">
        <v>1.3394000000000001</v>
      </c>
      <c r="K22" s="11">
        <f t="shared" ref="K22:K29" si="36">IF(ISERROR((F22-J22)/J22),0,(F22-J22)/J22)</f>
        <v>-0.86083320889950732</v>
      </c>
      <c r="M22" s="22"/>
      <c r="N22" s="23">
        <f>IF(ISERROR(VLOOKUP($B22,[1]Hedef!$A$4:$ES$45409,55,0)),0,VLOOKUP($B22,[1]Hedef!$A$4:$ES$45409,55,0))</f>
        <v>9.98E-2</v>
      </c>
      <c r="O22" s="23" t="str">
        <f t="shared" ref="O22:O29" si="37">IF((M22-N22)&lt;0, "-", (M22-N22))</f>
        <v>-</v>
      </c>
      <c r="P22" s="80" t="e">
        <f t="shared" ref="P22:P25" si="38">TRUNC(IF((N22/M22)&gt;1.2,"120%",(N22/M22)),2)</f>
        <v>#DIV/0!</v>
      </c>
      <c r="R22" s="44">
        <v>0.68659999999999999</v>
      </c>
      <c r="S22" s="11">
        <f t="shared" ref="S22:S29" si="39">IF(ISERROR((N22-R22)/R22),0,(N22-R22)/R22)</f>
        <v>-0.85464608214389748</v>
      </c>
      <c r="U22" s="22">
        <f t="shared" ref="U22:U29" si="40">M22+E22</f>
        <v>0</v>
      </c>
      <c r="V22" s="23">
        <f t="shared" ref="V22:V29" si="41">+N22+F22</f>
        <v>0.28620000000000001</v>
      </c>
      <c r="W22" s="23" t="str">
        <f t="shared" ref="W22:W29" si="42">IF((U22-V22)&lt;0, "-", (U22-V22))</f>
        <v>-</v>
      </c>
      <c r="X22" s="80" t="e">
        <f t="shared" ref="X22:X29" si="43">TRUNC(IF((V22/U22)&gt;1.2,"120%",(V22/U22)),2)</f>
        <v>#DIV/0!</v>
      </c>
      <c r="Z22" s="23">
        <f t="shared" ref="Z22:Z29" si="44">+R22+J22</f>
        <v>2.0260000000000002</v>
      </c>
      <c r="AA22" s="11">
        <f t="shared" ref="AA22:AA56" si="45">IF(ISERROR((V22-Z22)/Z22),0,(V22-Z22)/Z22)</f>
        <v>-0.85873642645607107</v>
      </c>
      <c r="AB22" s="45"/>
      <c r="AC22" s="12">
        <f>U22-'GENEL HEDEF'!AS22</f>
        <v>-2</v>
      </c>
      <c r="AD22" s="15">
        <f>V22-'GENEL HEDEF'!AT22</f>
        <v>0</v>
      </c>
      <c r="AE22" s="86">
        <f t="shared" si="10"/>
        <v>2</v>
      </c>
    </row>
    <row r="23" spans="2:31" x14ac:dyDescent="0.15">
      <c r="B23" s="31">
        <v>10</v>
      </c>
      <c r="C23" s="1" t="s">
        <v>16</v>
      </c>
      <c r="E23" s="22"/>
      <c r="F23" s="23">
        <f>IF(ISERROR(VLOOKUP($B23,[1]Hedef!$A$4:$ES$45409,51,0)),0,VLOOKUP($B23,[1]Hedef!$A$4:$ES$45409,51,0))</f>
        <v>0.28039999999999998</v>
      </c>
      <c r="G23" s="23" t="str">
        <f t="shared" si="34"/>
        <v>-</v>
      </c>
      <c r="H23" s="80" t="e">
        <f t="shared" si="35"/>
        <v>#DIV/0!</v>
      </c>
      <c r="J23" s="44">
        <v>1.9304500000000009</v>
      </c>
      <c r="K23" s="11">
        <f t="shared" si="36"/>
        <v>-0.85474889274521493</v>
      </c>
      <c r="M23" s="22"/>
      <c r="N23" s="23">
        <f>IF(ISERROR(VLOOKUP($B23,[1]Hedef!$A$4:$ES$45409,55,0)),0,VLOOKUP($B23,[1]Hedef!$A$4:$ES$45409,55,0))</f>
        <v>0.1023</v>
      </c>
      <c r="O23" s="23" t="str">
        <f t="shared" si="37"/>
        <v>-</v>
      </c>
      <c r="P23" s="80" t="e">
        <f t="shared" si="38"/>
        <v>#DIV/0!</v>
      </c>
      <c r="R23" s="44">
        <v>1.9173500000000003</v>
      </c>
      <c r="S23" s="11">
        <f t="shared" si="39"/>
        <v>-0.94664510913500399</v>
      </c>
      <c r="U23" s="22">
        <f t="shared" si="40"/>
        <v>0</v>
      </c>
      <c r="V23" s="23">
        <f t="shared" si="41"/>
        <v>0.38269999999999998</v>
      </c>
      <c r="W23" s="23" t="str">
        <f t="shared" si="42"/>
        <v>-</v>
      </c>
      <c r="X23" s="80" t="e">
        <f t="shared" si="43"/>
        <v>#DIV/0!</v>
      </c>
      <c r="Z23" s="23">
        <f t="shared" si="44"/>
        <v>3.8478000000000012</v>
      </c>
      <c r="AA23" s="11">
        <f t="shared" si="45"/>
        <v>-0.90054056863662357</v>
      </c>
      <c r="AB23" s="45"/>
      <c r="AC23" s="12">
        <f>U23-'GENEL HEDEF'!AS23</f>
        <v>-4.2</v>
      </c>
      <c r="AD23" s="15">
        <f>V23-'GENEL HEDEF'!AT23</f>
        <v>0</v>
      </c>
      <c r="AE23" s="86">
        <f t="shared" si="10"/>
        <v>4.2</v>
      </c>
    </row>
    <row r="24" spans="2:31" x14ac:dyDescent="0.15">
      <c r="B24" s="31">
        <v>60</v>
      </c>
      <c r="C24" s="1" t="s">
        <v>62</v>
      </c>
      <c r="E24" s="22"/>
      <c r="F24" s="23">
        <f>IF(ISERROR(VLOOKUP($B24,[1]Hedef!$A$4:$ES$45409,51,0)),0,VLOOKUP($B24,[1]Hedef!$A$4:$ES$45409,51,0))</f>
        <v>7.6100000000000001E-2</v>
      </c>
      <c r="G24" s="23" t="str">
        <f t="shared" si="34"/>
        <v>-</v>
      </c>
      <c r="H24" s="80" t="e">
        <f t="shared" si="35"/>
        <v>#DIV/0!</v>
      </c>
      <c r="J24" s="44">
        <v>1.2093600000000002</v>
      </c>
      <c r="K24" s="11">
        <f t="shared" si="36"/>
        <v>-0.93707415492491897</v>
      </c>
      <c r="M24" s="22"/>
      <c r="N24" s="23">
        <f>IF(ISERROR(VLOOKUP($B24,[1]Hedef!$A$4:$ES$45409,55,0)),0,VLOOKUP($B24,[1]Hedef!$A$4:$ES$45409,55,0))</f>
        <v>9.6159999999999995E-2</v>
      </c>
      <c r="O24" s="23" t="str">
        <f t="shared" si="37"/>
        <v>-</v>
      </c>
      <c r="P24" s="80" t="e">
        <f t="shared" si="38"/>
        <v>#DIV/0!</v>
      </c>
      <c r="R24" s="44">
        <v>1.0426200000000001</v>
      </c>
      <c r="S24" s="11">
        <f t="shared" si="39"/>
        <v>-0.90777080815637523</v>
      </c>
      <c r="U24" s="22">
        <f t="shared" si="40"/>
        <v>0</v>
      </c>
      <c r="V24" s="23">
        <f t="shared" si="41"/>
        <v>0.17226</v>
      </c>
      <c r="W24" s="23" t="str">
        <f t="shared" si="42"/>
        <v>-</v>
      </c>
      <c r="X24" s="80" t="e">
        <f t="shared" si="43"/>
        <v>#DIV/0!</v>
      </c>
      <c r="Z24" s="23">
        <f t="shared" si="44"/>
        <v>2.2519800000000005</v>
      </c>
      <c r="AA24" s="11">
        <f t="shared" si="45"/>
        <v>-0.92350731356406357</v>
      </c>
      <c r="AB24" s="45"/>
      <c r="AC24" s="12">
        <f>U24-'GENEL HEDEF'!AS24</f>
        <v>-2.2999999999999998</v>
      </c>
      <c r="AD24" s="15">
        <f>V24-'GENEL HEDEF'!AT24</f>
        <v>0</v>
      </c>
      <c r="AE24" s="86">
        <f t="shared" si="10"/>
        <v>2.2999999999999998</v>
      </c>
    </row>
    <row r="25" spans="2:31" x14ac:dyDescent="0.15">
      <c r="B25" s="31">
        <v>45</v>
      </c>
      <c r="C25" s="1" t="s">
        <v>17</v>
      </c>
      <c r="E25" s="22"/>
      <c r="F25" s="23">
        <f>IF(ISERROR(VLOOKUP($B25,[1]Hedef!$A$4:$ES$45409,51,0)),0,VLOOKUP($B25,[1]Hedef!$A$4:$ES$45409,51,0))</f>
        <v>8.2000000000000003E-2</v>
      </c>
      <c r="G25" s="23" t="str">
        <f t="shared" si="34"/>
        <v>-</v>
      </c>
      <c r="H25" s="80" t="e">
        <f t="shared" si="35"/>
        <v>#DIV/0!</v>
      </c>
      <c r="J25" s="44">
        <v>1.2999999999999998</v>
      </c>
      <c r="K25" s="11">
        <f t="shared" si="36"/>
        <v>-0.93692307692307686</v>
      </c>
      <c r="M25" s="22"/>
      <c r="N25" s="23">
        <f>IF(ISERROR(VLOOKUP($B25,[1]Hedef!$A$4:$ES$45409,55,0)),0,VLOOKUP($B25,[1]Hedef!$A$4:$ES$45409,55,0))</f>
        <v>0.59050000000000002</v>
      </c>
      <c r="O25" s="23" t="str">
        <f t="shared" si="37"/>
        <v>-</v>
      </c>
      <c r="P25" s="80" t="e">
        <f t="shared" si="38"/>
        <v>#DIV/0!</v>
      </c>
      <c r="R25" s="44">
        <v>0.67700000000000005</v>
      </c>
      <c r="S25" s="11">
        <f t="shared" si="39"/>
        <v>-0.12776957163958644</v>
      </c>
      <c r="U25" s="22">
        <f t="shared" si="40"/>
        <v>0</v>
      </c>
      <c r="V25" s="23">
        <f t="shared" si="41"/>
        <v>0.67249999999999999</v>
      </c>
      <c r="W25" s="23" t="str">
        <f t="shared" si="42"/>
        <v>-</v>
      </c>
      <c r="X25" s="80" t="e">
        <f t="shared" si="43"/>
        <v>#DIV/0!</v>
      </c>
      <c r="Z25" s="23">
        <f t="shared" si="44"/>
        <v>1.9769999999999999</v>
      </c>
      <c r="AA25" s="11">
        <f t="shared" si="45"/>
        <v>-0.65983813859382912</v>
      </c>
      <c r="AB25" s="45"/>
      <c r="AC25" s="12">
        <f>U25-'GENEL HEDEF'!AS25</f>
        <v>-2.8</v>
      </c>
      <c r="AD25" s="15">
        <f>V25-'GENEL HEDEF'!AT25</f>
        <v>0</v>
      </c>
      <c r="AE25" s="86">
        <f t="shared" si="10"/>
        <v>2.8</v>
      </c>
    </row>
    <row r="26" spans="2:31" x14ac:dyDescent="0.15">
      <c r="B26" s="31">
        <v>12</v>
      </c>
      <c r="C26" s="1" t="s">
        <v>18</v>
      </c>
      <c r="E26" s="22"/>
      <c r="F26" s="23">
        <f>IF(ISERROR(VLOOKUP($B26,[1]Hedef!$A$4:$ES$45409,51,0)),0,VLOOKUP($B26,[1]Hedef!$A$4:$ES$45409,51,0))</f>
        <v>0</v>
      </c>
      <c r="G26" s="23">
        <f t="shared" si="34"/>
        <v>0</v>
      </c>
      <c r="H26" s="80" t="e">
        <f t="shared" si="35"/>
        <v>#DIV/0!</v>
      </c>
      <c r="J26" s="44">
        <v>0.04</v>
      </c>
      <c r="K26" s="11">
        <f t="shared" si="36"/>
        <v>-1</v>
      </c>
      <c r="M26" s="22"/>
      <c r="N26" s="23">
        <f>IF(ISERROR(VLOOKUP($B26,[1]Hedef!$A$4:$ES$45409,55,0)),0,VLOOKUP($B26,[1]Hedef!$A$4:$ES$45409,55,0))</f>
        <v>7.2550000000000003E-2</v>
      </c>
      <c r="O26" s="23" t="str">
        <f t="shared" si="37"/>
        <v>-</v>
      </c>
      <c r="P26" s="80" t="e">
        <f t="shared" ref="P26:P29" si="46">TRUNC(IF((N26/M26)&gt;1.2,"120%",(N26/M26)),2)</f>
        <v>#DIV/0!</v>
      </c>
      <c r="R26" s="44">
        <v>0.4289</v>
      </c>
      <c r="S26" s="11">
        <f t="shared" si="39"/>
        <v>-0.83084635113079974</v>
      </c>
      <c r="U26" s="22">
        <f t="shared" si="40"/>
        <v>0</v>
      </c>
      <c r="V26" s="23">
        <f t="shared" si="41"/>
        <v>7.2550000000000003E-2</v>
      </c>
      <c r="W26" s="23" t="str">
        <f t="shared" si="42"/>
        <v>-</v>
      </c>
      <c r="X26" s="80" t="e">
        <f t="shared" si="43"/>
        <v>#DIV/0!</v>
      </c>
      <c r="Z26" s="23">
        <f t="shared" si="44"/>
        <v>0.46889999999999998</v>
      </c>
      <c r="AA26" s="11">
        <f t="shared" si="45"/>
        <v>-0.84527617828961399</v>
      </c>
      <c r="AB26" s="45"/>
      <c r="AC26" s="12">
        <f>U26-'GENEL HEDEF'!AS26</f>
        <v>-0.9</v>
      </c>
      <c r="AD26" s="15">
        <f>V26-'GENEL HEDEF'!AT26</f>
        <v>0</v>
      </c>
      <c r="AE26" s="86">
        <f t="shared" si="10"/>
        <v>0.9</v>
      </c>
    </row>
    <row r="27" spans="2:31" x14ac:dyDescent="0.15">
      <c r="B27" s="31">
        <v>13</v>
      </c>
      <c r="C27" s="1" t="s">
        <v>106</v>
      </c>
      <c r="E27" s="22"/>
      <c r="F27" s="23">
        <f>IF(ISERROR(VLOOKUP($B27,[1]Hedef!$A$4:$ES$45409,51,0)),0,VLOOKUP($B27,[1]Hedef!$A$4:$ES$45409,51,0))</f>
        <v>8.8400000000000006E-2</v>
      </c>
      <c r="G27" s="23" t="str">
        <f t="shared" si="34"/>
        <v>-</v>
      </c>
      <c r="H27" s="80" t="e">
        <f t="shared" si="35"/>
        <v>#DIV/0!</v>
      </c>
      <c r="J27" s="44">
        <v>6.5113199999999996</v>
      </c>
      <c r="K27" s="11">
        <f t="shared" si="36"/>
        <v>-0.98642364374658287</v>
      </c>
      <c r="M27" s="22"/>
      <c r="N27" s="23">
        <f>IF(ISERROR(VLOOKUP($B27,[1]Hedef!$A$4:$ES$45409,55,0)),0,VLOOKUP($B27,[1]Hedef!$A$4:$ES$45409,55,0))</f>
        <v>0.13218000000000002</v>
      </c>
      <c r="O27" s="23" t="str">
        <f t="shared" si="37"/>
        <v>-</v>
      </c>
      <c r="P27" s="80" t="e">
        <f t="shared" si="46"/>
        <v>#DIV/0!</v>
      </c>
      <c r="R27" s="44">
        <v>3.3321900000000002</v>
      </c>
      <c r="S27" s="11">
        <f t="shared" si="39"/>
        <v>-0.96033239401114578</v>
      </c>
      <c r="U27" s="22">
        <f t="shared" si="40"/>
        <v>0</v>
      </c>
      <c r="V27" s="23">
        <f t="shared" si="41"/>
        <v>0.22058000000000003</v>
      </c>
      <c r="W27" s="23" t="str">
        <f t="shared" si="42"/>
        <v>-</v>
      </c>
      <c r="X27" s="80" t="e">
        <f t="shared" si="43"/>
        <v>#DIV/0!</v>
      </c>
      <c r="Z27" s="23">
        <f t="shared" si="44"/>
        <v>9.8435100000000002</v>
      </c>
      <c r="AA27" s="11">
        <f t="shared" si="45"/>
        <v>-0.97759132667107562</v>
      </c>
      <c r="AB27" s="45"/>
      <c r="AC27" s="12">
        <f>U27-'GENEL HEDEF'!AS27</f>
        <v>-4.8</v>
      </c>
      <c r="AD27" s="15">
        <f>V27-'GENEL HEDEF'!AT27</f>
        <v>0</v>
      </c>
      <c r="AE27" s="86">
        <f t="shared" si="10"/>
        <v>4.8</v>
      </c>
    </row>
    <row r="28" spans="2:31" x14ac:dyDescent="0.15">
      <c r="B28" s="31">
        <v>21</v>
      </c>
      <c r="C28" s="1" t="s">
        <v>70</v>
      </c>
      <c r="E28" s="22"/>
      <c r="F28" s="23">
        <f>IF(ISERROR(VLOOKUP($B28,[1]Hedef!$A$4:$ES$45409,51,0)),0,VLOOKUP($B28,[1]Hedef!$A$4:$ES$45409,51,0))</f>
        <v>7.4999999999999997E-2</v>
      </c>
      <c r="G28" s="23" t="str">
        <f t="shared" si="34"/>
        <v>-</v>
      </c>
      <c r="H28" s="80" t="e">
        <f t="shared" si="35"/>
        <v>#DIV/0!</v>
      </c>
      <c r="J28" s="44">
        <v>23.099999999999998</v>
      </c>
      <c r="K28" s="11">
        <f t="shared" si="36"/>
        <v>-0.99675324675324684</v>
      </c>
      <c r="M28" s="22"/>
      <c r="N28" s="23">
        <f>IF(ISERROR(VLOOKUP($B28,[1]Hedef!$A$4:$ES$45409,55,0)),0,VLOOKUP($B28,[1]Hedef!$A$4:$ES$45409,55,0))</f>
        <v>0</v>
      </c>
      <c r="O28" s="23">
        <f t="shared" si="37"/>
        <v>0</v>
      </c>
      <c r="P28" s="80" t="e">
        <f t="shared" si="46"/>
        <v>#DIV/0!</v>
      </c>
      <c r="R28" s="44">
        <v>47.55</v>
      </c>
      <c r="S28" s="11">
        <f t="shared" si="39"/>
        <v>-1</v>
      </c>
      <c r="U28" s="22">
        <f t="shared" si="40"/>
        <v>0</v>
      </c>
      <c r="V28" s="23">
        <f t="shared" si="41"/>
        <v>7.4999999999999997E-2</v>
      </c>
      <c r="W28" s="23" t="str">
        <f t="shared" si="42"/>
        <v>-</v>
      </c>
      <c r="X28" s="80" t="e">
        <f t="shared" si="43"/>
        <v>#DIV/0!</v>
      </c>
      <c r="Z28" s="23">
        <f t="shared" si="44"/>
        <v>70.649999999999991</v>
      </c>
      <c r="AA28" s="11">
        <f t="shared" si="45"/>
        <v>-0.99893842887473461</v>
      </c>
      <c r="AB28" s="45"/>
      <c r="AC28" s="12">
        <f>U28-'GENEL HEDEF'!AS28</f>
        <v>-32.299999999999997</v>
      </c>
      <c r="AD28" s="15">
        <f>V28-'GENEL HEDEF'!AT28</f>
        <v>0</v>
      </c>
      <c r="AE28" s="86">
        <f t="shared" si="10"/>
        <v>32.299999999999997</v>
      </c>
    </row>
    <row r="29" spans="2:31" ht="13" thickBot="1" x14ac:dyDescent="0.2">
      <c r="B29" s="31">
        <v>40</v>
      </c>
      <c r="C29" s="1" t="s">
        <v>19</v>
      </c>
      <c r="E29" s="22"/>
      <c r="F29" s="23">
        <f>IF(ISERROR(VLOOKUP($B29,[1]Hedef!$A$4:$ES$45409,51,0)),0,VLOOKUP($B29,[1]Hedef!$A$4:$ES$45409,51,0))</f>
        <v>2.5000000000000001E-2</v>
      </c>
      <c r="G29" s="23" t="str">
        <f t="shared" si="34"/>
        <v>-</v>
      </c>
      <c r="H29" s="80" t="e">
        <f t="shared" si="35"/>
        <v>#DIV/0!</v>
      </c>
      <c r="J29" s="44">
        <v>0.1</v>
      </c>
      <c r="K29" s="11">
        <f t="shared" si="36"/>
        <v>-0.75000000000000011</v>
      </c>
      <c r="M29" s="22"/>
      <c r="N29" s="23">
        <f>IF(ISERROR(VLOOKUP($B29,[1]Hedef!$A$4:$ES$45409,55,0)),0,VLOOKUP($B29,[1]Hedef!$A$4:$ES$45409,55,0))</f>
        <v>0.11000000000000001</v>
      </c>
      <c r="O29" s="23" t="str">
        <f t="shared" si="37"/>
        <v>-</v>
      </c>
      <c r="P29" s="80" t="e">
        <f t="shared" si="46"/>
        <v>#DIV/0!</v>
      </c>
      <c r="R29" s="44">
        <v>1.6</v>
      </c>
      <c r="S29" s="11">
        <f t="shared" si="39"/>
        <v>-0.93124999999999991</v>
      </c>
      <c r="U29" s="22">
        <f t="shared" si="40"/>
        <v>0</v>
      </c>
      <c r="V29" s="23">
        <f t="shared" si="41"/>
        <v>0.13500000000000001</v>
      </c>
      <c r="W29" s="23" t="str">
        <f t="shared" si="42"/>
        <v>-</v>
      </c>
      <c r="X29" s="80" t="e">
        <f t="shared" si="43"/>
        <v>#DIV/0!</v>
      </c>
      <c r="Z29" s="23">
        <f t="shared" si="44"/>
        <v>1.7000000000000002</v>
      </c>
      <c r="AA29" s="11">
        <f t="shared" si="45"/>
        <v>-0.9205882352941176</v>
      </c>
      <c r="AB29" s="45"/>
      <c r="AC29" s="12">
        <f>U29-'GENEL HEDEF'!AS29</f>
        <v>-1.7</v>
      </c>
      <c r="AD29" s="15">
        <f>V29-'GENEL HEDEF'!AT29</f>
        <v>0</v>
      </c>
      <c r="AE29" s="86">
        <f t="shared" si="10"/>
        <v>1.7</v>
      </c>
    </row>
    <row r="30" spans="2:31" ht="14" thickTop="1" thickBot="1" x14ac:dyDescent="0.2">
      <c r="B30" s="18"/>
      <c r="C30" s="2" t="s">
        <v>20</v>
      </c>
      <c r="E30" s="67">
        <f>SUM(E22:E29)</f>
        <v>0</v>
      </c>
      <c r="F30" s="67">
        <f>SUM(F22:F29)</f>
        <v>0.81329999999999991</v>
      </c>
      <c r="G30" s="67">
        <f>SUM(G22:G29)</f>
        <v>0</v>
      </c>
      <c r="H30" s="39" t="e">
        <f>TRUNC(IF((F30/E30)&gt;1.2,"120%",(F30/E30)),2)</f>
        <v>#DIV/0!</v>
      </c>
      <c r="I30" s="78"/>
      <c r="J30" s="48"/>
      <c r="K30" s="48"/>
      <c r="L30" s="78"/>
      <c r="M30" s="67">
        <f>SUM(M22:M29)</f>
        <v>0</v>
      </c>
      <c r="N30" s="67">
        <f>SUM(N22:N29)</f>
        <v>1.2034900000000002</v>
      </c>
      <c r="O30" s="67">
        <f>SUM(O22:O29)</f>
        <v>0</v>
      </c>
      <c r="P30" s="39" t="e">
        <f>TRUNC(IF((N30/M30)&gt;1.2,"120%",(N30/M30)),2)</f>
        <v>#DIV/0!</v>
      </c>
      <c r="Q30" s="78"/>
      <c r="R30" s="48"/>
      <c r="S30" s="48"/>
      <c r="T30" s="78"/>
      <c r="U30" s="67">
        <f>SUM(U22:U29)</f>
        <v>0</v>
      </c>
      <c r="V30" s="67">
        <f>SUM(V22:V29)</f>
        <v>2.0167899999999999</v>
      </c>
      <c r="W30" s="67">
        <f>SUM(W22:W29)</f>
        <v>0</v>
      </c>
      <c r="X30" s="39" t="e">
        <f>TRUNC(IF((V30/U30)&gt;1.2,"120%",(V30/U30)),2)</f>
        <v>#DIV/0!</v>
      </c>
      <c r="Z30" s="67"/>
      <c r="AA30" s="48"/>
      <c r="AB30" s="45"/>
      <c r="AC30" s="8"/>
      <c r="AD30" s="9"/>
      <c r="AE30" s="86">
        <f t="shared" si="10"/>
        <v>0</v>
      </c>
    </row>
    <row r="31" spans="2:31" ht="13" thickTop="1" x14ac:dyDescent="0.15">
      <c r="B31" s="18">
        <v>15</v>
      </c>
      <c r="C31" s="1" t="s">
        <v>21</v>
      </c>
      <c r="E31" s="22"/>
      <c r="F31" s="23">
        <f>IF(ISERROR(VLOOKUP($B31,[1]Hedef!$A$4:$ES$45409,51,0)),0,VLOOKUP($B31,[1]Hedef!$A$4:$ES$45409,51,0))</f>
        <v>4.7880000000000006E-2</v>
      </c>
      <c r="G31" s="23" t="str">
        <f t="shared" ref="G31:G38" si="47">IF((E31-F31)&lt;0, "-", (E31-F31))</f>
        <v>-</v>
      </c>
      <c r="H31" s="80" t="e">
        <f t="shared" ref="H31:H38" si="48">TRUNC(IF((F31/E31)&gt;1.2,"120%",(F31/E31)),2)</f>
        <v>#DIV/0!</v>
      </c>
      <c r="J31" s="44">
        <v>0.90396500000000013</v>
      </c>
      <c r="K31" s="11">
        <f t="shared" ref="K31:K38" si="49">IF(ISERROR((F31-J31)/J31),0,(F31-J31)/J31)</f>
        <v>-0.9470333475300482</v>
      </c>
      <c r="M31" s="22"/>
      <c r="N31" s="23">
        <f>IF(ISERROR(VLOOKUP($B31,[1]Hedef!$A$4:$ES$45409,55,0)),0,VLOOKUP($B31,[1]Hedef!$A$4:$ES$45409,55,0))</f>
        <v>8.2295000000000007E-2</v>
      </c>
      <c r="O31" s="23" t="str">
        <f t="shared" ref="O31:O38" si="50">IF((M31-N31)&lt;0, "-", (M31-N31))</f>
        <v>-</v>
      </c>
      <c r="P31" s="80" t="e">
        <f t="shared" ref="P31:P38" si="51">TRUNC(IF((N31/M31)&gt;1.2,"120%",(N31/M31)),2)</f>
        <v>#DIV/0!</v>
      </c>
      <c r="R31" s="44">
        <v>1.9529350000000001</v>
      </c>
      <c r="S31" s="11">
        <f t="shared" ref="S31:S38" si="52">IF(ISERROR((N31-R31)/R31),0,(N31-R31)/R31)</f>
        <v>-0.95786086070452936</v>
      </c>
      <c r="U31" s="22">
        <f t="shared" ref="U31:U38" si="53">M31+E31</f>
        <v>0</v>
      </c>
      <c r="V31" s="23">
        <f t="shared" ref="V31:V38" si="54">+N31+F31</f>
        <v>0.13017500000000001</v>
      </c>
      <c r="W31" s="23" t="str">
        <f t="shared" ref="W31:W38" si="55">IF((U31-V31)&lt;0, "-", (U31-V31))</f>
        <v>-</v>
      </c>
      <c r="X31" s="80" t="e">
        <f t="shared" ref="X31:X38" si="56">TRUNC(IF((V31/U31)&gt;1.2,"120%",(V31/U31)),2)</f>
        <v>#DIV/0!</v>
      </c>
      <c r="Z31" s="23">
        <f t="shared" ref="Z31:Z38" si="57">+R31+J31</f>
        <v>2.8569000000000004</v>
      </c>
      <c r="AA31" s="11">
        <f t="shared" si="45"/>
        <v>-0.95443487696454199</v>
      </c>
      <c r="AB31" s="45"/>
      <c r="AC31" s="12">
        <f>U31-'GENEL HEDEF'!AS31</f>
        <v>-3</v>
      </c>
      <c r="AD31" s="15">
        <f>V31-'GENEL HEDEF'!AT31</f>
        <v>0</v>
      </c>
      <c r="AE31" s="86">
        <f t="shared" si="10"/>
        <v>3</v>
      </c>
    </row>
    <row r="32" spans="2:31" x14ac:dyDescent="0.15">
      <c r="B32" s="18">
        <v>57</v>
      </c>
      <c r="C32" s="1" t="s">
        <v>44</v>
      </c>
      <c r="E32" s="22"/>
      <c r="F32" s="23">
        <f>IF(ISERROR(VLOOKUP($B32,[1]Hedef!$A$4:$ES$45409,51,0)),0,VLOOKUP($B32,[1]Hedef!$A$4:$ES$45409,51,0))</f>
        <v>8.2000000000000007E-3</v>
      </c>
      <c r="G32" s="23" t="str">
        <f t="shared" si="47"/>
        <v>-</v>
      </c>
      <c r="H32" s="80" t="e">
        <f t="shared" si="48"/>
        <v>#DIV/0!</v>
      </c>
      <c r="J32" s="44">
        <v>9.8560000000000009E-2</v>
      </c>
      <c r="K32" s="11">
        <f t="shared" si="49"/>
        <v>-0.91680194805194803</v>
      </c>
      <c r="M32" s="22"/>
      <c r="N32" s="23">
        <f>IF(ISERROR(VLOOKUP($B32,[1]Hedef!$A$4:$ES$45409,55,0)),0,VLOOKUP($B32,[1]Hedef!$A$4:$ES$45409,55,0))</f>
        <v>7.2520000000000001E-2</v>
      </c>
      <c r="O32" s="23" t="str">
        <f t="shared" si="50"/>
        <v>-</v>
      </c>
      <c r="P32" s="80" t="e">
        <f t="shared" si="51"/>
        <v>#DIV/0!</v>
      </c>
      <c r="R32" s="44">
        <v>0.32765</v>
      </c>
      <c r="S32" s="11">
        <f t="shared" si="52"/>
        <v>-0.77866625972836856</v>
      </c>
      <c r="U32" s="22">
        <f t="shared" si="53"/>
        <v>0</v>
      </c>
      <c r="V32" s="23">
        <f t="shared" si="54"/>
        <v>8.072E-2</v>
      </c>
      <c r="W32" s="23" t="str">
        <f t="shared" si="55"/>
        <v>-</v>
      </c>
      <c r="X32" s="80" t="e">
        <f t="shared" si="56"/>
        <v>#DIV/0!</v>
      </c>
      <c r="Z32" s="23">
        <f t="shared" si="57"/>
        <v>0.42620999999999998</v>
      </c>
      <c r="AA32" s="11">
        <f t="shared" si="45"/>
        <v>-0.81060979329438532</v>
      </c>
      <c r="AB32" s="45"/>
      <c r="AC32" s="12">
        <f>U32-'GENEL HEDEF'!AS32</f>
        <v>-0.44</v>
      </c>
      <c r="AD32" s="15">
        <f>V32-'GENEL HEDEF'!AT32</f>
        <v>0</v>
      </c>
      <c r="AE32" s="86">
        <f t="shared" si="10"/>
        <v>0.44</v>
      </c>
    </row>
    <row r="33" spans="2:31" x14ac:dyDescent="0.15">
      <c r="B33" s="18">
        <v>16</v>
      </c>
      <c r="C33" s="1" t="s">
        <v>22</v>
      </c>
      <c r="E33" s="22"/>
      <c r="F33" s="23">
        <f>IF(ISERROR(VLOOKUP($B33,[1]Hedef!$A$4:$ES$45409,51,0)),0,VLOOKUP($B33,[1]Hedef!$A$4:$ES$45409,51,0))</f>
        <v>8.3999999999999995E-3</v>
      </c>
      <c r="G33" s="23" t="str">
        <f t="shared" si="47"/>
        <v>-</v>
      </c>
      <c r="H33" s="80" t="e">
        <f t="shared" si="48"/>
        <v>#DIV/0!</v>
      </c>
      <c r="J33" s="44">
        <v>0.177315</v>
      </c>
      <c r="K33" s="11">
        <f t="shared" si="49"/>
        <v>-0.95262668132983674</v>
      </c>
      <c r="M33" s="22"/>
      <c r="N33" s="23">
        <f>IF(ISERROR(VLOOKUP($B33,[1]Hedef!$A$4:$ES$45409,55,0)),0,VLOOKUP($B33,[1]Hedef!$A$4:$ES$45409,55,0))</f>
        <v>4.6559999999999997E-2</v>
      </c>
      <c r="O33" s="23" t="str">
        <f t="shared" si="50"/>
        <v>-</v>
      </c>
      <c r="P33" s="80" t="e">
        <f t="shared" si="51"/>
        <v>#DIV/0!</v>
      </c>
      <c r="R33" s="44">
        <v>0.37129500000000004</v>
      </c>
      <c r="S33" s="11">
        <f t="shared" si="52"/>
        <v>-0.87460105845756075</v>
      </c>
      <c r="U33" s="22">
        <f t="shared" si="53"/>
        <v>0</v>
      </c>
      <c r="V33" s="23">
        <f t="shared" si="54"/>
        <v>5.4959999999999995E-2</v>
      </c>
      <c r="W33" s="23" t="str">
        <f t="shared" si="55"/>
        <v>-</v>
      </c>
      <c r="X33" s="80" t="e">
        <f t="shared" si="56"/>
        <v>#DIV/0!</v>
      </c>
      <c r="Z33" s="23">
        <f t="shared" si="57"/>
        <v>0.54861000000000004</v>
      </c>
      <c r="AA33" s="11">
        <f t="shared" si="45"/>
        <v>-0.89981954393831687</v>
      </c>
      <c r="AB33" s="45"/>
      <c r="AC33" s="12">
        <f>U33-'GENEL HEDEF'!AS33</f>
        <v>-0.8</v>
      </c>
      <c r="AD33" s="15">
        <f>V33-'GENEL HEDEF'!AT33</f>
        <v>0</v>
      </c>
      <c r="AE33" s="86">
        <f t="shared" si="10"/>
        <v>0.8</v>
      </c>
    </row>
    <row r="34" spans="2:31" x14ac:dyDescent="0.15">
      <c r="B34" s="18">
        <v>43</v>
      </c>
      <c r="C34" s="1" t="s">
        <v>23</v>
      </c>
      <c r="E34" s="22"/>
      <c r="F34" s="23">
        <f>IF(ISERROR(VLOOKUP($B34,[1]Hedef!$A$4:$ES$45409,51,0)),0,VLOOKUP($B34,[1]Hedef!$A$4:$ES$45409,51,0))</f>
        <v>2.2865E-2</v>
      </c>
      <c r="G34" s="23" t="str">
        <f t="shared" si="47"/>
        <v>-</v>
      </c>
      <c r="H34" s="80" t="e">
        <f t="shared" si="48"/>
        <v>#DIV/0!</v>
      </c>
      <c r="J34" s="44">
        <v>0.114205</v>
      </c>
      <c r="K34" s="11">
        <f t="shared" si="49"/>
        <v>-0.79978985158268034</v>
      </c>
      <c r="M34" s="22"/>
      <c r="N34" s="23">
        <f>IF(ISERROR(VLOOKUP($B34,[1]Hedef!$A$4:$ES$45409,55,0)),0,VLOOKUP($B34,[1]Hedef!$A$4:$ES$45409,55,0))</f>
        <v>1.321E-2</v>
      </c>
      <c r="O34" s="23" t="str">
        <f t="shared" si="50"/>
        <v>-</v>
      </c>
      <c r="P34" s="80" t="e">
        <f t="shared" si="51"/>
        <v>#DIV/0!</v>
      </c>
      <c r="R34" s="44">
        <v>3.8245000000000001E-2</v>
      </c>
      <c r="S34" s="11">
        <f t="shared" si="52"/>
        <v>-0.65459537194404505</v>
      </c>
      <c r="U34" s="22">
        <f t="shared" si="53"/>
        <v>0</v>
      </c>
      <c r="V34" s="23">
        <f t="shared" si="54"/>
        <v>3.6074999999999996E-2</v>
      </c>
      <c r="W34" s="23" t="str">
        <f t="shared" si="55"/>
        <v>-</v>
      </c>
      <c r="X34" s="80" t="e">
        <f t="shared" si="56"/>
        <v>#DIV/0!</v>
      </c>
      <c r="Z34" s="23">
        <f t="shared" si="57"/>
        <v>0.15245</v>
      </c>
      <c r="AA34" s="11">
        <f t="shared" si="45"/>
        <v>-0.76336503771728437</v>
      </c>
      <c r="AB34" s="45"/>
      <c r="AC34" s="12">
        <f>U34-'GENEL HEDEF'!AS34</f>
        <v>-0.3</v>
      </c>
      <c r="AD34" s="15">
        <f>V34-'GENEL HEDEF'!AT34</f>
        <v>0</v>
      </c>
      <c r="AE34" s="86">
        <f t="shared" si="10"/>
        <v>0.3</v>
      </c>
    </row>
    <row r="35" spans="2:31" x14ac:dyDescent="0.15">
      <c r="B35" s="18">
        <v>18</v>
      </c>
      <c r="C35" s="1" t="s">
        <v>67</v>
      </c>
      <c r="E35" s="22"/>
      <c r="F35" s="23">
        <f>IF(ISERROR(VLOOKUP($B35,[1]Hedef!$A$4:$ES$45409,51,0)),0,VLOOKUP($B35,[1]Hedef!$A$4:$ES$45409,51,0))</f>
        <v>1.04E-2</v>
      </c>
      <c r="G35" s="23" t="str">
        <f t="shared" si="47"/>
        <v>-</v>
      </c>
      <c r="H35" s="80" t="e">
        <f t="shared" si="48"/>
        <v>#DIV/0!</v>
      </c>
      <c r="J35" s="44">
        <v>0.3</v>
      </c>
      <c r="K35" s="11">
        <f t="shared" si="49"/>
        <v>-0.96533333333333327</v>
      </c>
      <c r="M35" s="22"/>
      <c r="N35" s="23">
        <f>IF(ISERROR(VLOOKUP($B35,[1]Hedef!$A$4:$ES$45409,55,0)),0,VLOOKUP($B35,[1]Hedef!$A$4:$ES$45409,55,0))</f>
        <v>3.7199999999999997E-2</v>
      </c>
      <c r="O35" s="23" t="str">
        <f t="shared" si="50"/>
        <v>-</v>
      </c>
      <c r="P35" s="80" t="e">
        <f t="shared" si="51"/>
        <v>#DIV/0!</v>
      </c>
      <c r="R35" s="44">
        <v>3.5200000000000002E-2</v>
      </c>
      <c r="S35" s="11">
        <f t="shared" si="52"/>
        <v>5.6818181818181671E-2</v>
      </c>
      <c r="U35" s="22">
        <f t="shared" si="53"/>
        <v>0</v>
      </c>
      <c r="V35" s="23">
        <f t="shared" si="54"/>
        <v>4.7599999999999996E-2</v>
      </c>
      <c r="W35" s="23" t="str">
        <f t="shared" si="55"/>
        <v>-</v>
      </c>
      <c r="X35" s="80" t="e">
        <f t="shared" si="56"/>
        <v>#DIV/0!</v>
      </c>
      <c r="Z35" s="23">
        <f t="shared" si="57"/>
        <v>0.3352</v>
      </c>
      <c r="AA35" s="11">
        <f t="shared" si="45"/>
        <v>-0.85799522673031037</v>
      </c>
      <c r="AB35" s="45"/>
      <c r="AC35" s="12">
        <f>U35-'GENEL HEDEF'!AS35</f>
        <v>-0.46</v>
      </c>
      <c r="AD35" s="15">
        <f>V35-'GENEL HEDEF'!AT35</f>
        <v>0</v>
      </c>
      <c r="AE35" s="86">
        <f t="shared" si="10"/>
        <v>0.46</v>
      </c>
    </row>
    <row r="36" spans="2:31" x14ac:dyDescent="0.15">
      <c r="B36" s="18">
        <v>51</v>
      </c>
      <c r="C36" s="1" t="s">
        <v>24</v>
      </c>
      <c r="E36" s="22"/>
      <c r="F36" s="23">
        <f>IF(ISERROR(VLOOKUP($B36,[1]Hedef!$A$4:$ES$45409,51,0)),0,VLOOKUP($B36,[1]Hedef!$A$4:$ES$45409,51,0))</f>
        <v>9.4000000000000004E-3</v>
      </c>
      <c r="G36" s="23" t="str">
        <f t="shared" si="47"/>
        <v>-</v>
      </c>
      <c r="H36" s="80" t="e">
        <f t="shared" si="48"/>
        <v>#DIV/0!</v>
      </c>
      <c r="J36" s="44">
        <v>0.60724999999999996</v>
      </c>
      <c r="K36" s="11">
        <f t="shared" si="49"/>
        <v>-0.98452037875669007</v>
      </c>
      <c r="M36" s="22"/>
      <c r="N36" s="23">
        <f>IF(ISERROR(VLOOKUP($B36,[1]Hedef!$A$4:$ES$45409,55,0)),0,VLOOKUP($B36,[1]Hedef!$A$4:$ES$45409,55,0))</f>
        <v>1.2240000000000001E-2</v>
      </c>
      <c r="O36" s="23" t="str">
        <f t="shared" si="50"/>
        <v>-</v>
      </c>
      <c r="P36" s="80" t="e">
        <f t="shared" si="51"/>
        <v>#DIV/0!</v>
      </c>
      <c r="R36" s="44">
        <v>0.41422999999999999</v>
      </c>
      <c r="S36" s="11">
        <f t="shared" si="52"/>
        <v>-0.97045119860946805</v>
      </c>
      <c r="U36" s="22">
        <f t="shared" si="53"/>
        <v>0</v>
      </c>
      <c r="V36" s="23">
        <f t="shared" si="54"/>
        <v>2.164E-2</v>
      </c>
      <c r="W36" s="23" t="str">
        <f t="shared" si="55"/>
        <v>-</v>
      </c>
      <c r="X36" s="80" t="e">
        <f t="shared" si="56"/>
        <v>#DIV/0!</v>
      </c>
      <c r="Z36" s="23">
        <f t="shared" si="57"/>
        <v>1.0214799999999999</v>
      </c>
      <c r="AA36" s="11">
        <f t="shared" si="45"/>
        <v>-0.97881505266867685</v>
      </c>
      <c r="AB36" s="45"/>
      <c r="AC36" s="12">
        <f>U36-'GENEL HEDEF'!AS36</f>
        <v>-1</v>
      </c>
      <c r="AD36" s="15">
        <f>V36-'GENEL HEDEF'!AT36</f>
        <v>0</v>
      </c>
      <c r="AE36" s="86">
        <f t="shared" si="10"/>
        <v>1</v>
      </c>
    </row>
    <row r="37" spans="2:31" x14ac:dyDescent="0.15">
      <c r="B37" s="18">
        <v>19</v>
      </c>
      <c r="C37" s="1" t="s">
        <v>25</v>
      </c>
      <c r="E37" s="22"/>
      <c r="F37" s="23">
        <f>IF(ISERROR(VLOOKUP($B37,[1]Hedef!$A$4:$ES$45409,51,0)),0,VLOOKUP($B37,[1]Hedef!$A$4:$ES$45409,51,0))</f>
        <v>0</v>
      </c>
      <c r="G37" s="23">
        <f t="shared" si="47"/>
        <v>0</v>
      </c>
      <c r="H37" s="80" t="e">
        <f t="shared" si="48"/>
        <v>#DIV/0!</v>
      </c>
      <c r="J37" s="44">
        <v>6.0709999999999993E-2</v>
      </c>
      <c r="K37" s="11">
        <f t="shared" si="49"/>
        <v>-1</v>
      </c>
      <c r="M37" s="22"/>
      <c r="N37" s="23">
        <f>IF(ISERROR(VLOOKUP($B37,[1]Hedef!$A$4:$ES$45409,55,0)),0,VLOOKUP($B37,[1]Hedef!$A$4:$ES$45409,55,0))</f>
        <v>9.7199999999999995E-3</v>
      </c>
      <c r="O37" s="23" t="str">
        <f t="shared" si="50"/>
        <v>-</v>
      </c>
      <c r="P37" s="80" t="e">
        <f t="shared" si="51"/>
        <v>#DIV/0!</v>
      </c>
      <c r="R37" s="44">
        <v>0.10457000000000001</v>
      </c>
      <c r="S37" s="11">
        <f t="shared" si="52"/>
        <v>-0.90704791049058053</v>
      </c>
      <c r="U37" s="22">
        <f t="shared" si="53"/>
        <v>0</v>
      </c>
      <c r="V37" s="23">
        <f t="shared" si="54"/>
        <v>9.7199999999999995E-3</v>
      </c>
      <c r="W37" s="23" t="str">
        <f t="shared" si="55"/>
        <v>-</v>
      </c>
      <c r="X37" s="80" t="e">
        <f t="shared" si="56"/>
        <v>#DIV/0!</v>
      </c>
      <c r="Z37" s="23">
        <f t="shared" si="57"/>
        <v>0.16528000000000001</v>
      </c>
      <c r="AA37" s="11">
        <f t="shared" si="45"/>
        <v>-0.94119070667957405</v>
      </c>
      <c r="AB37" s="45"/>
      <c r="AC37" s="12">
        <f>U37-'GENEL HEDEF'!AS37</f>
        <v>-0.24</v>
      </c>
      <c r="AD37" s="15">
        <f>V37-'GENEL HEDEF'!AT37</f>
        <v>0</v>
      </c>
      <c r="AE37" s="86">
        <f t="shared" si="10"/>
        <v>0.24</v>
      </c>
    </row>
    <row r="38" spans="2:31" ht="13" thickBot="1" x14ac:dyDescent="0.2">
      <c r="B38" s="18">
        <v>20</v>
      </c>
      <c r="C38" s="1" t="s">
        <v>63</v>
      </c>
      <c r="E38" s="22"/>
      <c r="F38" s="23">
        <f>IF(ISERROR(VLOOKUP($B38,[1]Hedef!$A$4:$ES$45409,51,0)),0,VLOOKUP($B38,[1]Hedef!$A$4:$ES$45409,51,0))</f>
        <v>0</v>
      </c>
      <c r="G38" s="23">
        <f t="shared" si="47"/>
        <v>0</v>
      </c>
      <c r="H38" s="80" t="e">
        <f t="shared" si="48"/>
        <v>#DIV/0!</v>
      </c>
      <c r="J38" s="44">
        <v>0.20500000000000002</v>
      </c>
      <c r="K38" s="11">
        <f t="shared" si="49"/>
        <v>-1</v>
      </c>
      <c r="M38" s="22"/>
      <c r="N38" s="23">
        <f>IF(ISERROR(VLOOKUP($B38,[1]Hedef!$A$4:$ES$45409,55,0)),0,VLOOKUP($B38,[1]Hedef!$A$4:$ES$45409,55,0))</f>
        <v>8.0000000000000002E-3</v>
      </c>
      <c r="O38" s="23" t="str">
        <f t="shared" si="50"/>
        <v>-</v>
      </c>
      <c r="P38" s="80" t="e">
        <f t="shared" si="51"/>
        <v>#DIV/0!</v>
      </c>
      <c r="R38" s="44">
        <v>0.11799999999999999</v>
      </c>
      <c r="S38" s="11">
        <f t="shared" si="52"/>
        <v>-0.93220338983050843</v>
      </c>
      <c r="U38" s="22">
        <f t="shared" si="53"/>
        <v>0</v>
      </c>
      <c r="V38" s="23">
        <f t="shared" si="54"/>
        <v>8.0000000000000002E-3</v>
      </c>
      <c r="W38" s="23" t="str">
        <f t="shared" si="55"/>
        <v>-</v>
      </c>
      <c r="X38" s="80" t="e">
        <f t="shared" si="56"/>
        <v>#DIV/0!</v>
      </c>
      <c r="Z38" s="23">
        <f t="shared" si="57"/>
        <v>0.32300000000000001</v>
      </c>
      <c r="AA38" s="11">
        <f t="shared" si="45"/>
        <v>-0.9752321981424148</v>
      </c>
      <c r="AB38" s="45"/>
      <c r="AC38" s="12">
        <f>U38-'GENEL HEDEF'!AS38</f>
        <v>-0.3</v>
      </c>
      <c r="AD38" s="15">
        <f>V38-'GENEL HEDEF'!AT38</f>
        <v>0</v>
      </c>
      <c r="AE38" s="86">
        <f t="shared" si="10"/>
        <v>0.3</v>
      </c>
    </row>
    <row r="39" spans="2:31" ht="14" thickTop="1" thickBot="1" x14ac:dyDescent="0.2">
      <c r="B39" s="18"/>
      <c r="C39" s="2" t="s">
        <v>26</v>
      </c>
      <c r="E39" s="67">
        <f>SUM(E31:E38)</f>
        <v>0</v>
      </c>
      <c r="F39" s="67">
        <f>SUM(F31:F38)</f>
        <v>0.107145</v>
      </c>
      <c r="G39" s="67">
        <f>SUM(G31:G38)</f>
        <v>0</v>
      </c>
      <c r="H39" s="39" t="e">
        <f>TRUNC(IF((F39/E39)&gt;1.2,"120%",(F39/E39)),2)</f>
        <v>#DIV/0!</v>
      </c>
      <c r="I39" s="78"/>
      <c r="J39" s="48"/>
      <c r="K39" s="48"/>
      <c r="L39" s="78"/>
      <c r="M39" s="67">
        <f>SUM(M31:M38)</f>
        <v>0</v>
      </c>
      <c r="N39" s="67">
        <f>SUM(N31:N38)</f>
        <v>0.28174499999999997</v>
      </c>
      <c r="O39" s="67">
        <f>SUM(O31:O38)</f>
        <v>0</v>
      </c>
      <c r="P39" s="39" t="e">
        <f>TRUNC(IF((N39/M39)&gt;1.2,"120%",(N39/M39)),2)</f>
        <v>#DIV/0!</v>
      </c>
      <c r="Q39" s="78"/>
      <c r="R39" s="48"/>
      <c r="S39" s="48"/>
      <c r="T39" s="78"/>
      <c r="U39" s="67">
        <f>SUM(U31:U38)</f>
        <v>0</v>
      </c>
      <c r="V39" s="67">
        <f>SUM(V31:V38)</f>
        <v>0.38889000000000001</v>
      </c>
      <c r="W39" s="67">
        <f>SUM(W31:W38)</f>
        <v>0</v>
      </c>
      <c r="X39" s="39" t="e">
        <f>TRUNC(IF((V39/U39)&gt;1.2,"120%",(V39/U39)),2)</f>
        <v>#DIV/0!</v>
      </c>
      <c r="Z39" s="67"/>
      <c r="AA39" s="48"/>
      <c r="AB39" s="45"/>
      <c r="AC39" s="8"/>
      <c r="AD39" s="9"/>
      <c r="AE39" s="86">
        <f t="shared" si="10"/>
        <v>0</v>
      </c>
    </row>
    <row r="40" spans="2:31" ht="13" thickTop="1" x14ac:dyDescent="0.15">
      <c r="B40" s="31">
        <v>22</v>
      </c>
      <c r="C40" s="1" t="s">
        <v>47</v>
      </c>
      <c r="E40" s="22"/>
      <c r="F40" s="23">
        <f>IF(ISERROR(VLOOKUP($B40,[1]Hedef!$A$4:$ES$45409,51,0)),0,VLOOKUP($B40,[1]Hedef!$A$4:$ES$45409,51,0))</f>
        <v>1</v>
      </c>
      <c r="G40" s="23" t="str">
        <f>IF((E40-F40)&lt;0, "-", (E40-F40))</f>
        <v>-</v>
      </c>
      <c r="H40" s="80" t="e">
        <f t="shared" ref="H40:H44" si="58">TRUNC(IF((F40/E40)&gt;1.2,"120%",(F40/E40)),2)</f>
        <v>#DIV/0!</v>
      </c>
      <c r="J40" s="44">
        <v>186.625</v>
      </c>
      <c r="K40" s="11">
        <f>IF(ISERROR((F40-J40)/J40),0,(F40-J40)/J40)</f>
        <v>-0.99464166108506358</v>
      </c>
      <c r="M40" s="22"/>
      <c r="N40" s="23">
        <f>IF(ISERROR(VLOOKUP($B40,[1]Hedef!$A$4:$ES$45409,55,0)),0,VLOOKUP($B40,[1]Hedef!$A$4:$ES$45409,55,0))</f>
        <v>28</v>
      </c>
      <c r="O40" s="23" t="str">
        <f>IF((M40-N40)&lt;0, "-", (M40-N40))</f>
        <v>-</v>
      </c>
      <c r="P40" s="80" t="e">
        <f t="shared" ref="P40:P44" si="59">TRUNC(IF((N40/M40)&gt;1.2,"120%",(N40/M40)),2)</f>
        <v>#DIV/0!</v>
      </c>
      <c r="R40" s="44">
        <v>139</v>
      </c>
      <c r="S40" s="11">
        <f>IF(ISERROR((N40-R40)/R40),0,(N40-R40)/R40)</f>
        <v>-0.79856115107913672</v>
      </c>
      <c r="U40" s="22">
        <f t="shared" ref="U40:U44" si="60">M40+E40</f>
        <v>0</v>
      </c>
      <c r="V40" s="23">
        <f t="shared" ref="V40:V44" si="61">+N40+F40</f>
        <v>29</v>
      </c>
      <c r="W40" s="35" t="str">
        <f>IF((U40-V40)&lt;0, "-", (U40-V40))</f>
        <v>-</v>
      </c>
      <c r="X40" s="80" t="e">
        <f t="shared" ref="X40:X44" si="62">TRUNC(IF((V40/U40)&gt;1.2,"120%",(V40/U40)),2)</f>
        <v>#DIV/0!</v>
      </c>
      <c r="Z40" s="23">
        <f t="shared" ref="Z40:Z44" si="63">+R40+J40</f>
        <v>325.625</v>
      </c>
      <c r="AA40" s="11">
        <f>IF(ISERROR((V40-Z40)/Z40),0,(V40-Z40)/Z40)</f>
        <v>-0.91094049904030705</v>
      </c>
      <c r="AB40" s="45"/>
      <c r="AC40" s="12">
        <f>U40-'GENEL HEDEF'!AS40</f>
        <v>-380</v>
      </c>
      <c r="AD40" s="15">
        <f>V40-'GENEL HEDEF'!AT40</f>
        <v>0</v>
      </c>
      <c r="AE40" s="86">
        <f t="shared" si="10"/>
        <v>380</v>
      </c>
    </row>
    <row r="41" spans="2:31" x14ac:dyDescent="0.15">
      <c r="B41" s="31">
        <v>999</v>
      </c>
      <c r="C41" s="1" t="s">
        <v>48</v>
      </c>
      <c r="E41" s="22"/>
      <c r="F41" s="23">
        <f>IF(ISERROR(VLOOKUP($B41,[1]Hedef!$A$4:$ES$45409,51,0)),0,VLOOKUP($B41,[1]Hedef!$A$4:$ES$45409,51,0))</f>
        <v>5</v>
      </c>
      <c r="G41" s="23" t="str">
        <f>IF((E41-F41)&lt;0, "-", (E41-F41))</f>
        <v>-</v>
      </c>
      <c r="H41" s="80" t="e">
        <f t="shared" si="58"/>
        <v>#DIV/0!</v>
      </c>
      <c r="J41" s="44">
        <v>225</v>
      </c>
      <c r="K41" s="11">
        <f t="shared" ref="K41:K44" si="64">IF(ISERROR((F41-J41)/J41),0,(F41-J41)/J41)</f>
        <v>-0.97777777777777775</v>
      </c>
      <c r="M41" s="22"/>
      <c r="N41" s="23">
        <f>IF(ISERROR(VLOOKUP($B41,[1]Hedef!$A$4:$ES$45409,55,0)),0,VLOOKUP($B41,[1]Hedef!$A$4:$ES$45409,55,0))</f>
        <v>2</v>
      </c>
      <c r="O41" s="23" t="str">
        <f>IF((M41-N41)&lt;0, "-", (M41-N41))</f>
        <v>-</v>
      </c>
      <c r="P41" s="80" t="e">
        <f t="shared" si="59"/>
        <v>#DIV/0!</v>
      </c>
      <c r="R41" s="44">
        <v>272</v>
      </c>
      <c r="S41" s="11">
        <f>IF(ISERROR((N41-R41)/R41),0,(N41-R41)/R41)</f>
        <v>-0.99264705882352944</v>
      </c>
      <c r="U41" s="22">
        <f t="shared" si="60"/>
        <v>0</v>
      </c>
      <c r="V41" s="23">
        <f t="shared" si="61"/>
        <v>7</v>
      </c>
      <c r="W41" s="35" t="str">
        <f>IF((U41-V41)&lt;0, "-", (U41-V41))</f>
        <v>-</v>
      </c>
      <c r="X41" s="80" t="e">
        <f t="shared" si="62"/>
        <v>#DIV/0!</v>
      </c>
      <c r="Z41" s="23">
        <f t="shared" si="63"/>
        <v>497</v>
      </c>
      <c r="AA41" s="11">
        <f t="shared" si="45"/>
        <v>-0.9859154929577465</v>
      </c>
      <c r="AB41" s="45"/>
      <c r="AC41" s="12">
        <f>U41-'GENEL HEDEF'!AS41</f>
        <v>-700</v>
      </c>
      <c r="AD41" s="15">
        <f>V41-'GENEL HEDEF'!AT41</f>
        <v>0</v>
      </c>
      <c r="AE41" s="86">
        <f t="shared" si="10"/>
        <v>700</v>
      </c>
    </row>
    <row r="42" spans="2:31" x14ac:dyDescent="0.15">
      <c r="B42" s="18">
        <v>888</v>
      </c>
      <c r="C42" s="1" t="s">
        <v>27</v>
      </c>
      <c r="E42" s="22"/>
      <c r="F42" s="23">
        <f>IF(ISERROR(VLOOKUP($B42,[1]Hedef!$A$4:$ES$45409,51,0)),0,VLOOKUP($B42,[1]Hedef!$A$4:$ES$45409,51,0))</f>
        <v>0</v>
      </c>
      <c r="G42" s="23">
        <f>IF((E42-F42)&lt;0, "-", (E42-F42))</f>
        <v>0</v>
      </c>
      <c r="H42" s="80" t="e">
        <f t="shared" si="58"/>
        <v>#DIV/0!</v>
      </c>
      <c r="J42" s="44">
        <v>48.125000000000028</v>
      </c>
      <c r="K42" s="11">
        <f t="shared" si="64"/>
        <v>-1</v>
      </c>
      <c r="M42" s="22"/>
      <c r="N42" s="23">
        <f>IF(ISERROR(VLOOKUP($B42,[1]Hedef!$A$4:$ES$45409,55,0)),0,VLOOKUP($B42,[1]Hedef!$A$4:$ES$45409,55,0))</f>
        <v>16</v>
      </c>
      <c r="O42" s="23" t="str">
        <f>IF((M42-N42)&lt;0, "-", (M42-N42))</f>
        <v>-</v>
      </c>
      <c r="P42" s="80" t="e">
        <f t="shared" si="59"/>
        <v>#DIV/0!</v>
      </c>
      <c r="R42" s="44">
        <v>167.9375</v>
      </c>
      <c r="S42" s="11">
        <f>IF(ISERROR((N42-R42)/R42),0,(N42-R42)/R42)</f>
        <v>-0.90472646073688123</v>
      </c>
      <c r="U42" s="22">
        <f t="shared" si="60"/>
        <v>0</v>
      </c>
      <c r="V42" s="23">
        <f t="shared" si="61"/>
        <v>16</v>
      </c>
      <c r="W42" s="23" t="str">
        <f>IF((U42-V42)&lt;0, "-", (U42-V42))</f>
        <v>-</v>
      </c>
      <c r="X42" s="80" t="e">
        <f t="shared" si="62"/>
        <v>#DIV/0!</v>
      </c>
      <c r="Z42" s="23">
        <f t="shared" si="63"/>
        <v>216.06250000000003</v>
      </c>
      <c r="AA42" s="11">
        <f t="shared" si="45"/>
        <v>-0.92594735319641308</v>
      </c>
      <c r="AB42" s="45"/>
      <c r="AC42" s="12">
        <f>U42-'GENEL HEDEF'!AS42</f>
        <v>-630</v>
      </c>
      <c r="AD42" s="15">
        <f>V42-'GENEL HEDEF'!AT42</f>
        <v>0</v>
      </c>
      <c r="AE42" s="86">
        <f t="shared" si="10"/>
        <v>630</v>
      </c>
    </row>
    <row r="43" spans="2:31" x14ac:dyDescent="0.15">
      <c r="B43" s="18">
        <v>14</v>
      </c>
      <c r="C43" s="1" t="s">
        <v>131</v>
      </c>
      <c r="E43" s="22"/>
      <c r="F43" s="23">
        <f>IF(ISERROR(VLOOKUP($B43,[1]Hedef!$A$4:$ES$45409,51,0)),0,VLOOKUP($B43,[1]Hedef!$A$4:$ES$45409,51,0))</f>
        <v>0</v>
      </c>
      <c r="G43" s="23">
        <f>IF((E43-F43)&lt;0, "-", (E43-F43))</f>
        <v>0</v>
      </c>
      <c r="H43" s="80" t="e">
        <f t="shared" si="58"/>
        <v>#DIV/0!</v>
      </c>
      <c r="J43" s="44">
        <v>7.2500011066666703</v>
      </c>
      <c r="K43" s="11">
        <f t="shared" ref="K43" si="65">IF(ISERROR((F43-J43)/J43),0,(F43-J43)/J43)</f>
        <v>-1</v>
      </c>
      <c r="M43" s="22"/>
      <c r="N43" s="23">
        <f>IF(ISERROR(VLOOKUP($B43,[1]Hedef!$A$4:$ES$45409,55,0)),0,VLOOKUP($B43,[1]Hedef!$A$4:$ES$45409,55,0))</f>
        <v>0</v>
      </c>
      <c r="O43" s="23">
        <f>IF((M43-N43)&lt;0, "-", (M43-N43))</f>
        <v>0</v>
      </c>
      <c r="P43" s="80" t="e">
        <f t="shared" si="59"/>
        <v>#DIV/0!</v>
      </c>
      <c r="R43" s="44">
        <v>4.791668879999996</v>
      </c>
      <c r="S43" s="11">
        <f>IF(ISERROR((N43-R43)/R43),0,(N43-R43)/R43)</f>
        <v>-1</v>
      </c>
      <c r="U43" s="22">
        <f t="shared" si="60"/>
        <v>0</v>
      </c>
      <c r="V43" s="23">
        <f t="shared" si="61"/>
        <v>0</v>
      </c>
      <c r="W43" s="23">
        <f>IF((U43-V43)&lt;0, "-", (U43-V43))</f>
        <v>0</v>
      </c>
      <c r="X43" s="80" t="e">
        <f t="shared" si="62"/>
        <v>#DIV/0!</v>
      </c>
      <c r="Z43" s="23">
        <f t="shared" si="63"/>
        <v>12.041669986666665</v>
      </c>
      <c r="AA43" s="11">
        <f t="shared" ref="AA43" si="66">IF(ISERROR((V43-Z43)/Z43),0,(V43-Z43)/Z43)</f>
        <v>-1</v>
      </c>
      <c r="AB43" s="45"/>
      <c r="AC43" s="12">
        <f>U43-'GENEL HEDEF'!AS43</f>
        <v>-17</v>
      </c>
      <c r="AD43" s="15">
        <f>V43-'GENEL HEDEF'!AT43</f>
        <v>0</v>
      </c>
      <c r="AE43" s="86">
        <f t="shared" ref="AE43" si="67">AC43*-1</f>
        <v>17</v>
      </c>
    </row>
    <row r="44" spans="2:31" ht="13" thickBot="1" x14ac:dyDescent="0.2">
      <c r="B44" s="18">
        <v>17</v>
      </c>
      <c r="C44" s="1" t="s">
        <v>61</v>
      </c>
      <c r="E44" s="22"/>
      <c r="F44" s="23">
        <f>IF(ISERROR(VLOOKUP($B44,[1]Hedef!$A$4:$ES$45409,51,0)),0,VLOOKUP($B44,[1]Hedef!$A$4:$ES$45409,51,0))</f>
        <v>0</v>
      </c>
      <c r="G44" s="23">
        <f>IF((E44-F44)&lt;0, "-", (E44-F44))</f>
        <v>0</v>
      </c>
      <c r="H44" s="80" t="e">
        <f t="shared" si="58"/>
        <v>#DIV/0!</v>
      </c>
      <c r="J44" s="44">
        <v>15.916666666666668</v>
      </c>
      <c r="K44" s="11">
        <f t="shared" si="64"/>
        <v>-1</v>
      </c>
      <c r="M44" s="22"/>
      <c r="N44" s="23">
        <f>IF(ISERROR(VLOOKUP($B44,[1]Hedef!$A$4:$ES$45409,55,0)),0,VLOOKUP($B44,[1]Hedef!$A$4:$ES$45409,55,0))</f>
        <v>0</v>
      </c>
      <c r="O44" s="23">
        <f>IF((M44-N44)&lt;0, "-", (M44-N44))</f>
        <v>0</v>
      </c>
      <c r="P44" s="80" t="e">
        <f t="shared" si="59"/>
        <v>#DIV/0!</v>
      </c>
      <c r="R44" s="44">
        <v>9.9166666666666554</v>
      </c>
      <c r="S44" s="11">
        <f>IF(ISERROR((N44-R44)/R44),0,(N44-R44)/R44)</f>
        <v>-1</v>
      </c>
      <c r="U44" s="22">
        <f t="shared" si="60"/>
        <v>0</v>
      </c>
      <c r="V44" s="23">
        <f t="shared" si="61"/>
        <v>0</v>
      </c>
      <c r="W44" s="23">
        <f>IF((U44-V44)&lt;0, "-", (U44-V44))</f>
        <v>0</v>
      </c>
      <c r="X44" s="80" t="e">
        <f t="shared" si="62"/>
        <v>#DIV/0!</v>
      </c>
      <c r="Z44" s="23">
        <f t="shared" si="63"/>
        <v>25.833333333333321</v>
      </c>
      <c r="AA44" s="11">
        <f t="shared" si="45"/>
        <v>-1</v>
      </c>
      <c r="AB44" s="45"/>
      <c r="AC44" s="12">
        <f>U44-'GENEL HEDEF'!AS44</f>
        <v>-30</v>
      </c>
      <c r="AD44" s="15">
        <f>V44-'GENEL HEDEF'!AT44</f>
        <v>0</v>
      </c>
      <c r="AE44" s="86">
        <f t="shared" si="10"/>
        <v>30</v>
      </c>
    </row>
    <row r="45" spans="2:31" ht="14" thickTop="1" thickBot="1" x14ac:dyDescent="0.2">
      <c r="B45" s="18"/>
      <c r="C45" s="2" t="s">
        <v>28</v>
      </c>
      <c r="E45" s="67">
        <f>SUM(E40:E44)</f>
        <v>0</v>
      </c>
      <c r="F45" s="41">
        <f>SUM(F40:F44)</f>
        <v>6</v>
      </c>
      <c r="G45" s="41">
        <f>SUM(G41:G44)</f>
        <v>0</v>
      </c>
      <c r="H45" s="39" t="e">
        <f>TRUNC(IF((F45/E45)&gt;1.2,"120%",(F45/E45)),2)</f>
        <v>#DIV/0!</v>
      </c>
      <c r="I45" s="78"/>
      <c r="J45" s="48"/>
      <c r="K45" s="48"/>
      <c r="L45" s="78"/>
      <c r="M45" s="67">
        <f>SUM(M40:M44)</f>
        <v>0</v>
      </c>
      <c r="N45" s="41">
        <f>SUM(N40:N44)</f>
        <v>46</v>
      </c>
      <c r="O45" s="41">
        <f>SUM(O41:O44)</f>
        <v>0</v>
      </c>
      <c r="P45" s="39" t="e">
        <f>TRUNC(IF((N45/M45)&gt;1.2,"120%",(N45/M45)),2)</f>
        <v>#DIV/0!</v>
      </c>
      <c r="Q45" s="78"/>
      <c r="R45" s="48"/>
      <c r="S45" s="48"/>
      <c r="T45" s="78"/>
      <c r="U45" s="67">
        <f>SUM(U40:U44)</f>
        <v>0</v>
      </c>
      <c r="V45" s="41">
        <f>SUM(V40:V44)</f>
        <v>52</v>
      </c>
      <c r="W45" s="41">
        <f>SUM(W41:W44)</f>
        <v>0</v>
      </c>
      <c r="X45" s="39" t="e">
        <f>TRUNC(IF((V45/U45)&gt;1.2,"120%",(V45/U45)),2)</f>
        <v>#DIV/0!</v>
      </c>
      <c r="Z45" s="67"/>
      <c r="AA45" s="48"/>
      <c r="AB45" s="45"/>
      <c r="AC45" s="8"/>
      <c r="AD45" s="9"/>
      <c r="AE45" s="86">
        <f t="shared" si="10"/>
        <v>0</v>
      </c>
    </row>
    <row r="46" spans="2:31" ht="13" thickTop="1" x14ac:dyDescent="0.15">
      <c r="B46" s="18">
        <v>52</v>
      </c>
      <c r="C46" s="1" t="s">
        <v>68</v>
      </c>
      <c r="E46" s="22"/>
      <c r="F46" s="23">
        <f>IF(ISERROR(VLOOKUP($B46,[1]Hedef!$A$4:$ES$45409,51,0)),0,VLOOKUP($B46,[1]Hedef!$A$4:$ES$45409,51,0))</f>
        <v>0.32400000000000001</v>
      </c>
      <c r="G46" s="23" t="str">
        <f t="shared" ref="G46:G50" si="68">IF((E46-F46)&lt;0, "-", (E46-F46))</f>
        <v>-</v>
      </c>
      <c r="H46" s="80" t="e">
        <f t="shared" ref="H46:H50" si="69">TRUNC(IF((F46/E46)&gt;1.2,"120%",(F46/E46)),2)</f>
        <v>#DIV/0!</v>
      </c>
      <c r="J46" s="44">
        <v>0.26500000000000001</v>
      </c>
      <c r="K46" s="11">
        <f t="shared" ref="K46:K50" si="70">IF(ISERROR((F46-J46)/J46),0,(F46-J46)/J46)</f>
        <v>0.22264150943396224</v>
      </c>
      <c r="M46" s="46"/>
      <c r="N46" s="23">
        <f>IF(ISERROR(VLOOKUP($B46,[1]Hedef!$A$4:$ES$45409,55,0)),0,VLOOKUP($B46,[1]Hedef!$A$4:$ES$45409,55,0))</f>
        <v>8.4000000000000005E-2</v>
      </c>
      <c r="O46" s="23" t="str">
        <f t="shared" ref="O46:O56" si="71">IF((M46-N46)&lt;0, "-", (M46-N46))</f>
        <v>-</v>
      </c>
      <c r="P46" s="80" t="e">
        <f t="shared" ref="P46:P47" si="72">TRUNC(IF((N46/M46)&gt;1.2,"120%",(N46/M46)),2)</f>
        <v>#DIV/0!</v>
      </c>
      <c r="R46" s="44">
        <v>3.5999999999999997E-2</v>
      </c>
      <c r="S46" s="11">
        <f t="shared" ref="S46:S56" si="73">IF(ISERROR((N46-R46)/R46),0,(N46-R46)/R46)</f>
        <v>1.3333333333333337</v>
      </c>
      <c r="U46" s="22">
        <f t="shared" ref="U46:U56" si="74">M46+E46</f>
        <v>0</v>
      </c>
      <c r="V46" s="23">
        <f t="shared" ref="V46:V56" si="75">+N46+F46</f>
        <v>0.40800000000000003</v>
      </c>
      <c r="W46" s="23" t="str">
        <f t="shared" ref="W46:W56" si="76">IF((U46-V46)&lt;0, "-", (U46-V46))</f>
        <v>-</v>
      </c>
      <c r="X46" s="80" t="e">
        <f t="shared" ref="X46:X50" si="77">TRUNC(IF((V46/U46)&gt;1.2,"120%",(V46/U46)),2)</f>
        <v>#DIV/0!</v>
      </c>
      <c r="Z46" s="23">
        <f t="shared" ref="Z46:Z56" si="78">+R46+J46</f>
        <v>0.30099999999999999</v>
      </c>
      <c r="AA46" s="11">
        <f t="shared" si="45"/>
        <v>0.35548172757475099</v>
      </c>
      <c r="AB46" s="45"/>
      <c r="AC46" s="12">
        <f>U46-'GENEL HEDEF'!AS46</f>
        <v>-1</v>
      </c>
      <c r="AD46" s="15">
        <f>V46-'GENEL HEDEF'!AT46</f>
        <v>0</v>
      </c>
      <c r="AE46" s="86">
        <f t="shared" si="10"/>
        <v>1</v>
      </c>
    </row>
    <row r="47" spans="2:31" x14ac:dyDescent="0.15">
      <c r="B47" s="31">
        <v>55</v>
      </c>
      <c r="C47" s="1" t="s">
        <v>69</v>
      </c>
      <c r="E47" s="22"/>
      <c r="F47" s="23">
        <f>IF(ISERROR(VLOOKUP($B47,[1]Hedef!$A$4:$ES$45409,51,0)),0,VLOOKUP($B47,[1]Hedef!$A$4:$ES$45409,51,0))</f>
        <v>3.2000000000000002E-3</v>
      </c>
      <c r="G47" s="23" t="str">
        <f t="shared" si="68"/>
        <v>-</v>
      </c>
      <c r="H47" s="80" t="e">
        <f t="shared" si="69"/>
        <v>#DIV/0!</v>
      </c>
      <c r="J47" s="44">
        <v>8.6720000000000005E-2</v>
      </c>
      <c r="K47" s="11">
        <f t="shared" si="70"/>
        <v>-0.96309963099631002</v>
      </c>
      <c r="M47" s="22"/>
      <c r="N47" s="23">
        <f>IF(ISERROR(VLOOKUP($B47,[1]Hedef!$A$4:$ES$45409,55,0)),0,VLOOKUP($B47,[1]Hedef!$A$4:$ES$45409,55,0))</f>
        <v>1.1300000000000001E-2</v>
      </c>
      <c r="O47" s="23" t="str">
        <f t="shared" si="71"/>
        <v>-</v>
      </c>
      <c r="P47" s="80" t="e">
        <f t="shared" si="72"/>
        <v>#DIV/0!</v>
      </c>
      <c r="R47" s="44">
        <v>5.2359999999999997E-2</v>
      </c>
      <c r="S47" s="11">
        <f t="shared" si="73"/>
        <v>-0.78418640183346067</v>
      </c>
      <c r="U47" s="22">
        <f t="shared" si="74"/>
        <v>0</v>
      </c>
      <c r="V47" s="23">
        <f t="shared" si="75"/>
        <v>1.4500000000000001E-2</v>
      </c>
      <c r="W47" s="23" t="str">
        <f t="shared" si="76"/>
        <v>-</v>
      </c>
      <c r="X47" s="80" t="e">
        <f t="shared" si="77"/>
        <v>#DIV/0!</v>
      </c>
      <c r="Z47" s="23">
        <f t="shared" si="78"/>
        <v>0.13908000000000001</v>
      </c>
      <c r="AA47" s="11">
        <f t="shared" si="45"/>
        <v>-0.89574345700316371</v>
      </c>
      <c r="AB47" s="45"/>
      <c r="AC47" s="12">
        <f>U47-'GENEL HEDEF'!AS47</f>
        <v>-0.2</v>
      </c>
      <c r="AD47" s="15">
        <f>V47-'GENEL HEDEF'!AT47</f>
        <v>0</v>
      </c>
      <c r="AE47" s="86">
        <f t="shared" si="10"/>
        <v>0.2</v>
      </c>
    </row>
    <row r="48" spans="2:31" x14ac:dyDescent="0.15">
      <c r="B48" s="18">
        <v>61</v>
      </c>
      <c r="C48" s="1" t="s">
        <v>46</v>
      </c>
      <c r="E48" s="46"/>
      <c r="F48" s="23">
        <f>IF(ISERROR(VLOOKUP($B48,[1]Hedef!$A$4:$ES$45409,51,0)),0,VLOOKUP($B48,[1]Hedef!$A$4:$ES$45409,51,0))</f>
        <v>0</v>
      </c>
      <c r="G48" s="23">
        <f t="shared" si="68"/>
        <v>0</v>
      </c>
      <c r="H48" s="80"/>
      <c r="J48" s="44">
        <v>0.05</v>
      </c>
      <c r="K48" s="11">
        <f t="shared" si="70"/>
        <v>-1</v>
      </c>
      <c r="M48" s="22"/>
      <c r="N48" s="23">
        <f>IF(ISERROR(VLOOKUP($B48,[1]Hedef!$A$4:$ES$45409,55,0)),0,VLOOKUP($B48,[1]Hedef!$A$4:$ES$45409,55,0))</f>
        <v>0</v>
      </c>
      <c r="O48" s="23">
        <f t="shared" si="71"/>
        <v>0</v>
      </c>
      <c r="P48" s="80"/>
      <c r="R48" s="44">
        <v>0</v>
      </c>
      <c r="S48" s="11">
        <f t="shared" si="73"/>
        <v>0</v>
      </c>
      <c r="U48" s="22">
        <f t="shared" si="74"/>
        <v>0</v>
      </c>
      <c r="V48" s="23">
        <f t="shared" si="75"/>
        <v>0</v>
      </c>
      <c r="W48" s="23">
        <f t="shared" si="76"/>
        <v>0</v>
      </c>
      <c r="X48" s="80"/>
      <c r="Z48" s="23">
        <f t="shared" si="78"/>
        <v>0.05</v>
      </c>
      <c r="AA48" s="11">
        <f t="shared" si="45"/>
        <v>-1</v>
      </c>
      <c r="AB48" s="45"/>
      <c r="AC48" s="12">
        <f>U48-'GENEL HEDEF'!AS48</f>
        <v>-0.06</v>
      </c>
      <c r="AD48" s="15">
        <f>V48-'GENEL HEDEF'!AT48</f>
        <v>0</v>
      </c>
      <c r="AE48" s="86">
        <f t="shared" si="10"/>
        <v>0.06</v>
      </c>
    </row>
    <row r="49" spans="2:31" ht="12.75" customHeight="1" x14ac:dyDescent="0.15">
      <c r="B49" s="31">
        <v>27</v>
      </c>
      <c r="C49" s="1" t="s">
        <v>158</v>
      </c>
      <c r="E49" s="22"/>
      <c r="F49" s="23">
        <f>IF(ISERROR(VLOOKUP($B49,[1]Hedef!$A$4:$ES$45409,51,0)),0,VLOOKUP($B49,[1]Hedef!$A$4:$ES$45409,51,0))</f>
        <v>0</v>
      </c>
      <c r="G49" s="23">
        <f t="shared" si="68"/>
        <v>0</v>
      </c>
      <c r="H49" s="80"/>
      <c r="J49" s="44">
        <v>0</v>
      </c>
      <c r="K49" s="11">
        <f t="shared" si="70"/>
        <v>0</v>
      </c>
      <c r="M49" s="22"/>
      <c r="N49" s="23">
        <f>IF(ISERROR(VLOOKUP($B49,[1]Hedef!$A$4:$ES$45409,55,0)),0,VLOOKUP($B49,[1]Hedef!$A$4:$ES$45409,55,0))</f>
        <v>0</v>
      </c>
      <c r="O49" s="23">
        <f t="shared" si="71"/>
        <v>0</v>
      </c>
      <c r="P49" s="80"/>
      <c r="R49" s="44">
        <v>0</v>
      </c>
      <c r="S49" s="11">
        <f t="shared" si="73"/>
        <v>0</v>
      </c>
      <c r="U49" s="22">
        <f t="shared" si="74"/>
        <v>0</v>
      </c>
      <c r="V49" s="23">
        <f t="shared" si="75"/>
        <v>0</v>
      </c>
      <c r="W49" s="23">
        <f t="shared" si="76"/>
        <v>0</v>
      </c>
      <c r="X49" s="80"/>
      <c r="Z49" s="23">
        <f t="shared" si="78"/>
        <v>0</v>
      </c>
      <c r="AA49" s="11">
        <f t="shared" si="45"/>
        <v>0</v>
      </c>
      <c r="AB49" s="45"/>
      <c r="AC49" s="12">
        <f>U49-'GENEL HEDEF'!AS49</f>
        <v>0</v>
      </c>
      <c r="AD49" s="15">
        <f>V49-'GENEL HEDEF'!AT49</f>
        <v>0</v>
      </c>
      <c r="AE49" s="86">
        <f t="shared" si="10"/>
        <v>0</v>
      </c>
    </row>
    <row r="50" spans="2:31" ht="12.75" customHeight="1" x14ac:dyDescent="0.15">
      <c r="B50" s="31">
        <v>71</v>
      </c>
      <c r="C50" s="1" t="s">
        <v>64</v>
      </c>
      <c r="E50" s="22"/>
      <c r="F50" s="23">
        <f>IF(ISERROR(VLOOKUP($B50,[1]Hedef!$A$4:$ES$45409,51,0)),0,VLOOKUP($B50,[1]Hedef!$A$4:$ES$45409,51,0))</f>
        <v>2.9500000000000002E-2</v>
      </c>
      <c r="G50" s="23" t="str">
        <f t="shared" si="68"/>
        <v>-</v>
      </c>
      <c r="H50" s="80" t="e">
        <f t="shared" si="69"/>
        <v>#DIV/0!</v>
      </c>
      <c r="J50" s="44">
        <v>9.4785000000000008E-2</v>
      </c>
      <c r="K50" s="11">
        <f t="shared" si="70"/>
        <v>-0.68876932004009073</v>
      </c>
      <c r="M50" s="22"/>
      <c r="N50" s="23">
        <f>IF(ISERROR(VLOOKUP($B50,[1]Hedef!$A$4:$ES$45409,55,0)),0,VLOOKUP($B50,[1]Hedef!$A$4:$ES$45409,55,0))</f>
        <v>2.2500000000000003E-2</v>
      </c>
      <c r="O50" s="23" t="str">
        <f t="shared" si="71"/>
        <v>-</v>
      </c>
      <c r="P50" s="80" t="e">
        <f t="shared" ref="P50:P56" si="79">TRUNC(IF((N50/M50)&gt;1.2,"120%",(N50/M50)),2)</f>
        <v>#DIV/0!</v>
      </c>
      <c r="R50" s="44">
        <v>7.5000000000000011E-2</v>
      </c>
      <c r="S50" s="11">
        <f t="shared" si="73"/>
        <v>-0.7</v>
      </c>
      <c r="U50" s="22">
        <f t="shared" si="74"/>
        <v>0</v>
      </c>
      <c r="V50" s="23">
        <f t="shared" si="75"/>
        <v>5.2000000000000005E-2</v>
      </c>
      <c r="W50" s="23" t="str">
        <f t="shared" si="76"/>
        <v>-</v>
      </c>
      <c r="X50" s="80" t="e">
        <f t="shared" si="77"/>
        <v>#DIV/0!</v>
      </c>
      <c r="Z50" s="23">
        <f t="shared" si="78"/>
        <v>0.16978500000000002</v>
      </c>
      <c r="AA50" s="11">
        <f t="shared" si="45"/>
        <v>-0.69373030597520391</v>
      </c>
      <c r="AB50" s="45"/>
      <c r="AC50" s="12">
        <f>U50-'GENEL HEDEF'!AS50</f>
        <v>-0.4</v>
      </c>
      <c r="AD50" s="15">
        <f>V50-'GENEL HEDEF'!AT50</f>
        <v>0</v>
      </c>
      <c r="AE50" s="86">
        <f t="shared" si="10"/>
        <v>0.4</v>
      </c>
    </row>
    <row r="51" spans="2:31" ht="12.75" customHeight="1" x14ac:dyDescent="0.15">
      <c r="B51" s="31">
        <v>111</v>
      </c>
      <c r="C51" s="1" t="s">
        <v>121</v>
      </c>
      <c r="E51" s="22"/>
      <c r="F51" s="23">
        <f>IF(ISERROR(VLOOKUP($B51,[1]Hedef!$A$4:$ES$45409,51,0)),0,VLOOKUP($B51,[1]Hedef!$A$4:$ES$45409,51,0))</f>
        <v>1.8269999999999998E-2</v>
      </c>
      <c r="G51" s="23" t="str">
        <f>IF((E51-F51)&lt;0, "-", (E51-F51))</f>
        <v>-</v>
      </c>
      <c r="H51" s="80" t="e">
        <f t="shared" ref="H51:H56" si="80">TRUNC(IF((F51/E51)&gt;1.2,"120%",(F51/E51)),2)</f>
        <v>#DIV/0!</v>
      </c>
      <c r="J51" s="44">
        <v>0.34028999999999998</v>
      </c>
      <c r="K51" s="11">
        <f>IF(ISERROR((F51-J51)/J51),0,(F51-J51)/J51)</f>
        <v>-0.94631049986775984</v>
      </c>
      <c r="M51" s="22"/>
      <c r="N51" s="23">
        <f>IF(ISERROR(VLOOKUP($B51,[1]Hedef!$A$4:$ES$45409,55,0)),0,VLOOKUP($B51,[1]Hedef!$A$4:$ES$45409,55,0))</f>
        <v>5.9134999999999993E-2</v>
      </c>
      <c r="O51" s="23" t="str">
        <f>IF((M51-N51)&lt;0, "-", (M51-N51))</f>
        <v>-</v>
      </c>
      <c r="P51" s="80" t="e">
        <f t="shared" si="79"/>
        <v>#DIV/0!</v>
      </c>
      <c r="R51" s="44">
        <v>0.43159999999999998</v>
      </c>
      <c r="S51" s="11">
        <f>IF(ISERROR((N51-R51)/R51),0,(N51-R51)/R51)</f>
        <v>-0.86298656163113996</v>
      </c>
      <c r="U51" s="22">
        <f t="shared" si="74"/>
        <v>0</v>
      </c>
      <c r="V51" s="23">
        <f t="shared" si="75"/>
        <v>7.7404999999999988E-2</v>
      </c>
      <c r="W51" s="23" t="str">
        <f>IF((U51-V51)&lt;0, "-", (U51-V51))</f>
        <v>-</v>
      </c>
      <c r="X51" s="80" t="e">
        <f t="shared" ref="X51:X56" si="81">TRUNC(IF((V51/U51)&gt;1.2,"120%",(V51/U51)),2)</f>
        <v>#DIV/0!</v>
      </c>
      <c r="Z51" s="23">
        <f t="shared" si="78"/>
        <v>0.77188999999999997</v>
      </c>
      <c r="AA51" s="11">
        <f>IF(ISERROR((V51-Z51)/Z51),0,(V51-Z51)/Z51)</f>
        <v>-0.89972016738136273</v>
      </c>
      <c r="AB51" s="45"/>
      <c r="AC51" s="12">
        <f>U51-'GENEL HEDEF'!AS51</f>
        <v>-1.42</v>
      </c>
      <c r="AD51" s="15">
        <f>V51-'GENEL HEDEF'!AT51</f>
        <v>0</v>
      </c>
      <c r="AE51" s="86">
        <f>AC51*-1</f>
        <v>1.42</v>
      </c>
    </row>
    <row r="52" spans="2:31" ht="12.75" customHeight="1" x14ac:dyDescent="0.15">
      <c r="B52" s="31">
        <v>135</v>
      </c>
      <c r="C52" s="1" t="s">
        <v>120</v>
      </c>
      <c r="E52" s="22"/>
      <c r="F52" s="23">
        <f>IF(ISERROR(VLOOKUP($B52,[1]Hedef!$A$4:$ES$45409,51,0)),0,VLOOKUP($B52,[1]Hedef!$A$4:$ES$45409,51,0))</f>
        <v>0.113422</v>
      </c>
      <c r="G52" s="23" t="str">
        <f t="shared" ref="G52:G54" si="82">IF((E52-F52)&lt;0, "-", (E52-F52))</f>
        <v>-</v>
      </c>
      <c r="H52" s="80" t="e">
        <f t="shared" si="80"/>
        <v>#DIV/0!</v>
      </c>
      <c r="J52" s="44">
        <v>1.2589414000000001</v>
      </c>
      <c r="K52" s="11">
        <f t="shared" ref="K52:K56" si="83">IF(ISERROR((F52-J52)/J52),0,(F52-J52)/J52)</f>
        <v>-0.90990684713363157</v>
      </c>
      <c r="M52" s="22"/>
      <c r="N52" s="23">
        <f>IF(ISERROR(VLOOKUP($B52,[1]Hedef!$A$4:$ES$45409,55,0)),0,VLOOKUP($B52,[1]Hedef!$A$4:$ES$45409,55,0))</f>
        <v>4.5774000000000009E-2</v>
      </c>
      <c r="O52" s="23" t="str">
        <f t="shared" si="71"/>
        <v>-</v>
      </c>
      <c r="P52" s="80" t="e">
        <f t="shared" si="79"/>
        <v>#DIV/0!</v>
      </c>
      <c r="R52" s="44">
        <v>1.3679247999999995</v>
      </c>
      <c r="S52" s="11">
        <f t="shared" si="73"/>
        <v>-0.96653763423252503</v>
      </c>
      <c r="U52" s="22">
        <f t="shared" si="74"/>
        <v>0</v>
      </c>
      <c r="V52" s="23">
        <f t="shared" si="75"/>
        <v>0.159196</v>
      </c>
      <c r="W52" s="23" t="str">
        <f t="shared" si="76"/>
        <v>-</v>
      </c>
      <c r="X52" s="80" t="e">
        <f t="shared" si="81"/>
        <v>#DIV/0!</v>
      </c>
      <c r="Z52" s="23">
        <f t="shared" si="78"/>
        <v>2.6268661999999994</v>
      </c>
      <c r="AA52" s="11">
        <f t="shared" si="45"/>
        <v>-0.93939698946219641</v>
      </c>
      <c r="AB52" s="45"/>
      <c r="AC52" s="12">
        <f>U52-'GENEL HEDEF'!AS52</f>
        <v>-2.75</v>
      </c>
      <c r="AD52" s="15">
        <f>V52-'GENEL HEDEF'!AT52</f>
        <v>0</v>
      </c>
      <c r="AE52" s="86">
        <f t="shared" si="10"/>
        <v>2.75</v>
      </c>
    </row>
    <row r="53" spans="2:31" x14ac:dyDescent="0.15">
      <c r="B53" s="31">
        <v>222</v>
      </c>
      <c r="C53" s="1" t="s">
        <v>174</v>
      </c>
      <c r="E53" s="22"/>
      <c r="F53" s="23">
        <f>IF(ISERROR(VLOOKUP($B53,[1]Hedef!$A$4:$ES$45409,51,0)),0,VLOOKUP($B53,[1]Hedef!$A$4:$ES$45409,51,0))</f>
        <v>1.8E-3</v>
      </c>
      <c r="G53" s="23" t="str">
        <f t="shared" ref="G53" si="84">IF((E53-F53)&lt;0, "-", (E53-F53))</f>
        <v>-</v>
      </c>
      <c r="H53" s="80" t="e">
        <f t="shared" ref="H53" si="85">TRUNC(IF((F53/E53)&gt;1.2,"120%",(F53/E53)),2)</f>
        <v>#DIV/0!</v>
      </c>
      <c r="J53" s="44"/>
      <c r="K53" s="11">
        <f t="shared" ref="K53" si="86">IF(ISERROR((F53-J53)/J53),0,(F53-J53)/J53)</f>
        <v>0</v>
      </c>
      <c r="M53" s="22"/>
      <c r="N53" s="23">
        <f>IF(ISERROR(VLOOKUP($B53,[1]Hedef!$A$4:$ES$45409,55,0)),0,VLOOKUP($B53,[1]Hedef!$A$4:$ES$45409,55,0))</f>
        <v>5.4599999999999996E-3</v>
      </c>
      <c r="O53" s="23" t="str">
        <f t="shared" ref="O53" si="87">IF((M53-N53)&lt;0, "-", (M53-N53))</f>
        <v>-</v>
      </c>
      <c r="P53" s="80" t="e">
        <f t="shared" ref="P53" si="88">TRUNC(IF((N53/M53)&gt;1.2,"120%",(N53/M53)),2)</f>
        <v>#DIV/0!</v>
      </c>
      <c r="R53" s="44"/>
      <c r="S53" s="11">
        <f t="shared" ref="S53" si="89">IF(ISERROR((N53-R53)/R53),0,(N53-R53)/R53)</f>
        <v>0</v>
      </c>
      <c r="U53" s="22">
        <f t="shared" ref="U53" si="90">M53+E53</f>
        <v>0</v>
      </c>
      <c r="V53" s="23">
        <f t="shared" ref="V53" si="91">+N53+F53</f>
        <v>7.2599999999999991E-3</v>
      </c>
      <c r="W53" s="23" t="str">
        <f t="shared" ref="W53" si="92">IF((U53-V53)&lt;0, "-", (U53-V53))</f>
        <v>-</v>
      </c>
      <c r="X53" s="80" t="e">
        <f t="shared" ref="X53" si="93">TRUNC(IF((V53/U53)&gt;1.2,"120%",(V53/U53)),2)</f>
        <v>#DIV/0!</v>
      </c>
      <c r="Z53" s="23">
        <f t="shared" ref="Z53" si="94">+R53+J53</f>
        <v>0</v>
      </c>
      <c r="AA53" s="11">
        <f t="shared" ref="AA53" si="95">IF(ISERROR((V53-Z53)/Z53),0,(V53-Z53)/Z53)</f>
        <v>0</v>
      </c>
      <c r="AB53" s="45"/>
      <c r="AC53" s="12">
        <f>U53-'GENEL HEDEF'!AS53</f>
        <v>-1.2</v>
      </c>
      <c r="AD53" s="15">
        <f>V53-'GENEL HEDEF'!AT53</f>
        <v>0</v>
      </c>
      <c r="AE53" s="86">
        <f t="shared" ref="AE53" si="96">AC53*-1</f>
        <v>1.2</v>
      </c>
    </row>
    <row r="54" spans="2:31" x14ac:dyDescent="0.15">
      <c r="B54" s="31">
        <v>28</v>
      </c>
      <c r="C54" s="1" t="s">
        <v>29</v>
      </c>
      <c r="E54" s="22"/>
      <c r="F54" s="23">
        <f>IF(ISERROR(VLOOKUP($B54,[1]Hedef!$A$4:$ES$45409,51,0)),0,VLOOKUP($B54,[1]Hedef!$A$4:$ES$45409,51,0))</f>
        <v>7.4999999999999997E-2</v>
      </c>
      <c r="G54" s="23" t="str">
        <f t="shared" si="82"/>
        <v>-</v>
      </c>
      <c r="H54" s="80" t="e">
        <f t="shared" si="80"/>
        <v>#DIV/0!</v>
      </c>
      <c r="J54" s="44">
        <v>8.1600000000000006E-3</v>
      </c>
      <c r="K54" s="11">
        <f t="shared" si="83"/>
        <v>8.1911764705882337</v>
      </c>
      <c r="M54" s="22"/>
      <c r="N54" s="23">
        <f>IF(ISERROR(VLOOKUP($B54,[1]Hedef!$A$4:$ES$45409,55,0)),0,VLOOKUP($B54,[1]Hedef!$A$4:$ES$45409,55,0))</f>
        <v>0</v>
      </c>
      <c r="O54" s="23">
        <f t="shared" si="71"/>
        <v>0</v>
      </c>
      <c r="P54" s="80" t="e">
        <f t="shared" si="79"/>
        <v>#DIV/0!</v>
      </c>
      <c r="R54" s="44">
        <v>0.45379999999999998</v>
      </c>
      <c r="S54" s="11">
        <f t="shared" si="73"/>
        <v>-1</v>
      </c>
      <c r="U54" s="22">
        <f t="shared" si="74"/>
        <v>0</v>
      </c>
      <c r="V54" s="23">
        <f t="shared" si="75"/>
        <v>7.4999999999999997E-2</v>
      </c>
      <c r="W54" s="23" t="str">
        <f t="shared" si="76"/>
        <v>-</v>
      </c>
      <c r="X54" s="80" t="e">
        <f t="shared" si="81"/>
        <v>#DIV/0!</v>
      </c>
      <c r="Z54" s="23">
        <f t="shared" si="78"/>
        <v>0.46195999999999998</v>
      </c>
      <c r="AA54" s="11">
        <f t="shared" si="45"/>
        <v>-0.83764828123647062</v>
      </c>
      <c r="AB54" s="45"/>
      <c r="AC54" s="12">
        <f>U54-'GENEL HEDEF'!AS54</f>
        <v>-0.7</v>
      </c>
      <c r="AD54" s="15">
        <f>V54-'GENEL HEDEF'!AT54</f>
        <v>0</v>
      </c>
      <c r="AE54" s="86">
        <f t="shared" si="10"/>
        <v>0.7</v>
      </c>
    </row>
    <row r="55" spans="2:31" x14ac:dyDescent="0.15">
      <c r="B55" s="18">
        <v>32</v>
      </c>
      <c r="C55" s="1" t="s">
        <v>30</v>
      </c>
      <c r="E55" s="22"/>
      <c r="F55" s="23">
        <f>IF(ISERROR(VLOOKUP($B55,[1]Hedef!$A$4:$ES$45409,51,0)),0,VLOOKUP($B55,[1]Hedef!$A$4:$ES$45409,51,0))</f>
        <v>4.2050000000000004E-2</v>
      </c>
      <c r="G55" s="23" t="str">
        <f t="shared" ref="G55:G56" si="97">IF((E55-F55)&lt;0, "-", (E55-F55))</f>
        <v>-</v>
      </c>
      <c r="H55" s="80" t="e">
        <f t="shared" si="80"/>
        <v>#DIV/0!</v>
      </c>
      <c r="J55" s="44">
        <v>7.9939999999999997E-2</v>
      </c>
      <c r="K55" s="11">
        <f t="shared" si="83"/>
        <v>-0.47398048536402293</v>
      </c>
      <c r="M55" s="22"/>
      <c r="N55" s="23">
        <f>IF(ISERROR(VLOOKUP($B55,[1]Hedef!$A$4:$ES$45409,55,0)),0,VLOOKUP($B55,[1]Hedef!$A$4:$ES$45409,55,0))</f>
        <v>0</v>
      </c>
      <c r="O55" s="23">
        <f t="shared" si="71"/>
        <v>0</v>
      </c>
      <c r="P55" s="80" t="e">
        <f t="shared" si="79"/>
        <v>#DIV/0!</v>
      </c>
      <c r="R55" s="44">
        <v>0.12878000000000001</v>
      </c>
      <c r="S55" s="11">
        <f t="shared" si="73"/>
        <v>-1</v>
      </c>
      <c r="U55" s="22">
        <f t="shared" si="74"/>
        <v>0</v>
      </c>
      <c r="V55" s="23">
        <f t="shared" si="75"/>
        <v>4.2050000000000004E-2</v>
      </c>
      <c r="W55" s="23" t="str">
        <f t="shared" si="76"/>
        <v>-</v>
      </c>
      <c r="X55" s="80" t="e">
        <f t="shared" si="81"/>
        <v>#DIV/0!</v>
      </c>
      <c r="Z55" s="23">
        <f t="shared" si="78"/>
        <v>0.20872000000000002</v>
      </c>
      <c r="AA55" s="11">
        <f t="shared" si="45"/>
        <v>-0.79853392104254506</v>
      </c>
      <c r="AB55" s="45"/>
      <c r="AC55" s="12">
        <f>U55-'GENEL HEDEF'!AS55</f>
        <v>-0.22</v>
      </c>
      <c r="AD55" s="15">
        <f>V55-'GENEL HEDEF'!AT55</f>
        <v>0</v>
      </c>
      <c r="AE55" s="86">
        <f t="shared" si="10"/>
        <v>0.22</v>
      </c>
    </row>
    <row r="56" spans="2:31" ht="13" thickBot="1" x14ac:dyDescent="0.2">
      <c r="B56" s="18">
        <v>42</v>
      </c>
      <c r="C56" s="1" t="s">
        <v>31</v>
      </c>
      <c r="E56" s="22"/>
      <c r="F56" s="23">
        <f>IF(ISERROR(VLOOKUP($B56,[1]Hedef!$A$4:$ES$45409,51,0)),0,VLOOKUP($B56,[1]Hedef!$A$4:$ES$45409,51,0))</f>
        <v>0</v>
      </c>
      <c r="G56" s="23">
        <f t="shared" si="97"/>
        <v>0</v>
      </c>
      <c r="H56" s="80" t="e">
        <f t="shared" si="80"/>
        <v>#DIV/0!</v>
      </c>
      <c r="J56" s="44">
        <v>10</v>
      </c>
      <c r="K56" s="11">
        <f t="shared" si="83"/>
        <v>-1</v>
      </c>
      <c r="M56" s="22"/>
      <c r="N56" s="23">
        <f>IF(ISERROR(VLOOKUP($B56,[1]Hedef!$A$4:$ES$45409,55,0)),0,VLOOKUP($B56,[1]Hedef!$A$4:$ES$45409,55,0))</f>
        <v>0</v>
      </c>
      <c r="O56" s="23">
        <f t="shared" si="71"/>
        <v>0</v>
      </c>
      <c r="P56" s="80" t="e">
        <f t="shared" si="79"/>
        <v>#DIV/0!</v>
      </c>
      <c r="R56" s="44">
        <v>9</v>
      </c>
      <c r="S56" s="11">
        <f t="shared" si="73"/>
        <v>-1</v>
      </c>
      <c r="U56" s="22">
        <f t="shared" si="74"/>
        <v>0</v>
      </c>
      <c r="V56" s="23">
        <f t="shared" si="75"/>
        <v>0</v>
      </c>
      <c r="W56" s="23">
        <f t="shared" si="76"/>
        <v>0</v>
      </c>
      <c r="X56" s="80" t="e">
        <f t="shared" si="81"/>
        <v>#DIV/0!</v>
      </c>
      <c r="Z56" s="23">
        <f t="shared" si="78"/>
        <v>19</v>
      </c>
      <c r="AA56" s="11">
        <f t="shared" si="45"/>
        <v>-1</v>
      </c>
      <c r="AB56" s="45"/>
      <c r="AC56" s="12">
        <f>U56-'GENEL HEDEF'!AS56</f>
        <v>-20</v>
      </c>
      <c r="AD56" s="15">
        <f>V56-'GENEL HEDEF'!AT56</f>
        <v>0</v>
      </c>
      <c r="AE56" s="86">
        <f t="shared" si="10"/>
        <v>20</v>
      </c>
    </row>
    <row r="57" spans="2:31" ht="14" thickTop="1" thickBot="1" x14ac:dyDescent="0.2">
      <c r="B57" s="18"/>
      <c r="C57" s="2" t="s">
        <v>32</v>
      </c>
      <c r="E57" s="67">
        <v>11.5</v>
      </c>
      <c r="F57" s="67">
        <f>SUM(F46:F56)</f>
        <v>0.60724200000000006</v>
      </c>
      <c r="G57" s="67">
        <f>SUM(G46:G56)</f>
        <v>0</v>
      </c>
      <c r="H57" s="39">
        <f>TRUNC(IF((F57/E57)&gt;1.2,"120%",(F57/E57)),2)</f>
        <v>0.05</v>
      </c>
      <c r="I57" s="78"/>
      <c r="J57" s="67"/>
      <c r="K57" s="48"/>
      <c r="L57" s="78"/>
      <c r="M57" s="67">
        <f>SUM(M46:M56)</f>
        <v>0</v>
      </c>
      <c r="N57" s="67">
        <f>SUM(N46:N56)</f>
        <v>0.22816900000000001</v>
      </c>
      <c r="O57" s="67">
        <f>SUM(O46:O56)</f>
        <v>0</v>
      </c>
      <c r="P57" s="39" t="e">
        <f>TRUNC(IF((N57/M57)&gt;1.2,"120%",(N57/M57)),2)</f>
        <v>#DIV/0!</v>
      </c>
      <c r="Q57" s="78"/>
      <c r="R57" s="67"/>
      <c r="S57" s="48"/>
      <c r="T57" s="78"/>
      <c r="U57" s="67">
        <f>SUM(U46:U56)</f>
        <v>0</v>
      </c>
      <c r="V57" s="67">
        <f>SUM(V46:V56)</f>
        <v>0.83541100000000001</v>
      </c>
      <c r="W57" s="67">
        <f>SUM(W46:W56)</f>
        <v>0</v>
      </c>
      <c r="X57" s="39" t="e">
        <f>TRUNC(IF((V57/U57)&gt;1.2,"120%",(V57/U57)),2)</f>
        <v>#DIV/0!</v>
      </c>
      <c r="Z57" s="67"/>
      <c r="AA57" s="48"/>
      <c r="AC57" s="8"/>
      <c r="AD57" s="9"/>
      <c r="AE57" s="86">
        <f t="shared" si="10"/>
        <v>0</v>
      </c>
    </row>
    <row r="58" spans="2:31" thickTop="1" x14ac:dyDescent="0.15">
      <c r="Z58" s="4"/>
    </row>
    <row r="59" spans="2:31" x14ac:dyDescent="0.15">
      <c r="H59" s="37" t="e">
        <f>TRUNC((H56+H55+H46+H44+H41+H40+H38+H37+H36+H35+H34+H33+H32+H31+H11+H29+H28+H27+H26+H25+H23+H22+H19+H18+H16+H15+H14+H12+H10+H9+H8+H7+H6+H5+H48+H24+H52+H42+H54+H43+H50+H47+H51+H49+H53)/43,2)</f>
        <v>#DIV/0!</v>
      </c>
      <c r="J59" s="69" t="s">
        <v>41</v>
      </c>
      <c r="K59" s="52">
        <f>COUNTIF(K5:K56,"&gt;10%")</f>
        <v>2</v>
      </c>
      <c r="P59" s="37" t="e">
        <f>TRUNC((P56+P55+P46+P44+P41+P40+P38+P37+P36+P35+P34+P33+P32+P31+P11+P29+P28+P27+P26+P25+P23+P22+P19+P18+P16+P15+P14+P12+P10+P9+P8+P7+P6+P5+P48+P24+P52+P42+P54+P43+P50+P47+P51+P49+P53)/43,2)</f>
        <v>#DIV/0!</v>
      </c>
      <c r="R59" s="69" t="s">
        <v>41</v>
      </c>
      <c r="S59" s="52">
        <f>COUNTIF(S5:S56,"&gt;10%")</f>
        <v>2</v>
      </c>
      <c r="X59" s="37" t="e">
        <f>TRUNC((X56+X55+X46+X44+X41+X40+X38+X37+X36+X35+X34+X33+X32+X31+X11+X29+X28+X27+X26+X25+X23+X22+X19+X18+X16+X15+X14+X12+X10+X9+X8+X7+X6+X5+X48+X24+X52+X42+X54+X43+X50+X47+X51+X49+X53)/43,2)</f>
        <v>#DIV/0!</v>
      </c>
      <c r="Z59" s="69" t="s">
        <v>41</v>
      </c>
      <c r="AA59" s="52">
        <f>COUNTIF(AA5:AA56,"&gt;10%")</f>
        <v>2</v>
      </c>
    </row>
    <row r="60" spans="2:31" x14ac:dyDescent="0.15">
      <c r="C60" s="108"/>
      <c r="H60" s="37"/>
      <c r="J60" s="54"/>
      <c r="K60" s="52"/>
      <c r="P60" s="16"/>
      <c r="R60" s="54"/>
      <c r="S60" s="52"/>
      <c r="AA60" s="53"/>
    </row>
    <row r="61" spans="2:31" ht="13" thickBot="1" x14ac:dyDescent="0.2">
      <c r="B61" s="18"/>
    </row>
    <row r="62" spans="2:31" ht="14" thickTop="1" thickBot="1" x14ac:dyDescent="0.2">
      <c r="B62" s="18" t="s">
        <v>40</v>
      </c>
      <c r="C62" s="2" t="s">
        <v>39</v>
      </c>
      <c r="E62" s="63"/>
      <c r="F62" s="36">
        <f>IF(ISERROR(VLOOKUP($B62,[1]Hedef!$A$4:$ES$45409,52,0)),0,VLOOKUP($B62,[1]Hedef!$A$4:$ES$45409,52,0))</f>
        <v>15753.45</v>
      </c>
      <c r="G62" s="36" t="str">
        <f>IF((E62-F62)&lt;0, "-", (E62-F62))</f>
        <v>-</v>
      </c>
      <c r="H62" s="34" t="e">
        <f>IF((F62/E62)&gt;1,"100.0%",(F62/E62))</f>
        <v>#DIV/0!</v>
      </c>
      <c r="M62" s="63"/>
      <c r="N62" s="36">
        <f>IF(ISERROR(VLOOKUP($B62,[1]Hedef!$A$4:$ES$45409,56,0)),0,VLOOKUP($B62,[1]Hedef!$A$4:$ES$45409,56,0))</f>
        <v>42185.47</v>
      </c>
      <c r="O62" s="36" t="str">
        <f>IF((M62-N62)&lt;0, "-", (M62-N62))</f>
        <v>-</v>
      </c>
      <c r="P62" s="34" t="e">
        <f>IF((N62/M62)&gt;1,"100.0%",(N62/M62))</f>
        <v>#DIV/0!</v>
      </c>
      <c r="U62" s="36">
        <f>E62+M62</f>
        <v>0</v>
      </c>
      <c r="V62" s="36">
        <f>+N62+F62</f>
        <v>57938.92</v>
      </c>
      <c r="W62" s="36" t="str">
        <f>IF((U62-V62)&lt;0, "-", (U62-V62))</f>
        <v>-</v>
      </c>
      <c r="X62" s="34" t="e">
        <f>IF((V62/U62)&gt;1,"100.0%",(V62/U62))</f>
        <v>#DIV/0!</v>
      </c>
    </row>
    <row r="63" spans="2:31" ht="14" thickTop="1" thickBot="1" x14ac:dyDescent="0.2"/>
    <row r="64" spans="2:31" ht="14" thickTop="1" thickBot="1" x14ac:dyDescent="0.2">
      <c r="B64" s="55" t="s">
        <v>42</v>
      </c>
      <c r="C64" s="2" t="s">
        <v>43</v>
      </c>
      <c r="E64" s="45"/>
      <c r="F64" s="36">
        <f>IF(ISERROR(VLOOKUP($B64,[1]Hedef!$A$4:$ES$45409,52,0)),0,VLOOKUP($B64,[1]Hedef!$A$4:$ES$45409,52,0))</f>
        <v>526.04999999999995</v>
      </c>
      <c r="G64" s="56">
        <f>F64/F62</f>
        <v>3.3392685411766945E-2</v>
      </c>
      <c r="H64" s="25"/>
      <c r="M64" s="45"/>
      <c r="N64" s="36">
        <f>IF(ISERROR(VLOOKUP($B64,[1]Hedef!$A$4:$ES$45409,56,0)),0,VLOOKUP($B64,[1]Hedef!$A$4:$ES$45409,56,0))</f>
        <v>375.13</v>
      </c>
      <c r="O64" s="56">
        <f>N64/N62</f>
        <v>8.8923982594006894E-3</v>
      </c>
      <c r="P64" s="25"/>
      <c r="V64" s="36">
        <f>+N64+F64</f>
        <v>901.18</v>
      </c>
      <c r="W64" s="56">
        <f>V64/V62</f>
        <v>1.5553966142275347E-2</v>
      </c>
      <c r="X64" s="25"/>
    </row>
    <row r="65" spans="3:3" ht="13" thickTop="1" x14ac:dyDescent="0.15"/>
    <row r="68" spans="3:3" x14ac:dyDescent="0.15">
      <c r="C68" s="150"/>
    </row>
    <row r="69" spans="3:3" x14ac:dyDescent="0.15">
      <c r="C69" s="150"/>
    </row>
    <row r="70" spans="3:3" x14ac:dyDescent="0.15">
      <c r="C70" s="150"/>
    </row>
  </sheetData>
  <autoFilter ref="A4:AG57" xr:uid="{00000000-0009-0000-0000-000004000000}">
    <filterColumn colId="28" showButton="0"/>
  </autoFilter>
  <mergeCells count="5">
    <mergeCell ref="M2:P3"/>
    <mergeCell ref="U2:X3"/>
    <mergeCell ref="AC4:AD4"/>
    <mergeCell ref="C2:C4"/>
    <mergeCell ref="E2:H3"/>
  </mergeCells>
  <conditionalFormatting sqref="H5:H12 P5:P12 X5:X12 H14:H16 P14:P16 X14:X16 H18:H19 P18:P19 X18:X19 H22:H29 P22:P29 X22:X29 H31:H38 P31:P38 X31:X38 H40:H44 P40:P44 X40:X44 P46:P56 X46:X56">
    <cfRule type="cellIs" dxfId="137" priority="19" operator="greaterThanOrEqual">
      <formula>1.2</formula>
    </cfRule>
    <cfRule type="cellIs" dxfId="136" priority="20" operator="greaterThanOrEqual">
      <formula>120</formula>
    </cfRule>
  </conditionalFormatting>
  <conditionalFormatting sqref="H46:H56">
    <cfRule type="cellIs" dxfId="135" priority="13" operator="greaterThanOrEqual">
      <formula>1.2</formula>
    </cfRule>
    <cfRule type="cellIs" dxfId="134" priority="14" operator="greaterThanOrEqual">
      <formula>120</formula>
    </cfRule>
  </conditionalFormatting>
  <pageMargins left="0.70866141732283472" right="0.70866141732283472" top="0.74803149606299213" bottom="0.74803149606299213" header="0.31496062992125984" footer="0.31496062992125984"/>
  <pageSetup scale="4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AD50C-F104-406C-810F-EF4BB818CF04}">
  <dimension ref="A1:DI100"/>
  <sheetViews>
    <sheetView showGridLines="0" zoomScale="110" zoomScaleNormal="110" workbookViewId="0">
      <pane xSplit="3" ySplit="4" topLeftCell="AK18" activePane="bottomRight" state="frozen"/>
      <selection pane="topRight" activeCell="D1" sqref="D1"/>
      <selection pane="bottomLeft" activeCell="A5" sqref="A5"/>
      <selection pane="bottomRight" activeCell="AK27" sqref="AK27"/>
    </sheetView>
  </sheetViews>
  <sheetFormatPr baseColWidth="10" defaultColWidth="8.83203125" defaultRowHeight="15" x14ac:dyDescent="0.2"/>
  <cols>
    <col min="1" max="1" width="0.83203125" customWidth="1"/>
    <col min="2" max="2" width="1.6640625" customWidth="1"/>
    <col min="3" max="3" width="37.83203125" customWidth="1"/>
    <col min="4" max="4" width="1" customWidth="1"/>
    <col min="5" max="5" width="11.1640625" bestFit="1" customWidth="1"/>
    <col min="6" max="8" width="10.6640625" customWidth="1"/>
    <col min="9" max="9" width="1" customWidth="1"/>
    <col min="12" max="12" width="1" customWidth="1"/>
    <col min="13" max="13" width="11.1640625" bestFit="1" customWidth="1"/>
    <col min="14" max="16" width="10.6640625" customWidth="1"/>
    <col min="17" max="17" width="1" customWidth="1"/>
    <col min="20" max="20" width="1" customWidth="1"/>
    <col min="21" max="21" width="11.1640625" bestFit="1" customWidth="1"/>
    <col min="22" max="24" width="10.6640625" customWidth="1"/>
    <col min="25" max="25" width="1" customWidth="1"/>
    <col min="28" max="28" width="0.6640625" customWidth="1"/>
    <col min="29" max="29" width="11.1640625" customWidth="1"/>
    <col min="30" max="32" width="10.6640625" customWidth="1"/>
    <col min="36" max="36" width="0.5" customWidth="1"/>
    <col min="37" max="37" width="10.33203125" bestFit="1" customWidth="1"/>
    <col min="38" max="40" width="10.6640625" customWidth="1"/>
    <col min="41" max="41" width="1" customWidth="1"/>
    <col min="44" max="44" width="1" customWidth="1"/>
    <col min="45" max="45" width="8.6640625" customWidth="1"/>
    <col min="46" max="48" width="10.6640625" customWidth="1"/>
    <col min="49" max="49" width="1" customWidth="1"/>
    <col min="52" max="52" width="1" customWidth="1"/>
    <col min="53" max="53" width="9.33203125" customWidth="1"/>
    <col min="54" max="56" width="10.6640625" customWidth="1"/>
    <col min="57" max="57" width="1" customWidth="1"/>
    <col min="60" max="60" width="1" customWidth="1"/>
    <col min="61" max="61" width="11.1640625" bestFit="1" customWidth="1"/>
    <col min="62" max="64" width="10.6640625" customWidth="1"/>
    <col min="65" max="65" width="1" customWidth="1"/>
    <col min="68" max="68" width="0.83203125" customWidth="1"/>
    <col min="69" max="69" width="11.1640625" bestFit="1" customWidth="1"/>
    <col min="70" max="72" width="10.6640625" customWidth="1"/>
    <col min="73" max="75" width="9.1640625" customWidth="1"/>
    <col min="76" max="76" width="1" customWidth="1"/>
    <col min="77" max="77" width="10.33203125" customWidth="1"/>
    <col min="78" max="80" width="10.6640625" customWidth="1"/>
    <col min="81" max="82" width="9.1640625" customWidth="1"/>
    <col min="83" max="83" width="1" customWidth="1"/>
    <col min="84" max="84" width="9" customWidth="1"/>
    <col min="85" max="87" width="10.6640625" customWidth="1"/>
    <col min="88" max="89" width="9.1640625" customWidth="1"/>
    <col min="90" max="90" width="0.6640625" customWidth="1"/>
    <col min="91" max="91" width="11.1640625" customWidth="1"/>
    <col min="92" max="94" width="10.6640625" customWidth="1"/>
    <col min="95" max="97" width="9.1640625" customWidth="1"/>
    <col min="98" max="98" width="1" customWidth="1"/>
    <col min="99" max="103" width="9.1640625" customWidth="1"/>
    <col min="104" max="104" width="1" customWidth="1"/>
    <col min="105" max="107" width="9.1640625" customWidth="1"/>
    <col min="108" max="108" width="1" customWidth="1"/>
    <col min="109" max="109" width="9.1640625" customWidth="1"/>
  </cols>
  <sheetData>
    <row r="1" spans="1:113" ht="16" thickBot="1" x14ac:dyDescent="0.25">
      <c r="A1" s="24"/>
      <c r="B1" s="70"/>
      <c r="C1" s="65" t="s">
        <v>202</v>
      </c>
      <c r="D1" s="24"/>
      <c r="E1" s="25"/>
      <c r="F1" s="24"/>
      <c r="G1" s="24"/>
      <c r="H1" s="24"/>
      <c r="I1" s="24"/>
      <c r="J1" s="25"/>
      <c r="K1" s="24"/>
      <c r="L1" s="24"/>
      <c r="M1" s="25"/>
      <c r="N1" s="24"/>
      <c r="O1" s="24"/>
      <c r="P1" s="24"/>
      <c r="Q1" s="24"/>
      <c r="R1" s="25"/>
      <c r="S1" s="24"/>
      <c r="T1" s="24"/>
      <c r="U1" s="25"/>
      <c r="V1" s="24"/>
      <c r="W1" s="24"/>
      <c r="X1" s="24"/>
      <c r="Y1" s="24"/>
      <c r="Z1" s="25"/>
      <c r="AA1" s="24"/>
      <c r="AB1" s="24"/>
      <c r="AC1" s="25"/>
      <c r="AD1" s="24"/>
      <c r="AE1" s="24"/>
      <c r="AF1" s="24"/>
      <c r="AG1" s="26"/>
      <c r="AH1" s="25"/>
      <c r="AI1" s="24"/>
      <c r="AJ1" s="24"/>
      <c r="AK1" s="13"/>
      <c r="AL1" s="24"/>
      <c r="AM1" s="24"/>
      <c r="AN1" s="24"/>
      <c r="AO1" s="24"/>
      <c r="AP1" s="13"/>
      <c r="AQ1" s="24"/>
      <c r="AR1" s="24"/>
      <c r="AS1" s="25"/>
      <c r="AT1" s="24"/>
      <c r="AU1" s="24"/>
      <c r="AV1" s="24"/>
      <c r="AW1" s="24"/>
      <c r="AX1" s="25"/>
      <c r="AY1" s="24"/>
      <c r="AZ1" s="24"/>
      <c r="BA1" s="25"/>
      <c r="BB1" s="24"/>
      <c r="BC1" s="24"/>
      <c r="BD1" s="24"/>
      <c r="BE1" s="24"/>
      <c r="BF1" s="25"/>
      <c r="BG1" s="24"/>
      <c r="BH1" s="24"/>
      <c r="BI1" s="25"/>
      <c r="BJ1" s="24"/>
      <c r="BK1" s="24"/>
      <c r="BL1" s="24"/>
      <c r="BM1" s="24"/>
      <c r="BN1" s="25"/>
      <c r="BO1" s="24"/>
      <c r="BP1" s="24"/>
      <c r="BQ1" s="25"/>
      <c r="BR1" s="24"/>
      <c r="BS1" s="24"/>
      <c r="BT1" s="24"/>
      <c r="BU1" s="26"/>
      <c r="BV1" s="25"/>
      <c r="BW1" s="24"/>
      <c r="BX1" s="182"/>
      <c r="BY1" s="13"/>
      <c r="BZ1" s="24"/>
      <c r="CA1" s="24"/>
      <c r="CB1" s="24"/>
      <c r="CC1" s="25"/>
      <c r="CD1" s="24"/>
      <c r="CE1" s="24"/>
      <c r="CF1" s="13"/>
      <c r="CG1" s="24"/>
      <c r="CH1" s="24"/>
      <c r="CI1" s="24"/>
      <c r="CJ1" s="25"/>
      <c r="CK1" s="24"/>
      <c r="CL1" s="24"/>
      <c r="CM1" s="25"/>
      <c r="CN1" s="24"/>
      <c r="CO1" s="24"/>
      <c r="CP1" s="24"/>
      <c r="CQ1" s="26"/>
      <c r="CR1" s="25"/>
      <c r="CS1" s="24"/>
      <c r="CT1" s="24"/>
      <c r="CU1" s="25"/>
      <c r="CV1" s="24"/>
      <c r="CW1" s="24"/>
      <c r="CX1" s="24"/>
      <c r="CY1" s="24"/>
      <c r="CZ1" s="26"/>
      <c r="DA1" s="25"/>
      <c r="DB1" s="25"/>
      <c r="DC1" s="24"/>
      <c r="DD1" s="24"/>
      <c r="DE1" s="26"/>
      <c r="DF1" s="64"/>
      <c r="DG1" s="26"/>
      <c r="DH1" s="24"/>
      <c r="DI1" s="24"/>
    </row>
    <row r="2" spans="1:113" ht="15" customHeight="1" thickTop="1" x14ac:dyDescent="0.2">
      <c r="A2" s="24"/>
      <c r="B2" s="70"/>
      <c r="C2" s="211" t="s">
        <v>0</v>
      </c>
      <c r="D2" s="24"/>
      <c r="E2" s="228" t="s">
        <v>140</v>
      </c>
      <c r="F2" s="229"/>
      <c r="G2" s="229"/>
      <c r="H2" s="230"/>
      <c r="I2" s="24"/>
      <c r="J2" s="25"/>
      <c r="K2" s="24"/>
      <c r="L2" s="24"/>
      <c r="M2" s="228" t="s">
        <v>97</v>
      </c>
      <c r="N2" s="229"/>
      <c r="O2" s="229"/>
      <c r="P2" s="230"/>
      <c r="Q2" s="24"/>
      <c r="R2" s="25"/>
      <c r="S2" s="24"/>
      <c r="T2" s="24"/>
      <c r="U2" s="228" t="s">
        <v>98</v>
      </c>
      <c r="V2" s="229"/>
      <c r="W2" s="229"/>
      <c r="X2" s="230"/>
      <c r="Y2" s="24"/>
      <c r="Z2" s="25"/>
      <c r="AA2" s="24"/>
      <c r="AB2" s="24"/>
      <c r="AC2" s="228" t="s">
        <v>123</v>
      </c>
      <c r="AD2" s="229"/>
      <c r="AE2" s="229"/>
      <c r="AF2" s="230"/>
      <c r="AG2" s="26"/>
      <c r="AH2" s="25"/>
      <c r="AI2" s="24"/>
      <c r="AJ2" s="24"/>
      <c r="AK2" s="237" t="s">
        <v>38</v>
      </c>
      <c r="AL2" s="238"/>
      <c r="AM2" s="238"/>
      <c r="AN2" s="239"/>
      <c r="AO2" s="24"/>
      <c r="AP2" s="13"/>
      <c r="AQ2" s="24"/>
      <c r="AR2" s="24"/>
      <c r="AS2" s="237" t="s">
        <v>144</v>
      </c>
      <c r="AT2" s="238"/>
      <c r="AU2" s="238"/>
      <c r="AV2" s="239"/>
      <c r="AW2" s="24"/>
      <c r="AX2" s="25"/>
      <c r="AY2" s="24"/>
      <c r="AZ2" s="24"/>
      <c r="BA2" s="237" t="s">
        <v>99</v>
      </c>
      <c r="BB2" s="238"/>
      <c r="BC2" s="238"/>
      <c r="BD2" s="239"/>
      <c r="BE2" s="24"/>
      <c r="BF2" s="25"/>
      <c r="BG2" s="24"/>
      <c r="BH2" s="24"/>
      <c r="BI2" s="237" t="s">
        <v>100</v>
      </c>
      <c r="BJ2" s="238"/>
      <c r="BK2" s="238"/>
      <c r="BL2" s="239"/>
      <c r="BM2" s="24"/>
      <c r="BN2" s="25"/>
      <c r="BO2" s="24"/>
      <c r="BP2" s="24"/>
      <c r="BQ2" s="228" t="s">
        <v>96</v>
      </c>
      <c r="BR2" s="229"/>
      <c r="BS2" s="229"/>
      <c r="BT2" s="230"/>
      <c r="BU2" s="26"/>
      <c r="BV2" s="25"/>
      <c r="BW2" s="24"/>
      <c r="BX2" s="182"/>
      <c r="BY2" s="237" t="s">
        <v>101</v>
      </c>
      <c r="BZ2" s="238"/>
      <c r="CA2" s="238"/>
      <c r="CB2" s="239"/>
      <c r="CC2" s="25"/>
      <c r="CD2" s="24"/>
      <c r="CE2" s="24"/>
      <c r="CF2" s="237" t="s">
        <v>102</v>
      </c>
      <c r="CG2" s="238"/>
      <c r="CH2" s="238"/>
      <c r="CI2" s="239"/>
      <c r="CJ2" s="25"/>
      <c r="CK2" s="24"/>
      <c r="CL2" s="24"/>
      <c r="CM2" s="228" t="s">
        <v>122</v>
      </c>
      <c r="CN2" s="229"/>
      <c r="CO2" s="229"/>
      <c r="CP2" s="230"/>
      <c r="CQ2" s="26"/>
      <c r="CR2" s="25"/>
      <c r="CS2" s="24"/>
      <c r="CT2" s="24"/>
      <c r="CU2" s="228" t="s">
        <v>95</v>
      </c>
      <c r="CV2" s="229"/>
      <c r="CW2" s="229"/>
      <c r="CX2" s="229"/>
      <c r="CY2" s="230"/>
      <c r="CZ2" s="26"/>
      <c r="DA2" s="25"/>
      <c r="DB2" s="25"/>
      <c r="DC2" s="24"/>
      <c r="DD2" s="24"/>
      <c r="DE2" s="26"/>
      <c r="DF2" s="64"/>
      <c r="DG2" s="26"/>
      <c r="DH2" s="24"/>
      <c r="DI2" s="24"/>
    </row>
    <row r="3" spans="1:113" ht="15" customHeight="1" thickBot="1" x14ac:dyDescent="0.25">
      <c r="A3" s="24"/>
      <c r="B3" s="70"/>
      <c r="C3" s="212"/>
      <c r="D3" s="24"/>
      <c r="E3" s="231" t="s">
        <v>141</v>
      </c>
      <c r="F3" s="232"/>
      <c r="G3" s="232"/>
      <c r="H3" s="233"/>
      <c r="I3" s="24"/>
      <c r="J3" s="25"/>
      <c r="K3" s="24"/>
      <c r="L3" s="24"/>
      <c r="M3" s="231" t="s">
        <v>103</v>
      </c>
      <c r="N3" s="232"/>
      <c r="O3" s="232"/>
      <c r="P3" s="233"/>
      <c r="Q3" s="24"/>
      <c r="R3" s="25"/>
      <c r="S3" s="24"/>
      <c r="T3" s="24"/>
      <c r="U3" s="231" t="s">
        <v>79</v>
      </c>
      <c r="V3" s="232"/>
      <c r="W3" s="232"/>
      <c r="X3" s="233"/>
      <c r="Y3" s="24"/>
      <c r="Z3" s="25"/>
      <c r="AA3" s="24"/>
      <c r="AB3" s="24"/>
      <c r="AC3" s="231"/>
      <c r="AD3" s="232"/>
      <c r="AE3" s="232"/>
      <c r="AF3" s="233"/>
      <c r="AG3" s="26"/>
      <c r="AH3" s="25"/>
      <c r="AI3" s="24"/>
      <c r="AJ3" s="24"/>
      <c r="AK3" s="234"/>
      <c r="AL3" s="235"/>
      <c r="AM3" s="235"/>
      <c r="AN3" s="236"/>
      <c r="AO3" s="24"/>
      <c r="AP3" s="13"/>
      <c r="AQ3" s="24"/>
      <c r="AR3" s="24"/>
      <c r="AS3" s="234" t="s">
        <v>74</v>
      </c>
      <c r="AT3" s="235"/>
      <c r="AU3" s="235"/>
      <c r="AV3" s="236"/>
      <c r="AW3" s="24"/>
      <c r="AX3" s="25"/>
      <c r="AY3" s="24"/>
      <c r="AZ3" s="24"/>
      <c r="BA3" s="234" t="s">
        <v>83</v>
      </c>
      <c r="BB3" s="235"/>
      <c r="BC3" s="235"/>
      <c r="BD3" s="236"/>
      <c r="BE3" s="24"/>
      <c r="BF3" s="25"/>
      <c r="BG3" s="24"/>
      <c r="BH3" s="24"/>
      <c r="BI3" s="234" t="s">
        <v>80</v>
      </c>
      <c r="BJ3" s="235"/>
      <c r="BK3" s="235"/>
      <c r="BL3" s="236"/>
      <c r="BM3" s="24"/>
      <c r="BN3" s="25"/>
      <c r="BO3" s="24"/>
      <c r="BP3" s="24"/>
      <c r="BQ3" s="231"/>
      <c r="BR3" s="232"/>
      <c r="BS3" s="232"/>
      <c r="BT3" s="233"/>
      <c r="BU3" s="26"/>
      <c r="BV3" s="25"/>
      <c r="BW3" s="24"/>
      <c r="BX3" s="182"/>
      <c r="BY3" s="234" t="s">
        <v>85</v>
      </c>
      <c r="BZ3" s="235"/>
      <c r="CA3" s="235"/>
      <c r="CB3" s="236"/>
      <c r="CC3" s="25"/>
      <c r="CD3" s="24"/>
      <c r="CE3" s="24"/>
      <c r="CF3" s="234" t="s">
        <v>104</v>
      </c>
      <c r="CG3" s="235"/>
      <c r="CH3" s="235"/>
      <c r="CI3" s="236"/>
      <c r="CJ3" s="25"/>
      <c r="CK3" s="24"/>
      <c r="CL3" s="24"/>
      <c r="CM3" s="231"/>
      <c r="CN3" s="232"/>
      <c r="CO3" s="232"/>
      <c r="CP3" s="233"/>
      <c r="CQ3" s="26"/>
      <c r="CR3" s="25"/>
      <c r="CS3" s="24"/>
      <c r="CT3" s="24"/>
      <c r="CU3" s="231"/>
      <c r="CV3" s="232"/>
      <c r="CW3" s="232"/>
      <c r="CX3" s="232"/>
      <c r="CY3" s="233"/>
      <c r="CZ3" s="26"/>
      <c r="DA3" s="25"/>
      <c r="DB3" s="25"/>
      <c r="DC3" s="24"/>
      <c r="DD3" s="24"/>
      <c r="DE3" s="26"/>
      <c r="DF3" s="64"/>
      <c r="DG3" s="26"/>
      <c r="DH3" s="24"/>
      <c r="DI3" s="24"/>
    </row>
    <row r="4" spans="1:113" ht="15" customHeight="1" thickTop="1" thickBot="1" x14ac:dyDescent="0.25">
      <c r="A4" s="24"/>
      <c r="B4" s="70"/>
      <c r="C4" s="213"/>
      <c r="D4" s="24"/>
      <c r="E4" s="27" t="s">
        <v>33</v>
      </c>
      <c r="F4" s="28" t="s">
        <v>34</v>
      </c>
      <c r="G4" s="28" t="s">
        <v>35</v>
      </c>
      <c r="H4" s="29" t="s">
        <v>36</v>
      </c>
      <c r="I4" s="24"/>
      <c r="J4" s="30">
        <v>2022</v>
      </c>
      <c r="K4" s="103" t="s">
        <v>36</v>
      </c>
      <c r="L4" s="24"/>
      <c r="M4" s="27" t="s">
        <v>33</v>
      </c>
      <c r="N4" s="28" t="s">
        <v>34</v>
      </c>
      <c r="O4" s="28" t="s">
        <v>35</v>
      </c>
      <c r="P4" s="29" t="s">
        <v>36</v>
      </c>
      <c r="Q4" s="24"/>
      <c r="R4" s="30">
        <v>2022</v>
      </c>
      <c r="S4" s="103" t="s">
        <v>36</v>
      </c>
      <c r="T4" s="24"/>
      <c r="U4" s="27" t="s">
        <v>33</v>
      </c>
      <c r="V4" s="28" t="s">
        <v>34</v>
      </c>
      <c r="W4" s="28" t="s">
        <v>35</v>
      </c>
      <c r="X4" s="29" t="s">
        <v>36</v>
      </c>
      <c r="Y4" s="24"/>
      <c r="Z4" s="30">
        <v>2022</v>
      </c>
      <c r="AA4" s="103" t="s">
        <v>36</v>
      </c>
      <c r="AB4" s="24"/>
      <c r="AC4" s="27" t="s">
        <v>33</v>
      </c>
      <c r="AD4" s="28" t="s">
        <v>34</v>
      </c>
      <c r="AE4" s="28" t="s">
        <v>35</v>
      </c>
      <c r="AF4" s="29" t="s">
        <v>36</v>
      </c>
      <c r="AG4" s="100" t="s">
        <v>37</v>
      </c>
      <c r="AH4" s="30">
        <v>2022</v>
      </c>
      <c r="AI4" s="103" t="s">
        <v>36</v>
      </c>
      <c r="AJ4" s="24"/>
      <c r="AK4" s="5" t="s">
        <v>33</v>
      </c>
      <c r="AL4" s="28" t="s">
        <v>34</v>
      </c>
      <c r="AM4" s="28" t="s">
        <v>35</v>
      </c>
      <c r="AN4" s="29" t="s">
        <v>36</v>
      </c>
      <c r="AO4" s="24"/>
      <c r="AP4" s="30">
        <v>2021</v>
      </c>
      <c r="AQ4" s="103" t="s">
        <v>36</v>
      </c>
      <c r="AR4" s="24"/>
      <c r="AS4" s="27" t="s">
        <v>33</v>
      </c>
      <c r="AT4" s="28" t="s">
        <v>34</v>
      </c>
      <c r="AU4" s="28" t="s">
        <v>35</v>
      </c>
      <c r="AV4" s="29" t="s">
        <v>36</v>
      </c>
      <c r="AW4" s="24"/>
      <c r="AX4" s="30">
        <v>2022</v>
      </c>
      <c r="AY4" s="103" t="s">
        <v>36</v>
      </c>
      <c r="AZ4" s="24"/>
      <c r="BA4" s="149" t="s">
        <v>33</v>
      </c>
      <c r="BB4" s="28" t="s">
        <v>34</v>
      </c>
      <c r="BC4" s="28" t="s">
        <v>35</v>
      </c>
      <c r="BD4" s="29" t="s">
        <v>36</v>
      </c>
      <c r="BE4" s="24"/>
      <c r="BF4" s="30">
        <v>2022</v>
      </c>
      <c r="BG4" s="103" t="s">
        <v>36</v>
      </c>
      <c r="BH4" s="24"/>
      <c r="BI4" s="149" t="s">
        <v>33</v>
      </c>
      <c r="BJ4" s="28" t="s">
        <v>34</v>
      </c>
      <c r="BK4" s="28" t="s">
        <v>35</v>
      </c>
      <c r="BL4" s="29" t="s">
        <v>36</v>
      </c>
      <c r="BM4" s="24"/>
      <c r="BN4" s="30">
        <v>2022</v>
      </c>
      <c r="BO4" s="103" t="s">
        <v>36</v>
      </c>
      <c r="BP4" s="24"/>
      <c r="BQ4" s="28" t="s">
        <v>33</v>
      </c>
      <c r="BR4" s="28" t="s">
        <v>34</v>
      </c>
      <c r="BS4" s="28" t="s">
        <v>35</v>
      </c>
      <c r="BT4" s="29" t="s">
        <v>36</v>
      </c>
      <c r="BU4" s="100" t="s">
        <v>37</v>
      </c>
      <c r="BV4" s="30">
        <v>2022</v>
      </c>
      <c r="BW4" s="103" t="s">
        <v>36</v>
      </c>
      <c r="BX4" s="182"/>
      <c r="BY4" s="5" t="s">
        <v>33</v>
      </c>
      <c r="BZ4" s="28" t="s">
        <v>34</v>
      </c>
      <c r="CA4" s="28" t="s">
        <v>35</v>
      </c>
      <c r="CB4" s="29" t="s">
        <v>36</v>
      </c>
      <c r="CC4" s="30">
        <v>2022</v>
      </c>
      <c r="CD4" s="103" t="s">
        <v>36</v>
      </c>
      <c r="CE4" s="81"/>
      <c r="CF4" s="5" t="s">
        <v>33</v>
      </c>
      <c r="CG4" s="28" t="s">
        <v>34</v>
      </c>
      <c r="CH4" s="28" t="s">
        <v>35</v>
      </c>
      <c r="CI4" s="29" t="s">
        <v>36</v>
      </c>
      <c r="CJ4" s="30">
        <v>2022</v>
      </c>
      <c r="CK4" s="103" t="s">
        <v>36</v>
      </c>
      <c r="CL4" s="81"/>
      <c r="CM4" s="27" t="s">
        <v>33</v>
      </c>
      <c r="CN4" s="28" t="s">
        <v>34</v>
      </c>
      <c r="CO4" s="28" t="s">
        <v>35</v>
      </c>
      <c r="CP4" s="29" t="s">
        <v>36</v>
      </c>
      <c r="CQ4" s="120" t="s">
        <v>37</v>
      </c>
      <c r="CR4" s="30">
        <v>2022</v>
      </c>
      <c r="CS4" s="103" t="s">
        <v>36</v>
      </c>
      <c r="CT4" s="81"/>
      <c r="CU4" s="27" t="s">
        <v>33</v>
      </c>
      <c r="CV4" s="28" t="s">
        <v>170</v>
      </c>
      <c r="CW4" s="28" t="s">
        <v>169</v>
      </c>
      <c r="CX4" s="28" t="s">
        <v>35</v>
      </c>
      <c r="CY4" s="29" t="s">
        <v>36</v>
      </c>
      <c r="CZ4" s="26"/>
      <c r="DA4" s="30">
        <v>2022</v>
      </c>
      <c r="DB4" s="30"/>
      <c r="DC4" s="103" t="s">
        <v>36</v>
      </c>
      <c r="DD4" s="24"/>
      <c r="DE4" s="100" t="s">
        <v>37</v>
      </c>
      <c r="DF4" s="101"/>
      <c r="DG4" s="26"/>
      <c r="DH4" s="24"/>
      <c r="DI4" s="24"/>
    </row>
    <row r="5" spans="1:113" ht="12.75" customHeight="1" thickTop="1" x14ac:dyDescent="0.2">
      <c r="A5" s="24"/>
      <c r="B5" s="31">
        <v>10000</v>
      </c>
      <c r="C5" s="194" t="s">
        <v>1</v>
      </c>
      <c r="D5" s="102"/>
      <c r="E5" s="193">
        <v>9.9</v>
      </c>
      <c r="F5" s="23">
        <f>IF(ISERROR(VLOOKUP($B5,[1]Hedef!$A$4:$ES$45409,25,0)),0,VLOOKUP($B5,[1]Hedef!$A$4:$ES$45409,25,0))+IF(ISERROR(VLOOKUP($B5,[1]Hedef!$A$4:$ES$45409,15,0)),0,VLOOKUP($B5,[1]Hedef!$A$4:$ES$45409,15,0))</f>
        <v>1.0225899999999999</v>
      </c>
      <c r="G5" s="21">
        <f t="shared" ref="G5:G12" si="0">IF((E5-F5)&lt;0, "-", (E5-F5))</f>
        <v>8.8774100000000011</v>
      </c>
      <c r="H5" s="80">
        <f>TRUNC(IF((F5/E5)&gt;1.2,"120%",(F5/E5)),2)</f>
        <v>0.1</v>
      </c>
      <c r="I5" s="24"/>
      <c r="J5" s="32">
        <v>9.5752999999999986</v>
      </c>
      <c r="K5" s="59">
        <f>IF(ISERROR((F5-J5)/J5),0,(F5-J5)/J5)</f>
        <v>-0.89320543481666381</v>
      </c>
      <c r="L5" s="24"/>
      <c r="M5" s="44">
        <v>2.2999999999999998</v>
      </c>
      <c r="N5" s="23">
        <f>IF(ISERROR(VLOOKUP($B5,[1]Hedef!$A$4:$ES$45409,41,0)),0,VLOOKUP($B5,[1]Hedef!$A$4:$ES$45409,41,0))</f>
        <v>9.1804999999999998E-2</v>
      </c>
      <c r="O5" s="21">
        <f t="shared" ref="O5:O12" si="1">IF((M5-N5)&lt;0, "-", (M5-N5))</f>
        <v>2.2081949999999999</v>
      </c>
      <c r="P5" s="80">
        <f>TRUNC(IF((N5/M5)&gt;1.2,"120%",(N5/M5)),2)</f>
        <v>0.03</v>
      </c>
      <c r="Q5" s="92"/>
      <c r="R5" s="32">
        <v>2.2518599999999998</v>
      </c>
      <c r="S5" s="59">
        <f>IF(ISERROR((N5-R5)/R5),0,(N5-R5)/R5)</f>
        <v>-0.95923147975451406</v>
      </c>
      <c r="T5" s="102"/>
      <c r="U5" s="22">
        <v>3.1</v>
      </c>
      <c r="V5" s="23">
        <f>IF(ISERROR(VLOOKUP($B5,[1]Hedef!$A$4:$ES$45409,45,0)),0,VLOOKUP($B5,[1]Hedef!$A$4:$ES$45409,45,0))+IF(ISERROR(VLOOKUP($B5,[1]Hedef!$A$4:$ES$45409,109,0)),0,VLOOKUP($B5,[1]Hedef!$A$4:$ES$45409,109,0))</f>
        <v>0.18937500000000002</v>
      </c>
      <c r="W5" s="21">
        <f t="shared" ref="W5:W12" si="2">IF((U5-V5)&lt;0, "-", (U5-V5))</f>
        <v>2.910625</v>
      </c>
      <c r="X5" s="80">
        <f>TRUNC(IF((V5/U5)&gt;1.2,"120%",(V5/U5)),2)</f>
        <v>0.06</v>
      </c>
      <c r="Y5" s="24"/>
      <c r="Z5" s="32">
        <v>3.059620000000002</v>
      </c>
      <c r="AA5" s="59">
        <f>IF(ISERROR((V5-Z5)/Z5),0,(V5-Z5)/Z5)</f>
        <v>-0.93810505879815143</v>
      </c>
      <c r="AB5" s="99"/>
      <c r="AC5" s="164">
        <v>15.3</v>
      </c>
      <c r="AD5" s="23">
        <f>+N5+V5+F5</f>
        <v>1.3037699999999999</v>
      </c>
      <c r="AE5" s="21">
        <f t="shared" ref="AE5:AE12" si="3">IF((AC5-AD5)&lt;0, "-", (AC5-AD5))</f>
        <v>13.996230000000001</v>
      </c>
      <c r="AF5" s="80">
        <f>TRUNC(IF((AD5/AC5)&gt;1.2,"120%",(AD5/AC5)),2)</f>
        <v>0.08</v>
      </c>
      <c r="AG5" s="22">
        <f t="shared" ref="AG5:AG12" si="4">AC5-U5-M5-E5</f>
        <v>0</v>
      </c>
      <c r="AH5" s="44">
        <f>Z5+R5+J5</f>
        <v>14.88678</v>
      </c>
      <c r="AI5" s="59">
        <f t="shared" ref="AI5:AI12" si="5">IF(ISERROR((AD5-AH5)/AH5),0,(AD5-AH5)/AH5)</f>
        <v>-0.91242095335593054</v>
      </c>
      <c r="AJ5" s="92"/>
      <c r="AK5" s="22">
        <v>4.3</v>
      </c>
      <c r="AL5" s="23">
        <f>IF(ISERROR(VLOOKUP($B5,[1]Hedef!$A$4:$ES$45409,97,0)),0,VLOOKUP($B5,[1]Hedef!$A$4:$ES$45409,97,0))</f>
        <v>0</v>
      </c>
      <c r="AM5" s="21">
        <f t="shared" ref="AM5:AM12" si="6">IF((AK5-AL5)&lt;0, "-", (AK5-AL5))</f>
        <v>4.3</v>
      </c>
      <c r="AN5" s="80">
        <f>TRUNC(IF((AL5/AK5)&gt;1.2,"120%",(AL5/AK5)),2)</f>
        <v>0</v>
      </c>
      <c r="AO5" s="24"/>
      <c r="AP5" s="32">
        <v>4.1621000000000006</v>
      </c>
      <c r="AQ5" s="59">
        <f>IF(ISERROR((AL5-AP5)/AP5),0,(AL5-AP5)/AP5)</f>
        <v>-1</v>
      </c>
      <c r="AR5" s="24"/>
      <c r="AS5" s="22">
        <v>0.65</v>
      </c>
      <c r="AT5" s="23">
        <f>IF(ISERROR(VLOOKUP($B5,[1]Hedef!$A$4:$ES$45409,57,0)),0,VLOOKUP($B5,[1]Hedef!$A$4:$ES$45409,57,0))</f>
        <v>0.109135</v>
      </c>
      <c r="AU5" s="21">
        <f t="shared" ref="AU5:AU12" si="7">IF((AS5-AT5)&lt;0, "-", (AS5-AT5))</f>
        <v>0.54086500000000004</v>
      </c>
      <c r="AV5" s="80">
        <f>TRUNC(IF((AT5/AS5)&gt;1.2,"120%",(AT5/AS5)),2)</f>
        <v>0.16</v>
      </c>
      <c r="AW5" s="24"/>
      <c r="AX5" s="32">
        <v>0.63345499999999999</v>
      </c>
      <c r="AY5" s="59">
        <f>IF(ISERROR((AT5-AX5)/AX5),0,(AT5-AX5)/AX5)</f>
        <v>-0.82771467586489966</v>
      </c>
      <c r="AZ5" s="92"/>
      <c r="BA5" s="22">
        <v>5.4</v>
      </c>
      <c r="BB5" s="23">
        <f>IF(ISERROR(VLOOKUP($B5,[1]Hedef!$A$4:$ES$45409,99,0)),0,VLOOKUP($B5,[1]Hedef!$A$4:$ES$45409,99,0))</f>
        <v>0.42795500000000003</v>
      </c>
      <c r="BC5" s="21">
        <f t="shared" ref="BC5:BC12" si="8">IF((BA5-BB5)&lt;0, "-", (BA5-BB5))</f>
        <v>4.9720450000000005</v>
      </c>
      <c r="BD5" s="80">
        <f>TRUNC(IF((BB5/BA5)&gt;1.2,"120%",(BB5/BA5)),2)</f>
        <v>7.0000000000000007E-2</v>
      </c>
      <c r="BE5" s="24"/>
      <c r="BF5" s="32">
        <v>5.2656499999999999</v>
      </c>
      <c r="BG5" s="59">
        <f t="shared" ref="BG5:BG12" si="9">IF(ISERROR((BB5-BF5)/BF5),0,(BB5-BF5)/BF5)</f>
        <v>-0.9187270327499929</v>
      </c>
      <c r="BH5" s="24"/>
      <c r="BI5" s="22">
        <v>3.25</v>
      </c>
      <c r="BJ5" s="23">
        <f>IF(ISERROR(VLOOKUP($B5,[1]Hedef!$A$4:$ES$45409,117,0)),0,VLOOKUP($B5,[1]Hedef!$A$4:$ES$45409,117,0))</f>
        <v>0.54161999999999999</v>
      </c>
      <c r="BK5" s="21">
        <f t="shared" ref="BK5:BK12" si="10">IF((BI5-BJ5)&lt;0, "-", (BI5-BJ5))</f>
        <v>2.70838</v>
      </c>
      <c r="BL5" s="80">
        <f>TRUNC(IF((BJ5/BI5)&gt;1.2,"120%",(BJ5/BI5)),2)</f>
        <v>0.16</v>
      </c>
      <c r="BM5" s="24"/>
      <c r="BN5" s="32">
        <v>3.1499600000000001</v>
      </c>
      <c r="BO5" s="59">
        <f>IF(ISERROR((BJ5-BN5)/BN5),0,(BJ5-BN5)/BN5)</f>
        <v>-0.82805495942805629</v>
      </c>
      <c r="BP5" s="99"/>
      <c r="BQ5" s="22">
        <v>13.6</v>
      </c>
      <c r="BR5" s="23">
        <f>+BJ5+BB5+AT5+AL5</f>
        <v>1.0787100000000001</v>
      </c>
      <c r="BS5" s="21">
        <f t="shared" ref="BS5:BS12" si="11">IF((BQ5-BR5)&lt;0, "-", (BQ5-BR5))</f>
        <v>12.52129</v>
      </c>
      <c r="BT5" s="80">
        <f>TRUNC(IF((BR5/BQ5)&gt;1.2,"120%",(BR5/BQ5)),2)</f>
        <v>7.0000000000000007E-2</v>
      </c>
      <c r="BU5" s="22">
        <f>BQ5-BI5-BA5-AS5-AK5</f>
        <v>0</v>
      </c>
      <c r="BV5" s="22">
        <f>+BN5+BF5+AX5+AP5</f>
        <v>13.211165000000001</v>
      </c>
      <c r="BW5" s="59">
        <f>IF(ISERROR((BR5-BV5)/BV5),0,(BR5-BV5)/BV5)</f>
        <v>-0.91834860892283154</v>
      </c>
      <c r="BX5" s="183"/>
      <c r="BY5" s="22">
        <v>0.56999999999999995</v>
      </c>
      <c r="BZ5" s="23">
        <f>IF(ISERROR(VLOOKUP($B5,[1]Hedef!$A$4:$ES$45409,71,0)),0,VLOOKUP($B5,[1]Hedef!$A$4:$ES$45409,71,0))</f>
        <v>6.9559999999999997E-2</v>
      </c>
      <c r="CA5" s="21">
        <f t="shared" ref="CA5:CA12" si="12">IF((BY5-BZ5)&lt;0, "-", (BY5-BZ5))</f>
        <v>0.50044</v>
      </c>
      <c r="CB5" s="80">
        <f>TRUNC(IF((BZ5/BY5)&gt;1.2,"120%",(BZ5/BY5)),2)</f>
        <v>0.12</v>
      </c>
      <c r="CC5" s="32">
        <v>0.54307499999999997</v>
      </c>
      <c r="CD5" s="59">
        <f>IF(ISERROR((BZ5-CC5)/CC5),0,(BZ5-CC5)/CC5)</f>
        <v>-0.8719145606039681</v>
      </c>
      <c r="CE5" s="99"/>
      <c r="CF5" s="22">
        <v>0.53</v>
      </c>
      <c r="CG5" s="23">
        <f>IF(ISERROR(VLOOKUP($B5,[1]Hedef!$A$4:$ES$45409,87,0)),0,VLOOKUP($B5,[1]Hedef!$A$4:$ES$45409,87,0))</f>
        <v>5.0959999999999998E-2</v>
      </c>
      <c r="CH5" s="21">
        <f t="shared" ref="CH5:CH12" si="13">IF((CF5-CG5)&lt;0, "-", (CF5-CG5))</f>
        <v>0.47904000000000002</v>
      </c>
      <c r="CI5" s="80">
        <f>TRUNC(IF((CG5/CF5)&gt;1.2,"120%",(CG5/CF5)),2)</f>
        <v>0.09</v>
      </c>
      <c r="CJ5" s="32">
        <v>0.52458000000000005</v>
      </c>
      <c r="CK5" s="59">
        <f t="shared" ref="CK5:CK12" si="14">IF(ISERROR((CG5-CJ5)/CJ5),0,(CG5-CJ5)/CJ5)</f>
        <v>-0.90285561782759538</v>
      </c>
      <c r="CL5" s="99"/>
      <c r="CM5" s="20">
        <v>1.1000000000000001</v>
      </c>
      <c r="CN5" s="23">
        <f t="shared" ref="CN5:CN12" si="15">CG5+BZ5</f>
        <v>0.12051999999999999</v>
      </c>
      <c r="CO5" s="21">
        <f t="shared" ref="CO5:CO12" si="16">IF((CM5-CN5)&lt;0, "-", (CM5-CN5))</f>
        <v>0.97948000000000013</v>
      </c>
      <c r="CP5" s="80">
        <f>TRUNC(IF((CN5/CM5)&gt;1.2,"120%",(CN5/CM5)),2)</f>
        <v>0.1</v>
      </c>
      <c r="CQ5" s="122">
        <f t="shared" ref="CQ5:CQ12" si="17">CM5-CF5-BY5</f>
        <v>0</v>
      </c>
      <c r="CR5" s="119">
        <f>+CJ5+CC5</f>
        <v>1.067655</v>
      </c>
      <c r="CS5" s="59">
        <f t="shared" ref="CS5:CS12" si="18">IF(ISERROR((CN5-CR5)/CR5),0,(CN5-CR5)/CR5)</f>
        <v>-0.88711709306845377</v>
      </c>
      <c r="CT5" s="82"/>
      <c r="CU5" s="22">
        <f t="shared" ref="CU5:CU12" si="19">CM5+AC5+BQ5</f>
        <v>30</v>
      </c>
      <c r="CV5" s="23">
        <f>IF(ISERROR(VLOOKUP($B5,[1]Hedef!$A$4:$ES$45409,127,0)),0,VLOOKUP($B5,[1]Hedef!$A$4:$ES$45409,127,0))</f>
        <v>2.5030000000000001</v>
      </c>
      <c r="CW5" s="159">
        <f>IF(ISERROR(VLOOKUP($B5,[1]Hedef!$A$4:$ES$45409,47,0)),0,VLOOKUP($B5,[1]Hedef!$A$4:$ES$45409,47,0))</f>
        <v>2.5030000000000001</v>
      </c>
      <c r="CX5" s="21">
        <f>IF((CU5-CV5)&lt;0, "-", (CU5-CV5))</f>
        <v>27.497</v>
      </c>
      <c r="CY5" s="80">
        <f>TRUNC(IF((CV5/CU5)&gt;1.2,"120%",(CV5/CU5)),2)</f>
        <v>0.08</v>
      </c>
      <c r="CZ5" s="26"/>
      <c r="DA5" s="32">
        <v>29.165599999999998</v>
      </c>
      <c r="DB5" s="131">
        <f t="shared" ref="DB5:DB12" si="20">+CR5+BV5+AH5</f>
        <v>29.165600000000001</v>
      </c>
      <c r="DC5" s="59">
        <f>IF(ISERROR((CV5-DA5)/DA5),0,(CV5-DA5)/DA5)</f>
        <v>-0.91417971857256497</v>
      </c>
      <c r="DD5" s="24"/>
      <c r="DE5" s="22">
        <v>30</v>
      </c>
      <c r="DF5" s="15">
        <f t="shared" ref="DF5:DF12" si="21">DE5-CU5</f>
        <v>0</v>
      </c>
      <c r="DG5" s="99"/>
      <c r="DH5" s="92"/>
      <c r="DI5" s="24"/>
    </row>
    <row r="6" spans="1:113" ht="12.75" customHeight="1" x14ac:dyDescent="0.2">
      <c r="A6" s="24"/>
      <c r="B6" s="31">
        <v>2</v>
      </c>
      <c r="C6" s="194" t="s">
        <v>2</v>
      </c>
      <c r="D6" s="102"/>
      <c r="E6" s="193">
        <v>10</v>
      </c>
      <c r="F6" s="23">
        <f>IF(ISERROR(VLOOKUP($B6,[1]Hedef!$A$4:$ES$45409,25,0)),0,VLOOKUP($B6,[1]Hedef!$A$4:$ES$45409,25,0))+IF(ISERROR(VLOOKUP($B6,[1]Hedef!$A$4:$ES$45409,15,0)),0,VLOOKUP($B6,[1]Hedef!$A$4:$ES$45409,15,0))</f>
        <v>6.0424999999999995</v>
      </c>
      <c r="G6" s="23">
        <f t="shared" si="0"/>
        <v>3.9575000000000005</v>
      </c>
      <c r="H6" s="80">
        <f t="shared" ref="H6:H12" si="22">TRUNC(IF((F6/E6)&gt;1.2,"120%",(F6/E6)),2)</f>
        <v>0.6</v>
      </c>
      <c r="I6" s="24"/>
      <c r="J6" s="32">
        <v>5.2727500000000003</v>
      </c>
      <c r="K6" s="59">
        <f>IF(ISERROR((F6-J6)/J6),0,(F6-J6)/J6)</f>
        <v>0.14598643971362177</v>
      </c>
      <c r="L6" s="24"/>
      <c r="M6" s="44">
        <v>6</v>
      </c>
      <c r="N6" s="23">
        <f>IF(ISERROR(VLOOKUP($B6,[1]Hedef!$A$4:$ES$45409,41,0)),0,VLOOKUP($B6,[1]Hedef!$A$4:$ES$45409,41,0))</f>
        <v>0.10200000000000001</v>
      </c>
      <c r="O6" s="23">
        <f t="shared" si="1"/>
        <v>5.8979999999999997</v>
      </c>
      <c r="P6" s="80">
        <f t="shared" ref="P6:P12" si="23">TRUNC(IF((N6/M6)&gt;1.2,"120%",(N6/M6)),2)</f>
        <v>0.01</v>
      </c>
      <c r="Q6" s="92"/>
      <c r="R6" s="32">
        <v>9.3992499999999986</v>
      </c>
      <c r="S6" s="59">
        <f>IF(ISERROR((N6-R6)/R6),0,(N6-R6)/R6)</f>
        <v>-0.98914807032475993</v>
      </c>
      <c r="T6" s="102"/>
      <c r="U6" s="22">
        <v>5.9</v>
      </c>
      <c r="V6" s="23">
        <f>IF(ISERROR(VLOOKUP($B6,[1]Hedef!$A$4:$ES$45409,45,0)),0,VLOOKUP($B6,[1]Hedef!$A$4:$ES$45409,45,0))+IF(ISERROR(VLOOKUP($B6,[1]Hedef!$A$4:$ES$45409,109,0)),0,VLOOKUP($B6,[1]Hedef!$A$4:$ES$45409,109,0))</f>
        <v>9.1499999999999998E-2</v>
      </c>
      <c r="W6" s="23">
        <f t="shared" si="2"/>
        <v>5.8085000000000004</v>
      </c>
      <c r="X6" s="80">
        <f t="shared" ref="X6:X12" si="24">TRUNC(IF((V6/U6)&gt;1.2,"120%",(V6/U6)),2)</f>
        <v>0.01</v>
      </c>
      <c r="Y6" s="24"/>
      <c r="Z6" s="32">
        <v>5.5860000000000003</v>
      </c>
      <c r="AA6" s="59">
        <f>IF(ISERROR((V6-Z6)/Z6),0,(V6-Z6)/Z6)</f>
        <v>-0.98361976369495163</v>
      </c>
      <c r="AB6" s="99"/>
      <c r="AC6" s="164">
        <v>21.9</v>
      </c>
      <c r="AD6" s="23">
        <f t="shared" ref="AD6:AD19" si="25">+N6+V6+F6</f>
        <v>6.2359999999999998</v>
      </c>
      <c r="AE6" s="23">
        <f t="shared" si="3"/>
        <v>15.663999999999998</v>
      </c>
      <c r="AF6" s="80">
        <f t="shared" ref="AF6:AF12" si="26">TRUNC(IF((AD6/AC6)&gt;1.2,"120%",(AD6/AC6)),2)</f>
        <v>0.28000000000000003</v>
      </c>
      <c r="AG6" s="22">
        <f t="shared" si="4"/>
        <v>0</v>
      </c>
      <c r="AH6" s="44">
        <f t="shared" ref="AH6:AH19" si="27">Z6+R6+J6</f>
        <v>20.257999999999999</v>
      </c>
      <c r="AI6" s="59">
        <f t="shared" si="5"/>
        <v>-0.69217099417514061</v>
      </c>
      <c r="AJ6" s="24"/>
      <c r="AK6" s="22">
        <v>18.600000000000001</v>
      </c>
      <c r="AL6" s="23">
        <f>IF(ISERROR(VLOOKUP($B6,[1]Hedef!$A$4:$ES$45409,97,0)),0,VLOOKUP($B6,[1]Hedef!$A$4:$ES$45409,97,0))</f>
        <v>0</v>
      </c>
      <c r="AM6" s="23">
        <f t="shared" si="6"/>
        <v>18.600000000000001</v>
      </c>
      <c r="AN6" s="80">
        <f t="shared" ref="AN6:AN12" si="28">TRUNC(IF((AL6/AK6)&gt;1.2,"120%",(AL6/AK6)),2)</f>
        <v>0</v>
      </c>
      <c r="AO6" s="24"/>
      <c r="AP6" s="32">
        <v>17.16</v>
      </c>
      <c r="AQ6" s="59">
        <f>IF(ISERROR((AL6-AP6)/AP6),0,(AL6-AP6)/AP6)</f>
        <v>-1</v>
      </c>
      <c r="AR6" s="24"/>
      <c r="AS6" s="22">
        <v>5</v>
      </c>
      <c r="AT6" s="23">
        <f>IF(ISERROR(VLOOKUP($B6,[1]Hedef!$A$4:$ES$45409,57,0)),0,VLOOKUP($B6,[1]Hedef!$A$4:$ES$45409,57,0))</f>
        <v>0.55400000000000016</v>
      </c>
      <c r="AU6" s="23">
        <f t="shared" si="7"/>
        <v>4.4459999999999997</v>
      </c>
      <c r="AV6" s="80">
        <f t="shared" ref="AV6:AV12" si="29">TRUNC(IF((AT6/AS6)&gt;1.2,"120%",(AT6/AS6)),2)</f>
        <v>0.11</v>
      </c>
      <c r="AW6" s="24"/>
      <c r="AX6" s="32">
        <v>4.5779999999999994</v>
      </c>
      <c r="AY6" s="59">
        <f>IF(ISERROR((AT6-AX6)/AX6),0,(AT6-AX6)/AX6)</f>
        <v>-0.87898645696810829</v>
      </c>
      <c r="AZ6" s="92"/>
      <c r="BA6" s="22">
        <v>10</v>
      </c>
      <c r="BB6" s="23">
        <f>IF(ISERROR(VLOOKUP($B6,[1]Hedef!$A$4:$ES$45409,99,0)),0,VLOOKUP($B6,[1]Hedef!$A$4:$ES$45409,99,0))</f>
        <v>0.49225000000000002</v>
      </c>
      <c r="BC6" s="23">
        <f t="shared" si="8"/>
        <v>9.5077499999999997</v>
      </c>
      <c r="BD6" s="80">
        <f t="shared" ref="BD6:BD12" si="30">TRUNC(IF((BB6/BA6)&gt;1.2,"120%",(BB6/BA6)),2)</f>
        <v>0.04</v>
      </c>
      <c r="BE6" s="24"/>
      <c r="BF6" s="32">
        <v>9.1819999999999986</v>
      </c>
      <c r="BG6" s="59">
        <f t="shared" si="9"/>
        <v>-0.94638967545197117</v>
      </c>
      <c r="BH6" s="24"/>
      <c r="BI6" s="22">
        <v>5.2</v>
      </c>
      <c r="BJ6" s="23">
        <f>IF(ISERROR(VLOOKUP($B6,[1]Hedef!$A$4:$ES$45409,117,0)),0,VLOOKUP($B6,[1]Hedef!$A$4:$ES$45409,117,0))</f>
        <v>0.35575000000000001</v>
      </c>
      <c r="BK6" s="23">
        <f t="shared" si="10"/>
        <v>4.8442500000000006</v>
      </c>
      <c r="BL6" s="80">
        <f t="shared" ref="BL6:BL12" si="31">TRUNC(IF((BJ6/BI6)&gt;1.2,"120%",(BJ6/BI6)),2)</f>
        <v>0.06</v>
      </c>
      <c r="BM6" s="24"/>
      <c r="BN6" s="32">
        <v>4.9579999999999993</v>
      </c>
      <c r="BO6" s="59">
        <f>IF(ISERROR((BJ6-BN6)/BN6),0,(BJ6-BN6)/BN6)</f>
        <v>-0.92824727712787425</v>
      </c>
      <c r="BP6" s="99"/>
      <c r="BQ6" s="22">
        <v>38.799999999999997</v>
      </c>
      <c r="BR6" s="23">
        <f t="shared" ref="BR6:BR19" si="32">+BJ6+BB6+AT6+AL6</f>
        <v>1.4020000000000001</v>
      </c>
      <c r="BS6" s="23">
        <f t="shared" si="11"/>
        <v>37.397999999999996</v>
      </c>
      <c r="BT6" s="80">
        <f t="shared" ref="BT6:BT12" si="33">TRUNC(IF((BR6/BQ6)&gt;1.2,"120%",(BR6/BQ6)),2)</f>
        <v>0.03</v>
      </c>
      <c r="BU6" s="22">
        <f t="shared" ref="BU6:BU19" si="34">BQ6-BI6-BA6-AS6-AK6</f>
        <v>0</v>
      </c>
      <c r="BV6" s="22">
        <f t="shared" ref="BV6:BV19" si="35">+BN6+BF6+AX6+AP6</f>
        <v>35.878</v>
      </c>
      <c r="BW6" s="59">
        <f>IF(ISERROR((BR6-BV6)/BV6),0,(BR6-BV6)/BV6)</f>
        <v>-0.96092312837950833</v>
      </c>
      <c r="BX6" s="183"/>
      <c r="BY6" s="22">
        <v>10.5</v>
      </c>
      <c r="BZ6" s="23">
        <f>IF(ISERROR(VLOOKUP($B6,[1]Hedef!$A$4:$ES$45409,71,0)),0,VLOOKUP($B6,[1]Hedef!$A$4:$ES$45409,71,0))</f>
        <v>3.9225000000000003</v>
      </c>
      <c r="CA6" s="23">
        <f t="shared" si="12"/>
        <v>6.5774999999999997</v>
      </c>
      <c r="CB6" s="80">
        <f t="shared" ref="CB6:CB12" si="36">TRUNC(IF((BZ6/BY6)&gt;1.2,"120%",(BZ6/BY6)),2)</f>
        <v>0.37</v>
      </c>
      <c r="CC6" s="32">
        <v>9.3662499999999991</v>
      </c>
      <c r="CD6" s="59">
        <f>IF(ISERROR((BZ6-CC6)/CC6),0,(BZ6-CC6)/CC6)</f>
        <v>-0.58120912851995188</v>
      </c>
      <c r="CE6" s="99"/>
      <c r="CF6" s="22">
        <v>3.8</v>
      </c>
      <c r="CG6" s="23">
        <f>IF(ISERROR(VLOOKUP($B6,[1]Hedef!$A$4:$ES$45409,87,0)),0,VLOOKUP($B6,[1]Hedef!$A$4:$ES$45409,87,0))</f>
        <v>0.316</v>
      </c>
      <c r="CH6" s="23">
        <f t="shared" si="13"/>
        <v>3.484</v>
      </c>
      <c r="CI6" s="80">
        <f t="shared" ref="CI6:CI12" si="37">TRUNC(IF((CG6/CF6)&gt;1.2,"120%",(CG6/CF6)),2)</f>
        <v>0.08</v>
      </c>
      <c r="CJ6" s="32">
        <v>3.8505000000000003</v>
      </c>
      <c r="CK6" s="59">
        <f t="shared" si="14"/>
        <v>-0.91793273600831071</v>
      </c>
      <c r="CL6" s="99"/>
      <c r="CM6" s="22">
        <v>14.3</v>
      </c>
      <c r="CN6" s="23">
        <f t="shared" si="15"/>
        <v>4.2385000000000002</v>
      </c>
      <c r="CO6" s="23">
        <f t="shared" si="16"/>
        <v>10.061500000000001</v>
      </c>
      <c r="CP6" s="80">
        <f t="shared" ref="CP6:CP12" si="38">TRUNC(IF((CN6/CM6)&gt;1.2,"120%",(CN6/CM6)),2)</f>
        <v>0.28999999999999998</v>
      </c>
      <c r="CQ6" s="148">
        <f t="shared" si="17"/>
        <v>0</v>
      </c>
      <c r="CR6" s="119">
        <f>+CJ6+CC6</f>
        <v>13.216749999999999</v>
      </c>
      <c r="CS6" s="59">
        <f t="shared" si="18"/>
        <v>-0.67930845328844081</v>
      </c>
      <c r="CT6" s="82"/>
      <c r="CU6" s="22">
        <f t="shared" si="19"/>
        <v>75</v>
      </c>
      <c r="CV6" s="23">
        <f>IF(ISERROR(VLOOKUP($B6,[1]Hedef!$A$4:$ES$45409,127,0)),0,VLOOKUP($B6,[1]Hedef!$A$4:$ES$45409,127,0))</f>
        <v>11.8765</v>
      </c>
      <c r="CW6" s="159">
        <f>IF(ISERROR(VLOOKUP($B6,[1]Hedef!$A$4:$ES$45409,47,0)),0,VLOOKUP($B6,[1]Hedef!$A$4:$ES$45409,47,0))</f>
        <v>11.8765</v>
      </c>
      <c r="CX6" s="23">
        <f t="shared" ref="CX6:CX12" si="39">IF((CU6-CV6)&lt;0, "-", (CU6-CV6))</f>
        <v>63.1235</v>
      </c>
      <c r="CY6" s="80">
        <f t="shared" ref="CY6:CY12" si="40">TRUNC(IF((CV6/CU6)&gt;1.2,"120%",(CV6/CU6)),2)</f>
        <v>0.15</v>
      </c>
      <c r="CZ6" s="26"/>
      <c r="DA6" s="32">
        <v>69.677999999999983</v>
      </c>
      <c r="DB6" s="131">
        <f t="shared" si="20"/>
        <v>69.35275</v>
      </c>
      <c r="DC6" s="59">
        <f t="shared" ref="DC6:DC12" si="41">IF(ISERROR((CV6-DA6)/DA6),0,(CV6-DA6)/DA6)</f>
        <v>-0.8295516518843824</v>
      </c>
      <c r="DD6" s="24"/>
      <c r="DE6" s="22">
        <v>75</v>
      </c>
      <c r="DF6" s="15">
        <f t="shared" si="21"/>
        <v>0</v>
      </c>
      <c r="DG6" s="99"/>
      <c r="DH6" s="92"/>
      <c r="DI6" s="24"/>
    </row>
    <row r="7" spans="1:113" ht="12.75" customHeight="1" x14ac:dyDescent="0.2">
      <c r="A7" s="24"/>
      <c r="B7" s="31">
        <v>3</v>
      </c>
      <c r="C7" s="194" t="s">
        <v>65</v>
      </c>
      <c r="D7" s="102"/>
      <c r="E7" s="193">
        <v>14.8</v>
      </c>
      <c r="F7" s="23">
        <f>IF(ISERROR(VLOOKUP($B7,[1]Hedef!$A$4:$ES$45409,25,0)),0,VLOOKUP($B7,[1]Hedef!$A$4:$ES$45409,25,0))+IF(ISERROR(VLOOKUP($B7,[1]Hedef!$A$4:$ES$45409,15,0)),0,VLOOKUP($B7,[1]Hedef!$A$4:$ES$45409,15,0))</f>
        <v>0.52900000000000003</v>
      </c>
      <c r="G7" s="23">
        <f t="shared" si="0"/>
        <v>14.271000000000001</v>
      </c>
      <c r="H7" s="80">
        <f t="shared" si="22"/>
        <v>0.03</v>
      </c>
      <c r="I7" s="24"/>
      <c r="J7" s="32">
        <v>2.7570000000000001</v>
      </c>
      <c r="K7" s="59">
        <f>IF(ISERROR((F7-J7)/J7),0,(F7-J7)/J7)</f>
        <v>-0.80812477330431631</v>
      </c>
      <c r="L7" s="24"/>
      <c r="M7" s="44">
        <v>1.54</v>
      </c>
      <c r="N7" s="23">
        <f>IF(ISERROR(VLOOKUP($B7,[1]Hedef!$A$4:$ES$45409,41,0)),0,VLOOKUP($B7,[1]Hedef!$A$4:$ES$45409,41,0))</f>
        <v>3.6799999999999999E-2</v>
      </c>
      <c r="O7" s="23">
        <f t="shared" si="1"/>
        <v>1.5032000000000001</v>
      </c>
      <c r="P7" s="80">
        <f t="shared" si="23"/>
        <v>0.02</v>
      </c>
      <c r="Q7" s="92"/>
      <c r="R7" s="32">
        <v>0.28589999999999999</v>
      </c>
      <c r="S7" s="59">
        <f>IF(ISERROR((N7-R7)/R7),0,(N7-R7)/R7)</f>
        <v>-0.87128366561734871</v>
      </c>
      <c r="T7" s="102"/>
      <c r="U7" s="22">
        <v>4.91</v>
      </c>
      <c r="V7" s="23">
        <f>IF(ISERROR(VLOOKUP($B7,[1]Hedef!$A$4:$ES$45409,45,0)),0,VLOOKUP($B7,[1]Hedef!$A$4:$ES$45409,45,0))+IF(ISERROR(VLOOKUP($B7,[1]Hedef!$A$4:$ES$45409,109,0)),0,VLOOKUP($B7,[1]Hedef!$A$4:$ES$45409,109,0))</f>
        <v>0.17090000000000002</v>
      </c>
      <c r="W7" s="23">
        <f t="shared" si="2"/>
        <v>4.7391000000000005</v>
      </c>
      <c r="X7" s="80">
        <f t="shared" si="24"/>
        <v>0.03</v>
      </c>
      <c r="Y7" s="24"/>
      <c r="Z7" s="32">
        <v>0.91479999999999806</v>
      </c>
      <c r="AA7" s="59">
        <f>IF(ISERROR((V7-Z7)/Z7),0,(V7-Z7)/Z7)</f>
        <v>-0.81318320944468692</v>
      </c>
      <c r="AB7" s="99"/>
      <c r="AC7" s="164">
        <v>21.25</v>
      </c>
      <c r="AD7" s="23">
        <f t="shared" si="25"/>
        <v>0.73670000000000002</v>
      </c>
      <c r="AE7" s="23">
        <f t="shared" si="3"/>
        <v>20.513300000000001</v>
      </c>
      <c r="AF7" s="80">
        <f t="shared" si="26"/>
        <v>0.03</v>
      </c>
      <c r="AG7" s="22">
        <f t="shared" si="4"/>
        <v>0</v>
      </c>
      <c r="AH7" s="44">
        <f t="shared" si="27"/>
        <v>3.9576999999999982</v>
      </c>
      <c r="AI7" s="59">
        <f t="shared" si="5"/>
        <v>-0.81385653283472714</v>
      </c>
      <c r="AJ7" s="92"/>
      <c r="AK7" s="22">
        <v>1.2</v>
      </c>
      <c r="AL7" s="23">
        <f>IF(ISERROR(VLOOKUP($B7,[1]Hedef!$A$4:$ES$45409,97,0)),0,VLOOKUP($B7,[1]Hedef!$A$4:$ES$45409,97,0))</f>
        <v>0</v>
      </c>
      <c r="AM7" s="23">
        <f t="shared" si="6"/>
        <v>1.2</v>
      </c>
      <c r="AN7" s="80">
        <f t="shared" si="28"/>
        <v>0</v>
      </c>
      <c r="AO7" s="24"/>
      <c r="AP7" s="32">
        <v>0.22220000000000001</v>
      </c>
      <c r="AQ7" s="59">
        <f>IF(ISERROR((AL7-AP7)/AP7),0,(AL7-AP7)/AP7)</f>
        <v>-1</v>
      </c>
      <c r="AR7" s="24"/>
      <c r="AS7" s="22">
        <v>4.1500000000000004</v>
      </c>
      <c r="AT7" s="23">
        <f>IF(ISERROR(VLOOKUP($B7,[1]Hedef!$A$4:$ES$45409,57,0)),0,VLOOKUP($B7,[1]Hedef!$A$4:$ES$45409,57,0))</f>
        <v>2.7585999999999999</v>
      </c>
      <c r="AU7" s="23">
        <f t="shared" si="7"/>
        <v>1.3914000000000004</v>
      </c>
      <c r="AV7" s="80">
        <f t="shared" si="29"/>
        <v>0.66</v>
      </c>
      <c r="AW7" s="24"/>
      <c r="AX7" s="32">
        <v>0.7732</v>
      </c>
      <c r="AY7" s="59">
        <f>IF(ISERROR((AT7-AX7)/AX7),0,(AT7-AX7)/AX7)</f>
        <v>2.5677703052250385</v>
      </c>
      <c r="AZ7" s="92"/>
      <c r="BA7" s="22">
        <v>5.5</v>
      </c>
      <c r="BB7" s="23">
        <f>IF(ISERROR(VLOOKUP($B7,[1]Hedef!$A$4:$ES$45409,99,0)),0,VLOOKUP($B7,[1]Hedef!$A$4:$ES$45409,99,0))</f>
        <v>0.158</v>
      </c>
      <c r="BC7" s="23">
        <f t="shared" si="8"/>
        <v>5.3419999999999996</v>
      </c>
      <c r="BD7" s="80">
        <f t="shared" si="30"/>
        <v>0.02</v>
      </c>
      <c r="BE7" s="24"/>
      <c r="BF7" s="32">
        <v>1.0287000000000002</v>
      </c>
      <c r="BG7" s="59">
        <f t="shared" si="9"/>
        <v>-0.84640808787790411</v>
      </c>
      <c r="BH7" s="24"/>
      <c r="BI7" s="22">
        <v>9.9</v>
      </c>
      <c r="BJ7" s="23">
        <f>IF(ISERROR(VLOOKUP($B7,[1]Hedef!$A$4:$ES$45409,117,0)),0,VLOOKUP($B7,[1]Hedef!$A$4:$ES$45409,117,0))</f>
        <v>0.43700000000000006</v>
      </c>
      <c r="BK7" s="23">
        <f t="shared" si="10"/>
        <v>9.463000000000001</v>
      </c>
      <c r="BL7" s="80">
        <f t="shared" si="31"/>
        <v>0.04</v>
      </c>
      <c r="BM7" s="24"/>
      <c r="BN7" s="32">
        <v>1.8443999999999994</v>
      </c>
      <c r="BO7" s="59">
        <f>IF(ISERROR((BJ7-BN7)/BN7),0,(BJ7-BN7)/BN7)</f>
        <v>-0.76306657991758831</v>
      </c>
      <c r="BP7" s="99"/>
      <c r="BQ7" s="22">
        <v>20.75</v>
      </c>
      <c r="BR7" s="23">
        <f t="shared" si="32"/>
        <v>3.3536000000000001</v>
      </c>
      <c r="BS7" s="23">
        <f t="shared" si="11"/>
        <v>17.3964</v>
      </c>
      <c r="BT7" s="80">
        <f t="shared" si="33"/>
        <v>0.16</v>
      </c>
      <c r="BU7" s="22">
        <f t="shared" si="34"/>
        <v>0</v>
      </c>
      <c r="BV7" s="22">
        <f t="shared" si="35"/>
        <v>3.8684999999999996</v>
      </c>
      <c r="BW7" s="59">
        <f>IF(ISERROR((BR7-BV7)/BV7),0,(BR7-BV7)/BV7)</f>
        <v>-0.13310068502003347</v>
      </c>
      <c r="BX7" s="183"/>
      <c r="BY7" s="22">
        <v>6.63</v>
      </c>
      <c r="BZ7" s="23">
        <f>IF(ISERROR(VLOOKUP($B7,[1]Hedef!$A$4:$ES$45409,71,0)),0,VLOOKUP($B7,[1]Hedef!$A$4:$ES$45409,71,0))</f>
        <v>4.1500000000000002E-2</v>
      </c>
      <c r="CA7" s="23">
        <f t="shared" si="12"/>
        <v>6.5884999999999998</v>
      </c>
      <c r="CB7" s="80">
        <f t="shared" si="36"/>
        <v>0</v>
      </c>
      <c r="CC7" s="32">
        <v>1.2234</v>
      </c>
      <c r="CD7" s="59">
        <f t="shared" ref="CD7:CD12" si="42">IF(ISERROR((BZ7-CC7)/CC7),0,(BZ7-CC7)/CC7)</f>
        <v>-0.96607814288049687</v>
      </c>
      <c r="CE7" s="99"/>
      <c r="CF7" s="22">
        <v>6.37</v>
      </c>
      <c r="CG7" s="23">
        <f>IF(ISERROR(VLOOKUP($B7,[1]Hedef!$A$4:$ES$45409,87,0)),0,VLOOKUP($B7,[1]Hedef!$A$4:$ES$45409,87,0))</f>
        <v>0.12790000000000001</v>
      </c>
      <c r="CH7" s="23">
        <f t="shared" si="13"/>
        <v>6.2420999999999998</v>
      </c>
      <c r="CI7" s="80">
        <f t="shared" si="37"/>
        <v>0.02</v>
      </c>
      <c r="CJ7" s="32">
        <v>1.1957</v>
      </c>
      <c r="CK7" s="59">
        <f t="shared" si="14"/>
        <v>-0.89303336957430801</v>
      </c>
      <c r="CL7" s="99"/>
      <c r="CM7" s="22">
        <v>13</v>
      </c>
      <c r="CN7" s="23">
        <f t="shared" si="15"/>
        <v>0.16940000000000002</v>
      </c>
      <c r="CO7" s="23">
        <f t="shared" si="16"/>
        <v>12.8306</v>
      </c>
      <c r="CP7" s="80">
        <f t="shared" si="38"/>
        <v>0.01</v>
      </c>
      <c r="CQ7" s="148">
        <f t="shared" si="17"/>
        <v>0</v>
      </c>
      <c r="CR7" s="119">
        <f t="shared" ref="CR7:CR12" si="43">+CJ7+CC7</f>
        <v>2.4191000000000003</v>
      </c>
      <c r="CS7" s="59">
        <f t="shared" si="18"/>
        <v>-0.92997395725683107</v>
      </c>
      <c r="CT7" s="82"/>
      <c r="CU7" s="22">
        <f t="shared" si="19"/>
        <v>55</v>
      </c>
      <c r="CV7" s="23">
        <f>IF(ISERROR(VLOOKUP($B7,[1]Hedef!$A$4:$ES$45409,127,0)),0,VLOOKUP($B7,[1]Hedef!$A$4:$ES$45409,127,0))</f>
        <v>4.2596999999999996</v>
      </c>
      <c r="CW7" s="159">
        <f>IF(ISERROR(VLOOKUP($B7,[1]Hedef!$A$4:$ES$45409,47,0)),0,VLOOKUP($B7,[1]Hedef!$A$4:$ES$45409,47,0))</f>
        <v>4.2596999999999996</v>
      </c>
      <c r="CX7" s="23">
        <f t="shared" si="39"/>
        <v>50.740299999999998</v>
      </c>
      <c r="CY7" s="80">
        <f t="shared" si="40"/>
        <v>7.0000000000000007E-2</v>
      </c>
      <c r="CZ7" s="26"/>
      <c r="DA7" s="32">
        <v>10.454200000000011</v>
      </c>
      <c r="DB7" s="131">
        <f t="shared" si="20"/>
        <v>10.245299999999997</v>
      </c>
      <c r="DC7" s="59">
        <f t="shared" si="41"/>
        <v>-0.59253697078686129</v>
      </c>
      <c r="DD7" s="24"/>
      <c r="DE7" s="22">
        <v>55</v>
      </c>
      <c r="DF7" s="15">
        <f t="shared" si="21"/>
        <v>0</v>
      </c>
      <c r="DG7" s="99"/>
      <c r="DH7" s="92"/>
      <c r="DI7" s="24"/>
    </row>
    <row r="8" spans="1:113" ht="12.75" customHeight="1" x14ac:dyDescent="0.2">
      <c r="A8" s="24"/>
      <c r="B8" s="31">
        <v>4</v>
      </c>
      <c r="C8" s="194" t="s">
        <v>3</v>
      </c>
      <c r="D8" s="102"/>
      <c r="E8" s="193">
        <v>15.75</v>
      </c>
      <c r="F8" s="23">
        <f>IF(ISERROR(VLOOKUP($B8,[1]Hedef!$A$4:$ES$45409,25,0)),0,VLOOKUP($B8,[1]Hedef!$A$4:$ES$45409,25,0))+IF(ISERROR(VLOOKUP($B8,[1]Hedef!$A$4:$ES$45409,15,0)),0,VLOOKUP($B8,[1]Hedef!$A$4:$ES$45409,15,0))</f>
        <v>1.4960000000000002</v>
      </c>
      <c r="G8" s="23">
        <f t="shared" si="0"/>
        <v>14.254</v>
      </c>
      <c r="H8" s="80">
        <f t="shared" si="22"/>
        <v>0.09</v>
      </c>
      <c r="I8" s="24"/>
      <c r="J8" s="32">
        <v>16.409500000000001</v>
      </c>
      <c r="K8" s="59">
        <f t="shared" ref="K8:K12" si="44">IF(ISERROR((F8-J8)/J8),0,(F8-J8)/J8)</f>
        <v>-0.9088332977848198</v>
      </c>
      <c r="L8" s="24"/>
      <c r="M8" s="44">
        <v>10.199999999999999</v>
      </c>
      <c r="N8" s="23">
        <f>IF(ISERROR(VLOOKUP($B8,[1]Hedef!$A$4:$ES$45409,41,0)),0,VLOOKUP($B8,[1]Hedef!$A$4:$ES$45409,41,0))</f>
        <v>0.17299999999999999</v>
      </c>
      <c r="O8" s="23">
        <f t="shared" si="1"/>
        <v>10.026999999999999</v>
      </c>
      <c r="P8" s="80">
        <f t="shared" si="23"/>
        <v>0.01</v>
      </c>
      <c r="Q8" s="92"/>
      <c r="R8" s="32">
        <v>10.634499999999999</v>
      </c>
      <c r="S8" s="59">
        <f t="shared" ref="S8:S16" si="45">IF(ISERROR((N8-R8)/R8),0,(N8-R8)/R8)</f>
        <v>-0.98373219239268417</v>
      </c>
      <c r="T8" s="102"/>
      <c r="U8" s="22">
        <v>3.3</v>
      </c>
      <c r="V8" s="23">
        <f>IF(ISERROR(VLOOKUP($B8,[1]Hedef!$A$4:$ES$45409,45,0)),0,VLOOKUP($B8,[1]Hedef!$A$4:$ES$45409,45,0))+IF(ISERROR(VLOOKUP($B8,[1]Hedef!$A$4:$ES$45409,109,0)),0,VLOOKUP($B8,[1]Hedef!$A$4:$ES$45409,109,0))</f>
        <v>0.27600000000000002</v>
      </c>
      <c r="W8" s="23">
        <f t="shared" si="2"/>
        <v>3.024</v>
      </c>
      <c r="X8" s="80">
        <f t="shared" si="24"/>
        <v>0.08</v>
      </c>
      <c r="Y8" s="24"/>
      <c r="Z8" s="32">
        <v>3.4350000000000005</v>
      </c>
      <c r="AA8" s="59">
        <f t="shared" ref="AA8:AA16" si="46">IF(ISERROR((V8-Z8)/Z8),0,(V8-Z8)/Z8)</f>
        <v>-0.91965065502183418</v>
      </c>
      <c r="AB8" s="99"/>
      <c r="AC8" s="164">
        <v>29.25</v>
      </c>
      <c r="AD8" s="23">
        <f t="shared" si="25"/>
        <v>1.9450000000000003</v>
      </c>
      <c r="AE8" s="23">
        <f t="shared" si="3"/>
        <v>27.305</v>
      </c>
      <c r="AF8" s="80">
        <f t="shared" si="26"/>
        <v>0.06</v>
      </c>
      <c r="AG8" s="22">
        <f t="shared" si="4"/>
        <v>0</v>
      </c>
      <c r="AH8" s="44">
        <f t="shared" si="27"/>
        <v>30.478999999999999</v>
      </c>
      <c r="AI8" s="59">
        <f t="shared" si="5"/>
        <v>-0.93618557039272943</v>
      </c>
      <c r="AJ8" s="24"/>
      <c r="AK8" s="22">
        <v>9.8000000000000007</v>
      </c>
      <c r="AL8" s="23">
        <f>IF(ISERROR(VLOOKUP($B8,[1]Hedef!$A$4:$ES$45409,97,0)),0,VLOOKUP($B8,[1]Hedef!$A$4:$ES$45409,97,0))</f>
        <v>0.24</v>
      </c>
      <c r="AM8" s="23">
        <f t="shared" si="6"/>
        <v>9.56</v>
      </c>
      <c r="AN8" s="80">
        <f t="shared" si="28"/>
        <v>0.02</v>
      </c>
      <c r="AO8" s="24"/>
      <c r="AP8" s="32">
        <v>10.195</v>
      </c>
      <c r="AQ8" s="59">
        <f t="shared" ref="AQ8:AQ12" si="47">IF(ISERROR((AL8-AP8)/AP8),0,(AL8-AP8)/AP8)</f>
        <v>-0.97645904855321231</v>
      </c>
      <c r="AR8" s="24"/>
      <c r="AS8" s="22">
        <v>8.4</v>
      </c>
      <c r="AT8" s="23">
        <f>IF(ISERROR(VLOOKUP($B8,[1]Hedef!$A$4:$ES$45409,57,0)),0,VLOOKUP($B8,[1]Hedef!$A$4:$ES$45409,57,0))</f>
        <v>0.79</v>
      </c>
      <c r="AU8" s="23">
        <f t="shared" si="7"/>
        <v>7.61</v>
      </c>
      <c r="AV8" s="80">
        <f t="shared" si="29"/>
        <v>0.09</v>
      </c>
      <c r="AW8" s="24"/>
      <c r="AX8" s="32">
        <v>8.7710319999999999</v>
      </c>
      <c r="AY8" s="59">
        <f t="shared" ref="AY8:AY16" si="48">IF(ISERROR((AT8-AX8)/AX8),0,(AT8-AX8)/AX8)</f>
        <v>-0.90993078123532101</v>
      </c>
      <c r="AZ8" s="92"/>
      <c r="BA8" s="22">
        <v>8.5</v>
      </c>
      <c r="BB8" s="23">
        <f>IF(ISERROR(VLOOKUP($B8,[1]Hedef!$A$4:$ES$45409,99,0)),0,VLOOKUP($B8,[1]Hedef!$A$4:$ES$45409,99,0))</f>
        <v>1.3241199664545997</v>
      </c>
      <c r="BC8" s="23">
        <f t="shared" si="8"/>
        <v>7.1758800335454005</v>
      </c>
      <c r="BD8" s="80">
        <f t="shared" si="30"/>
        <v>0.15</v>
      </c>
      <c r="BE8" s="24"/>
      <c r="BF8" s="32">
        <v>8.8864999999999998</v>
      </c>
      <c r="BG8" s="59">
        <f t="shared" si="9"/>
        <v>-0.8509964590722332</v>
      </c>
      <c r="BH8" s="24"/>
      <c r="BI8" s="22">
        <v>10.9</v>
      </c>
      <c r="BJ8" s="23">
        <f>IF(ISERROR(VLOOKUP($B8,[1]Hedef!$A$4:$ES$45409,117,0)),0,VLOOKUP($B8,[1]Hedef!$A$4:$ES$45409,117,0))</f>
        <v>0.58549997741999993</v>
      </c>
      <c r="BK8" s="23">
        <f t="shared" si="10"/>
        <v>10.314500022580001</v>
      </c>
      <c r="BL8" s="80">
        <f t="shared" si="31"/>
        <v>0.05</v>
      </c>
      <c r="BM8" s="24"/>
      <c r="BN8" s="32">
        <v>11.311499999999999</v>
      </c>
      <c r="BO8" s="59">
        <f t="shared" ref="BO8:BO16" si="49">IF(ISERROR((BJ8-BN8)/BN8),0,(BJ8-BN8)/BN8)</f>
        <v>-0.94823852031826017</v>
      </c>
      <c r="BP8" s="99"/>
      <c r="BQ8" s="22">
        <v>37.6</v>
      </c>
      <c r="BR8" s="23">
        <f t="shared" si="32"/>
        <v>2.9396199438745994</v>
      </c>
      <c r="BS8" s="23">
        <f t="shared" si="11"/>
        <v>34.660380056125405</v>
      </c>
      <c r="BT8" s="80">
        <f t="shared" si="33"/>
        <v>7.0000000000000007E-2</v>
      </c>
      <c r="BU8" s="22">
        <f t="shared" si="34"/>
        <v>0</v>
      </c>
      <c r="BV8" s="22">
        <f t="shared" si="35"/>
        <v>39.164031999999999</v>
      </c>
      <c r="BW8" s="59">
        <f t="shared" ref="BW8:BW16" si="50">IF(ISERROR((BR8-BV8)/BV8),0,(BR8-BV8)/BV8)</f>
        <v>-0.92494082468642158</v>
      </c>
      <c r="BX8" s="183"/>
      <c r="BY8" s="22">
        <v>14.45</v>
      </c>
      <c r="BZ8" s="23">
        <f>IF(ISERROR(VLOOKUP($B8,[1]Hedef!$A$4:$ES$45409,71,0)),0,VLOOKUP($B8,[1]Hedef!$A$4:$ES$45409,71,0))</f>
        <v>0.96550000000000002</v>
      </c>
      <c r="CA8" s="23">
        <f t="shared" si="12"/>
        <v>13.484499999999999</v>
      </c>
      <c r="CB8" s="80">
        <f t="shared" si="36"/>
        <v>0.06</v>
      </c>
      <c r="CC8" s="32">
        <v>14.7475</v>
      </c>
      <c r="CD8" s="59">
        <f t="shared" si="42"/>
        <v>-0.9345312764875402</v>
      </c>
      <c r="CE8" s="99"/>
      <c r="CF8" s="22">
        <v>33.700000000000003</v>
      </c>
      <c r="CG8" s="23">
        <f>IF(ISERROR(VLOOKUP($B8,[1]Hedef!$A$4:$ES$45409,87,0)),0,VLOOKUP($B8,[1]Hedef!$A$4:$ES$45409,87,0))</f>
        <v>0.58600000000000008</v>
      </c>
      <c r="CH8" s="23">
        <f t="shared" si="13"/>
        <v>33.114000000000004</v>
      </c>
      <c r="CI8" s="80">
        <f t="shared" si="37"/>
        <v>0.01</v>
      </c>
      <c r="CJ8" s="32">
        <v>35.436999999999998</v>
      </c>
      <c r="CK8" s="59">
        <f t="shared" si="14"/>
        <v>-0.9834636114795271</v>
      </c>
      <c r="CL8" s="99"/>
      <c r="CM8" s="22">
        <v>48.15</v>
      </c>
      <c r="CN8" s="23">
        <f t="shared" si="15"/>
        <v>1.5515000000000001</v>
      </c>
      <c r="CO8" s="23">
        <f t="shared" si="16"/>
        <v>46.598500000000001</v>
      </c>
      <c r="CP8" s="80">
        <f t="shared" si="38"/>
        <v>0.03</v>
      </c>
      <c r="CQ8" s="148">
        <f t="shared" si="17"/>
        <v>0</v>
      </c>
      <c r="CR8" s="119">
        <f t="shared" si="43"/>
        <v>50.1845</v>
      </c>
      <c r="CS8" s="59">
        <f t="shared" si="18"/>
        <v>-0.96908407974573829</v>
      </c>
      <c r="CT8" s="82"/>
      <c r="CU8" s="22">
        <f t="shared" si="19"/>
        <v>115</v>
      </c>
      <c r="CV8" s="23">
        <f>IF(ISERROR(VLOOKUP($B8,[1]Hedef!$A$4:$ES$45409,127,0)),0,VLOOKUP($B8,[1]Hedef!$A$4:$ES$45409,127,0))</f>
        <v>6.4361199438746004</v>
      </c>
      <c r="CW8" s="159">
        <f>IF(ISERROR(VLOOKUP($B8,[1]Hedef!$A$4:$ES$45409,47,0)),0,VLOOKUP($B8,[1]Hedef!$A$4:$ES$45409,47,0))</f>
        <v>6.4371199438745998</v>
      </c>
      <c r="CX8" s="23">
        <f t="shared" si="39"/>
        <v>108.5638800561254</v>
      </c>
      <c r="CY8" s="80">
        <f t="shared" si="40"/>
        <v>0.05</v>
      </c>
      <c r="CZ8" s="26"/>
      <c r="DA8" s="32">
        <v>119.89753199999998</v>
      </c>
      <c r="DB8" s="131">
        <f t="shared" si="20"/>
        <v>119.82753200000001</v>
      </c>
      <c r="DC8" s="59">
        <f t="shared" si="41"/>
        <v>-0.94631982963690531</v>
      </c>
      <c r="DD8" s="24"/>
      <c r="DE8" s="22">
        <v>115</v>
      </c>
      <c r="DF8" s="15">
        <f t="shared" si="21"/>
        <v>0</v>
      </c>
      <c r="DG8" s="99"/>
      <c r="DH8" s="92"/>
      <c r="DI8" s="24"/>
    </row>
    <row r="9" spans="1:113" ht="12.75" customHeight="1" x14ac:dyDescent="0.2">
      <c r="A9" s="24"/>
      <c r="B9" s="31">
        <v>5</v>
      </c>
      <c r="C9" s="194" t="s">
        <v>4</v>
      </c>
      <c r="D9" s="102"/>
      <c r="E9" s="193">
        <v>2.4</v>
      </c>
      <c r="F9" s="23">
        <f>IF(ISERROR(VLOOKUP($B9,[1]Hedef!$A$4:$ES$45409,25,0)),0,VLOOKUP($B9,[1]Hedef!$A$4:$ES$45409,25,0))+IF(ISERROR(VLOOKUP($B9,[1]Hedef!$A$4:$ES$45409,15,0)),0,VLOOKUP($B9,[1]Hedef!$A$4:$ES$45409,15,0))</f>
        <v>0.40800000000000003</v>
      </c>
      <c r="G9" s="23">
        <f t="shared" si="0"/>
        <v>1.992</v>
      </c>
      <c r="H9" s="80">
        <f t="shared" si="22"/>
        <v>0.17</v>
      </c>
      <c r="I9" s="24"/>
      <c r="J9" s="32">
        <v>2.2320000000000002</v>
      </c>
      <c r="K9" s="59">
        <f t="shared" si="44"/>
        <v>-0.81720430107526887</v>
      </c>
      <c r="L9" s="24"/>
      <c r="M9" s="44">
        <v>2</v>
      </c>
      <c r="N9" s="23">
        <f>IF(ISERROR(VLOOKUP($B9,[1]Hedef!$A$4:$ES$45409,41,0)),0,VLOOKUP($B9,[1]Hedef!$A$4:$ES$45409,41,0))</f>
        <v>-9.9999999999999915E-4</v>
      </c>
      <c r="O9" s="23">
        <f t="shared" si="1"/>
        <v>2.0009999999999999</v>
      </c>
      <c r="P9" s="80">
        <f t="shared" si="23"/>
        <v>0</v>
      </c>
      <c r="Q9" s="92"/>
      <c r="R9" s="32">
        <v>1.8000120000000002</v>
      </c>
      <c r="S9" s="59">
        <f t="shared" si="45"/>
        <v>-1.0005555518518765</v>
      </c>
      <c r="T9" s="102"/>
      <c r="U9" s="22">
        <v>3.2</v>
      </c>
      <c r="V9" s="23">
        <f>IF(ISERROR(VLOOKUP($B9,[1]Hedef!$A$4:$ES$45409,45,0)),0,VLOOKUP($B9,[1]Hedef!$A$4:$ES$45409,45,0))+IF(ISERROR(VLOOKUP($B9,[1]Hedef!$A$4:$ES$45409,109,0)),0,VLOOKUP($B9,[1]Hedef!$A$4:$ES$45409,109,0))</f>
        <v>0.14699999999999999</v>
      </c>
      <c r="W9" s="23">
        <f t="shared" si="2"/>
        <v>3.0530000000000004</v>
      </c>
      <c r="X9" s="80">
        <f t="shared" si="24"/>
        <v>0.04</v>
      </c>
      <c r="Y9" s="24"/>
      <c r="Z9" s="32">
        <v>3.0820000000000003</v>
      </c>
      <c r="AA9" s="59">
        <f t="shared" si="46"/>
        <v>-0.95230369889682032</v>
      </c>
      <c r="AB9" s="99"/>
      <c r="AC9" s="164">
        <v>7.6</v>
      </c>
      <c r="AD9" s="23">
        <f t="shared" si="25"/>
        <v>0.55400000000000005</v>
      </c>
      <c r="AE9" s="23">
        <f t="shared" si="3"/>
        <v>7.0459999999999994</v>
      </c>
      <c r="AF9" s="80">
        <f t="shared" si="26"/>
        <v>7.0000000000000007E-2</v>
      </c>
      <c r="AG9" s="22">
        <f t="shared" si="4"/>
        <v>0</v>
      </c>
      <c r="AH9" s="44">
        <f t="shared" si="27"/>
        <v>7.1140120000000007</v>
      </c>
      <c r="AI9" s="59">
        <f t="shared" si="5"/>
        <v>-0.92212551792153286</v>
      </c>
      <c r="AJ9" s="24"/>
      <c r="AK9" s="22">
        <v>14.2</v>
      </c>
      <c r="AL9" s="23">
        <f>IF(ISERROR(VLOOKUP($B9,[1]Hedef!$A$4:$ES$45409,97,0)),0,VLOOKUP($B9,[1]Hedef!$A$4:$ES$45409,97,0))</f>
        <v>0</v>
      </c>
      <c r="AM9" s="23">
        <f t="shared" si="6"/>
        <v>14.2</v>
      </c>
      <c r="AN9" s="80">
        <f t="shared" si="28"/>
        <v>0</v>
      </c>
      <c r="AO9" s="24"/>
      <c r="AP9" s="32">
        <v>13.2</v>
      </c>
      <c r="AQ9" s="59">
        <f t="shared" si="47"/>
        <v>-1</v>
      </c>
      <c r="AR9" s="24"/>
      <c r="AS9" s="22">
        <v>3.3</v>
      </c>
      <c r="AT9" s="23">
        <f>IF(ISERROR(VLOOKUP($B9,[1]Hedef!$A$4:$ES$45409,57,0)),0,VLOOKUP($B9,[1]Hedef!$A$4:$ES$45409,57,0))</f>
        <v>0.29500000000000004</v>
      </c>
      <c r="AU9" s="23">
        <f t="shared" si="7"/>
        <v>3.0049999999999999</v>
      </c>
      <c r="AV9" s="80">
        <f t="shared" si="29"/>
        <v>0.08</v>
      </c>
      <c r="AW9" s="24"/>
      <c r="AX9" s="32">
        <v>3.0864920000000007</v>
      </c>
      <c r="AY9" s="59">
        <f t="shared" si="48"/>
        <v>-0.90442223728426974</v>
      </c>
      <c r="AZ9" s="92"/>
      <c r="BA9" s="22">
        <v>1</v>
      </c>
      <c r="BB9" s="23">
        <f>IF(ISERROR(VLOOKUP($B9,[1]Hedef!$A$4:$ES$45409,99,0)),0,VLOOKUP($B9,[1]Hedef!$A$4:$ES$45409,99,0))</f>
        <v>0.35900000000000004</v>
      </c>
      <c r="BC9" s="23">
        <f t="shared" si="8"/>
        <v>0.64100000000000001</v>
      </c>
      <c r="BD9" s="80">
        <f t="shared" si="30"/>
        <v>0.35</v>
      </c>
      <c r="BE9" s="24"/>
      <c r="BF9" s="32">
        <v>0.98649999999999993</v>
      </c>
      <c r="BG9" s="59">
        <f t="shared" si="9"/>
        <v>-0.63608717688798777</v>
      </c>
      <c r="BH9" s="24"/>
      <c r="BI9" s="22">
        <v>0.35</v>
      </c>
      <c r="BJ9" s="23">
        <f>IF(ISERROR(VLOOKUP($B9,[1]Hedef!$A$4:$ES$45409,117,0)),0,VLOOKUP($B9,[1]Hedef!$A$4:$ES$45409,117,0))</f>
        <v>3.5000000000000003E-2</v>
      </c>
      <c r="BK9" s="23">
        <f t="shared" si="10"/>
        <v>0.31499999999999995</v>
      </c>
      <c r="BL9" s="80">
        <f t="shared" si="31"/>
        <v>0.1</v>
      </c>
      <c r="BM9" s="24"/>
      <c r="BN9" s="32">
        <v>0.32200000000000006</v>
      </c>
      <c r="BO9" s="59">
        <f t="shared" si="49"/>
        <v>-0.89130434782608692</v>
      </c>
      <c r="BP9" s="99"/>
      <c r="BQ9" s="22">
        <v>18.850000000000001</v>
      </c>
      <c r="BR9" s="23">
        <f t="shared" si="32"/>
        <v>0.68900000000000006</v>
      </c>
      <c r="BS9" s="23">
        <f t="shared" si="11"/>
        <v>18.161000000000001</v>
      </c>
      <c r="BT9" s="80">
        <f t="shared" si="33"/>
        <v>0.03</v>
      </c>
      <c r="BU9" s="22">
        <f t="shared" si="34"/>
        <v>0</v>
      </c>
      <c r="BV9" s="22">
        <f t="shared" si="35"/>
        <v>17.594991999999998</v>
      </c>
      <c r="BW9" s="59">
        <f t="shared" si="50"/>
        <v>-0.96084113024887985</v>
      </c>
      <c r="BX9" s="183"/>
      <c r="BY9" s="22">
        <v>1.1000000000000001</v>
      </c>
      <c r="BZ9" s="23">
        <f>IF(ISERROR(VLOOKUP($B9,[1]Hedef!$A$4:$ES$45409,71,0)),0,VLOOKUP($B9,[1]Hedef!$A$4:$ES$45409,71,0))</f>
        <v>3.9E-2</v>
      </c>
      <c r="CA9" s="23">
        <f t="shared" si="12"/>
        <v>1.0610000000000002</v>
      </c>
      <c r="CB9" s="80">
        <f t="shared" si="36"/>
        <v>0.03</v>
      </c>
      <c r="CC9" s="32">
        <v>1.0419999999999998</v>
      </c>
      <c r="CD9" s="59">
        <f t="shared" si="42"/>
        <v>-0.96257197696737051</v>
      </c>
      <c r="CE9" s="99"/>
      <c r="CF9" s="22">
        <v>2.4500000000000002</v>
      </c>
      <c r="CG9" s="23">
        <f>IF(ISERROR(VLOOKUP($B9,[1]Hedef!$A$4:$ES$45409,87,0)),0,VLOOKUP($B9,[1]Hedef!$A$4:$ES$45409,87,0))</f>
        <v>0.21</v>
      </c>
      <c r="CH9" s="23">
        <f t="shared" si="13"/>
        <v>2.2400000000000002</v>
      </c>
      <c r="CI9" s="80">
        <f t="shared" si="37"/>
        <v>0.08</v>
      </c>
      <c r="CJ9" s="32">
        <v>2.2874999999999996</v>
      </c>
      <c r="CK9" s="59">
        <f t="shared" si="14"/>
        <v>-0.90819672131147544</v>
      </c>
      <c r="CL9" s="99"/>
      <c r="CM9" s="22">
        <v>3.55</v>
      </c>
      <c r="CN9" s="23">
        <f t="shared" si="15"/>
        <v>0.249</v>
      </c>
      <c r="CO9" s="23">
        <f t="shared" si="16"/>
        <v>3.3009999999999997</v>
      </c>
      <c r="CP9" s="80">
        <f t="shared" si="38"/>
        <v>7.0000000000000007E-2</v>
      </c>
      <c r="CQ9" s="130">
        <f t="shared" si="17"/>
        <v>0</v>
      </c>
      <c r="CR9" s="119">
        <f t="shared" si="43"/>
        <v>3.3294999999999995</v>
      </c>
      <c r="CS9" s="59">
        <f t="shared" si="18"/>
        <v>-0.92521399609550981</v>
      </c>
      <c r="CT9" s="82"/>
      <c r="CU9" s="22">
        <f t="shared" si="19"/>
        <v>30</v>
      </c>
      <c r="CV9" s="23">
        <f>IF(ISERROR(VLOOKUP($B9,[1]Hedef!$A$4:$ES$45409,127,0)),0,VLOOKUP($B9,[1]Hedef!$A$4:$ES$45409,127,0))</f>
        <v>1.4919999999999998</v>
      </c>
      <c r="CW9" s="159">
        <f>IF(ISERROR(VLOOKUP($B9,[1]Hedef!$A$4:$ES$45409,47,0)),0,VLOOKUP($B9,[1]Hedef!$A$4:$ES$45409,47,0))</f>
        <v>1.4919999999999998</v>
      </c>
      <c r="CX9" s="23">
        <f t="shared" si="39"/>
        <v>28.507999999999999</v>
      </c>
      <c r="CY9" s="80">
        <f t="shared" si="40"/>
        <v>0.04</v>
      </c>
      <c r="CZ9" s="26"/>
      <c r="DA9" s="32">
        <v>28.375515999999998</v>
      </c>
      <c r="DB9" s="131">
        <f t="shared" si="20"/>
        <v>28.038503999999996</v>
      </c>
      <c r="DC9" s="59">
        <f t="shared" si="41"/>
        <v>-0.94741945838095065</v>
      </c>
      <c r="DD9" s="24"/>
      <c r="DE9" s="22">
        <v>30</v>
      </c>
      <c r="DF9" s="15">
        <f t="shared" si="21"/>
        <v>0</v>
      </c>
      <c r="DG9" s="99"/>
      <c r="DH9" s="92"/>
      <c r="DI9" s="24"/>
    </row>
    <row r="10" spans="1:113" ht="12.75" customHeight="1" x14ac:dyDescent="0.2">
      <c r="A10" s="24"/>
      <c r="B10" s="31">
        <v>6</v>
      </c>
      <c r="C10" s="194" t="s">
        <v>5</v>
      </c>
      <c r="D10" s="102"/>
      <c r="E10" s="193">
        <v>0.2</v>
      </c>
      <c r="F10" s="23">
        <f>IF(ISERROR(VLOOKUP($B10,[1]Hedef!$A$4:$ES$45409,25,0)),0,VLOOKUP($B10,[1]Hedef!$A$4:$ES$45409,25,0))+IF(ISERROR(VLOOKUP($B10,[1]Hedef!$A$4:$ES$45409,15,0)),0,VLOOKUP($B10,[1]Hedef!$A$4:$ES$45409,15,0))</f>
        <v>9.75E-3</v>
      </c>
      <c r="G10" s="23">
        <f t="shared" si="0"/>
        <v>0.19025</v>
      </c>
      <c r="H10" s="80">
        <f t="shared" si="22"/>
        <v>0.04</v>
      </c>
      <c r="I10" s="24"/>
      <c r="J10" s="32">
        <v>0.17225000000000001</v>
      </c>
      <c r="K10" s="59">
        <f t="shared" si="44"/>
        <v>-0.94339622641509424</v>
      </c>
      <c r="L10" s="24"/>
      <c r="M10" s="44">
        <v>0.96</v>
      </c>
      <c r="N10" s="23">
        <f>IF(ISERROR(VLOOKUP($B10,[1]Hedef!$A$4:$ES$45409,41,0)),0,VLOOKUP($B10,[1]Hedef!$A$4:$ES$45409,41,0))</f>
        <v>1.8999999999999996E-2</v>
      </c>
      <c r="O10" s="23">
        <f t="shared" si="1"/>
        <v>0.94099999999999995</v>
      </c>
      <c r="P10" s="80">
        <f t="shared" si="23"/>
        <v>0.01</v>
      </c>
      <c r="Q10" s="92"/>
      <c r="R10" s="32">
        <v>0.89075000000000004</v>
      </c>
      <c r="S10" s="59">
        <f t="shared" si="45"/>
        <v>-0.97866966039854053</v>
      </c>
      <c r="T10" s="102"/>
      <c r="U10" s="22">
        <v>0.49</v>
      </c>
      <c r="V10" s="23">
        <f>IF(ISERROR(VLOOKUP($B10,[1]Hedef!$A$4:$ES$45409,45,0)),0,VLOOKUP($B10,[1]Hedef!$A$4:$ES$45409,45,0))+IF(ISERROR(VLOOKUP($B10,[1]Hedef!$A$4:$ES$45409,109,0)),0,VLOOKUP($B10,[1]Hedef!$A$4:$ES$45409,109,0))</f>
        <v>4.7750000000000001E-2</v>
      </c>
      <c r="W10" s="23">
        <f t="shared" si="2"/>
        <v>0.44224999999999998</v>
      </c>
      <c r="X10" s="80">
        <f t="shared" si="24"/>
        <v>0.09</v>
      </c>
      <c r="Y10" s="24"/>
      <c r="Z10" s="32">
        <v>0.46174999999999999</v>
      </c>
      <c r="AA10" s="59">
        <f t="shared" si="46"/>
        <v>-0.89658906334596644</v>
      </c>
      <c r="AB10" s="99"/>
      <c r="AC10" s="164">
        <v>1.65</v>
      </c>
      <c r="AD10" s="23">
        <f t="shared" si="25"/>
        <v>7.6499999999999999E-2</v>
      </c>
      <c r="AE10" s="23">
        <f t="shared" si="3"/>
        <v>1.5734999999999999</v>
      </c>
      <c r="AF10" s="80">
        <f t="shared" si="26"/>
        <v>0.04</v>
      </c>
      <c r="AG10" s="22">
        <f t="shared" si="4"/>
        <v>0</v>
      </c>
      <c r="AH10" s="44">
        <f t="shared" si="27"/>
        <v>1.52475</v>
      </c>
      <c r="AI10" s="59">
        <f t="shared" si="5"/>
        <v>-0.94982784062961145</v>
      </c>
      <c r="AJ10" s="24"/>
      <c r="AK10" s="22">
        <v>0.16</v>
      </c>
      <c r="AL10" s="23">
        <f>IF(ISERROR(VLOOKUP($B10,[1]Hedef!$A$4:$ES$45409,97,0)),0,VLOOKUP($B10,[1]Hedef!$A$4:$ES$45409,97,0))</f>
        <v>0</v>
      </c>
      <c r="AM10" s="23">
        <f t="shared" si="6"/>
        <v>0.16</v>
      </c>
      <c r="AN10" s="80">
        <f t="shared" si="28"/>
        <v>0</v>
      </c>
      <c r="AO10" s="24"/>
      <c r="AP10" s="32">
        <v>0.16300000000000001</v>
      </c>
      <c r="AQ10" s="59">
        <f t="shared" si="47"/>
        <v>-1</v>
      </c>
      <c r="AR10" s="24"/>
      <c r="AS10" s="22">
        <v>0.09</v>
      </c>
      <c r="AT10" s="23">
        <f>IF(ISERROR(VLOOKUP($B10,[1]Hedef!$A$4:$ES$45409,57,0)),0,VLOOKUP($B10,[1]Hedef!$A$4:$ES$45409,57,0))</f>
        <v>2.7000000000000003E-2</v>
      </c>
      <c r="AU10" s="23">
        <f t="shared" si="7"/>
        <v>6.3E-2</v>
      </c>
      <c r="AV10" s="80">
        <f t="shared" si="29"/>
        <v>0.3</v>
      </c>
      <c r="AW10" s="24"/>
      <c r="AX10" s="32">
        <v>9.0749999999999997E-2</v>
      </c>
      <c r="AY10" s="59">
        <f t="shared" si="48"/>
        <v>-0.7024793388429752</v>
      </c>
      <c r="AZ10" s="92"/>
      <c r="BA10" s="22">
        <v>0.26</v>
      </c>
      <c r="BB10" s="23">
        <f>IF(ISERROR(VLOOKUP($B10,[1]Hedef!$A$4:$ES$45409,99,0)),0,VLOOKUP($B10,[1]Hedef!$A$4:$ES$45409,99,0))</f>
        <v>5.5750000000000001E-2</v>
      </c>
      <c r="BC10" s="23">
        <f t="shared" si="8"/>
        <v>0.20425000000000001</v>
      </c>
      <c r="BD10" s="80">
        <f t="shared" si="30"/>
        <v>0.21</v>
      </c>
      <c r="BE10" s="24"/>
      <c r="BF10" s="32">
        <v>0.25700000000000001</v>
      </c>
      <c r="BG10" s="59">
        <f t="shared" si="9"/>
        <v>-0.78307392996108949</v>
      </c>
      <c r="BH10" s="24"/>
      <c r="BI10" s="22">
        <v>0.14000000000000001</v>
      </c>
      <c r="BJ10" s="23">
        <f>IF(ISERROR(VLOOKUP($B10,[1]Hedef!$A$4:$ES$45409,117,0)),0,VLOOKUP($B10,[1]Hedef!$A$4:$ES$45409,117,0))</f>
        <v>1.3250000000000001E-2</v>
      </c>
      <c r="BK10" s="23">
        <f t="shared" si="10"/>
        <v>0.12675</v>
      </c>
      <c r="BL10" s="80">
        <f t="shared" si="31"/>
        <v>0.09</v>
      </c>
      <c r="BM10" s="24"/>
      <c r="BN10" s="32">
        <v>0.13275000000000001</v>
      </c>
      <c r="BO10" s="59">
        <f t="shared" si="49"/>
        <v>-0.90018832391713755</v>
      </c>
      <c r="BP10" s="99"/>
      <c r="BQ10" s="22">
        <v>0.65</v>
      </c>
      <c r="BR10" s="23">
        <f t="shared" si="32"/>
        <v>9.6000000000000002E-2</v>
      </c>
      <c r="BS10" s="23">
        <f t="shared" si="11"/>
        <v>0.55400000000000005</v>
      </c>
      <c r="BT10" s="80">
        <f t="shared" si="33"/>
        <v>0.14000000000000001</v>
      </c>
      <c r="BU10" s="22">
        <f t="shared" si="34"/>
        <v>0</v>
      </c>
      <c r="BV10" s="22">
        <f t="shared" si="35"/>
        <v>0.64350000000000007</v>
      </c>
      <c r="BW10" s="59">
        <f t="shared" si="50"/>
        <v>-0.85081585081585087</v>
      </c>
      <c r="BX10" s="183"/>
      <c r="BY10" s="22">
        <v>0.33</v>
      </c>
      <c r="BZ10" s="23">
        <f>IF(ISERROR(VLOOKUP($B10,[1]Hedef!$A$4:$ES$45409,71,0)),0,VLOOKUP($B10,[1]Hedef!$A$4:$ES$45409,71,0))</f>
        <v>4.675E-2</v>
      </c>
      <c r="CA10" s="23">
        <f t="shared" si="12"/>
        <v>0.28325</v>
      </c>
      <c r="CB10" s="80">
        <f t="shared" si="36"/>
        <v>0.14000000000000001</v>
      </c>
      <c r="CC10" s="32">
        <v>0.30100000000000005</v>
      </c>
      <c r="CD10" s="59">
        <f t="shared" si="42"/>
        <v>-0.84468438538205981</v>
      </c>
      <c r="CE10" s="99"/>
      <c r="CF10" s="22">
        <v>0.56999999999999995</v>
      </c>
      <c r="CG10" s="23">
        <f>IF(ISERROR(VLOOKUP($B10,[1]Hedef!$A$4:$ES$45409,87,0)),0,VLOOKUP($B10,[1]Hedef!$A$4:$ES$45409,87,0))</f>
        <v>2.8999999999999998E-2</v>
      </c>
      <c r="CH10" s="23">
        <f t="shared" si="13"/>
        <v>0.54099999999999993</v>
      </c>
      <c r="CI10" s="80">
        <f t="shared" si="37"/>
        <v>0.05</v>
      </c>
      <c r="CJ10" s="32">
        <v>0.52800000000000002</v>
      </c>
      <c r="CK10" s="59">
        <f t="shared" si="14"/>
        <v>-0.94507575757575757</v>
      </c>
      <c r="CL10" s="99"/>
      <c r="CM10" s="22">
        <v>0.9</v>
      </c>
      <c r="CN10" s="23">
        <f t="shared" si="15"/>
        <v>7.5749999999999998E-2</v>
      </c>
      <c r="CO10" s="23">
        <f t="shared" si="16"/>
        <v>0.82425000000000004</v>
      </c>
      <c r="CP10" s="80">
        <f t="shared" si="38"/>
        <v>0.08</v>
      </c>
      <c r="CQ10" s="123">
        <f t="shared" si="17"/>
        <v>0</v>
      </c>
      <c r="CR10" s="119">
        <f t="shared" si="43"/>
        <v>0.82900000000000007</v>
      </c>
      <c r="CS10" s="59">
        <f t="shared" si="18"/>
        <v>-0.90862484921592279</v>
      </c>
      <c r="CT10" s="82"/>
      <c r="CU10" s="22">
        <f t="shared" si="19"/>
        <v>3.1999999999999997</v>
      </c>
      <c r="CV10" s="23">
        <f>IF(ISERROR(VLOOKUP($B10,[1]Hedef!$A$4:$ES$45409,127,0)),0,VLOOKUP($B10,[1]Hedef!$A$4:$ES$45409,127,0))</f>
        <v>0.24825000000000003</v>
      </c>
      <c r="CW10" s="159">
        <f>IF(ISERROR(VLOOKUP($B10,[1]Hedef!$A$4:$ES$45409,47,0)),0,VLOOKUP($B10,[1]Hedef!$A$4:$ES$45409,47,0))</f>
        <v>0.24825000000000003</v>
      </c>
      <c r="CX10" s="23">
        <f t="shared" si="39"/>
        <v>2.9517499999999997</v>
      </c>
      <c r="CY10" s="80">
        <f t="shared" si="40"/>
        <v>7.0000000000000007E-2</v>
      </c>
      <c r="CZ10" s="26"/>
      <c r="DA10" s="32">
        <v>2.9972500000000002</v>
      </c>
      <c r="DB10" s="131">
        <f t="shared" si="20"/>
        <v>2.9972500000000002</v>
      </c>
      <c r="DC10" s="59">
        <f t="shared" si="41"/>
        <v>-0.91717407623655012</v>
      </c>
      <c r="DD10" s="24"/>
      <c r="DE10" s="22">
        <v>3.2</v>
      </c>
      <c r="DF10" s="15">
        <f t="shared" si="21"/>
        <v>0</v>
      </c>
      <c r="DG10" s="99"/>
      <c r="DH10" s="92"/>
      <c r="DI10" s="24"/>
    </row>
    <row r="11" spans="1:113" ht="12.75" customHeight="1" x14ac:dyDescent="0.2">
      <c r="A11" s="24"/>
      <c r="B11" s="31">
        <v>54</v>
      </c>
      <c r="C11" s="194" t="s">
        <v>151</v>
      </c>
      <c r="D11" s="102"/>
      <c r="E11" s="193">
        <v>0.27</v>
      </c>
      <c r="F11" s="23">
        <f>IF(ISERROR(VLOOKUP($B11,[1]Hedef!$A$4:$ES$45409,25,0)),0,VLOOKUP($B11,[1]Hedef!$A$4:$ES$45409,25,0))+IF(ISERROR(VLOOKUP($B11,[1]Hedef!$A$4:$ES$45409,15,0)),0,VLOOKUP($B11,[1]Hedef!$A$4:$ES$45409,15,0))</f>
        <v>0.02</v>
      </c>
      <c r="G11" s="23">
        <f t="shared" si="0"/>
        <v>0.25</v>
      </c>
      <c r="H11" s="80">
        <f t="shared" si="22"/>
        <v>7.0000000000000007E-2</v>
      </c>
      <c r="I11" s="24"/>
      <c r="J11" s="32">
        <v>0.22389000000000003</v>
      </c>
      <c r="K11" s="59">
        <f t="shared" si="44"/>
        <v>-0.91067041850908936</v>
      </c>
      <c r="L11" s="24"/>
      <c r="M11" s="44">
        <v>0.21</v>
      </c>
      <c r="N11" s="23">
        <f>IF(ISERROR(VLOOKUP($B11,[1]Hedef!$A$4:$ES$45409,41,0)),0,VLOOKUP($B11,[1]Hedef!$A$4:$ES$45409,41,0))</f>
        <v>1.0999999999999998E-3</v>
      </c>
      <c r="O11" s="23">
        <f t="shared" si="1"/>
        <v>0.2089</v>
      </c>
      <c r="P11" s="80">
        <f t="shared" si="23"/>
        <v>0</v>
      </c>
      <c r="Q11" s="92"/>
      <c r="R11" s="32">
        <v>0.17674000000000001</v>
      </c>
      <c r="S11" s="59">
        <f t="shared" si="45"/>
        <v>-0.99377616838293548</v>
      </c>
      <c r="T11" s="102"/>
      <c r="U11" s="22">
        <v>7.0000000000000007E-2</v>
      </c>
      <c r="V11" s="23">
        <f>IF(ISERROR(VLOOKUP($B11,[1]Hedef!$A$4:$ES$45409,45,0)),0,VLOOKUP($B11,[1]Hedef!$A$4:$ES$45409,45,0))+IF(ISERROR(VLOOKUP($B11,[1]Hedef!$A$4:$ES$45409,109,0)),0,VLOOKUP($B11,[1]Hedef!$A$4:$ES$45409,109,0))</f>
        <v>7.3500000000000006E-3</v>
      </c>
      <c r="W11" s="23">
        <f t="shared" si="2"/>
        <v>6.2650000000000011E-2</v>
      </c>
      <c r="X11" s="80">
        <f t="shared" si="24"/>
        <v>0.1</v>
      </c>
      <c r="Y11" s="24"/>
      <c r="Z11" s="32">
        <v>6.087E-2</v>
      </c>
      <c r="AA11" s="59">
        <f t="shared" si="46"/>
        <v>-0.87925086249383932</v>
      </c>
      <c r="AB11" s="99"/>
      <c r="AC11" s="164">
        <v>0.55000000000000004</v>
      </c>
      <c r="AD11" s="23">
        <f t="shared" si="25"/>
        <v>2.8450000000000003E-2</v>
      </c>
      <c r="AE11" s="23">
        <f t="shared" si="3"/>
        <v>0.52155000000000007</v>
      </c>
      <c r="AF11" s="80">
        <f t="shared" si="26"/>
        <v>0.05</v>
      </c>
      <c r="AG11" s="22">
        <f t="shared" si="4"/>
        <v>0</v>
      </c>
      <c r="AH11" s="44">
        <f t="shared" si="27"/>
        <v>0.46150000000000002</v>
      </c>
      <c r="AI11" s="59">
        <f t="shared" si="5"/>
        <v>-0.93835319609967505</v>
      </c>
      <c r="AJ11" s="92"/>
      <c r="AK11" s="22">
        <v>0.19</v>
      </c>
      <c r="AL11" s="23">
        <f>IF(ISERROR(VLOOKUP($B11,[1]Hedef!$A$4:$ES$45409,97,0)),0,VLOOKUP($B11,[1]Hedef!$A$4:$ES$45409,97,0))</f>
        <v>0</v>
      </c>
      <c r="AM11" s="23">
        <f t="shared" si="6"/>
        <v>0.19</v>
      </c>
      <c r="AN11" s="80">
        <f t="shared" si="28"/>
        <v>0</v>
      </c>
      <c r="AO11" s="24"/>
      <c r="AP11" s="32">
        <v>0.1512</v>
      </c>
      <c r="AQ11" s="59">
        <f t="shared" si="47"/>
        <v>-1</v>
      </c>
      <c r="AR11" s="24"/>
      <c r="AS11" s="22">
        <v>0.11</v>
      </c>
      <c r="AT11" s="23">
        <f>IF(ISERROR(VLOOKUP($B11,[1]Hedef!$A$4:$ES$45409,57,0)),0,VLOOKUP($B11,[1]Hedef!$A$4:$ES$45409,57,0))</f>
        <v>7.6500000000000005E-3</v>
      </c>
      <c r="AU11" s="23">
        <f t="shared" si="7"/>
        <v>0.10235</v>
      </c>
      <c r="AV11" s="80">
        <f t="shared" si="29"/>
        <v>0.06</v>
      </c>
      <c r="AW11" s="24"/>
      <c r="AX11" s="32">
        <v>8.4080000000000002E-2</v>
      </c>
      <c r="AY11" s="59">
        <f t="shared" si="48"/>
        <v>-0.90901522359657461</v>
      </c>
      <c r="AZ11" s="92"/>
      <c r="BA11" s="22">
        <v>0.13</v>
      </c>
      <c r="BB11" s="23">
        <f>IF(ISERROR(VLOOKUP($B11,[1]Hedef!$A$4:$ES$45409,99,0)),0,VLOOKUP($B11,[1]Hedef!$A$4:$ES$45409,99,0))</f>
        <v>1.5449999999999998E-2</v>
      </c>
      <c r="BC11" s="23">
        <f t="shared" si="8"/>
        <v>0.11455000000000001</v>
      </c>
      <c r="BD11" s="80">
        <f t="shared" si="30"/>
        <v>0.11</v>
      </c>
      <c r="BE11" s="24"/>
      <c r="BF11" s="32">
        <v>0.10317</v>
      </c>
      <c r="BG11" s="59">
        <f t="shared" si="9"/>
        <v>-0.85024716487350971</v>
      </c>
      <c r="BH11" s="24"/>
      <c r="BI11" s="22">
        <v>7.0000000000000007E-2</v>
      </c>
      <c r="BJ11" s="23">
        <f>IF(ISERROR(VLOOKUP($B11,[1]Hedef!$A$4:$ES$45409,117,0)),0,VLOOKUP($B11,[1]Hedef!$A$4:$ES$45409,117,0))</f>
        <v>3.3999999999999998E-3</v>
      </c>
      <c r="BK11" s="23">
        <f t="shared" si="10"/>
        <v>6.6600000000000006E-2</v>
      </c>
      <c r="BL11" s="80">
        <f t="shared" si="31"/>
        <v>0.04</v>
      </c>
      <c r="BM11" s="24"/>
      <c r="BN11" s="32">
        <v>6.0769999999999991E-2</v>
      </c>
      <c r="BO11" s="59">
        <f t="shared" si="49"/>
        <v>-0.9440513411222643</v>
      </c>
      <c r="BP11" s="99"/>
      <c r="BQ11" s="22">
        <v>0.5</v>
      </c>
      <c r="BR11" s="23">
        <f t="shared" si="32"/>
        <v>2.6499999999999999E-2</v>
      </c>
      <c r="BS11" s="23">
        <f t="shared" si="11"/>
        <v>0.47349999999999998</v>
      </c>
      <c r="BT11" s="80">
        <f t="shared" si="33"/>
        <v>0.05</v>
      </c>
      <c r="BU11" s="22">
        <f t="shared" si="34"/>
        <v>0</v>
      </c>
      <c r="BV11" s="22">
        <f t="shared" si="35"/>
        <v>0.39921999999999996</v>
      </c>
      <c r="BW11" s="59">
        <f t="shared" si="50"/>
        <v>-0.93362056009217964</v>
      </c>
      <c r="BX11" s="183"/>
      <c r="BY11" s="22">
        <v>0.19</v>
      </c>
      <c r="BZ11" s="23">
        <f>IF(ISERROR(VLOOKUP($B11,[1]Hedef!$A$4:$ES$45409,71,0)),0,VLOOKUP($B11,[1]Hedef!$A$4:$ES$45409,71,0))</f>
        <v>3.8500000000000001E-3</v>
      </c>
      <c r="CA11" s="23">
        <f t="shared" si="12"/>
        <v>0.18615000000000001</v>
      </c>
      <c r="CB11" s="80">
        <f t="shared" si="36"/>
        <v>0.02</v>
      </c>
      <c r="CC11" s="32">
        <v>0.14637</v>
      </c>
      <c r="CD11" s="59">
        <f t="shared" si="42"/>
        <v>-0.97369679579148738</v>
      </c>
      <c r="CE11" s="99"/>
      <c r="CF11" s="22">
        <v>0.26</v>
      </c>
      <c r="CG11" s="23">
        <f>IF(ISERROR(VLOOKUP($B11,[1]Hedef!$A$4:$ES$45409,87,0)),0,VLOOKUP($B11,[1]Hedef!$A$4:$ES$45409,87,0))</f>
        <v>1.805E-2</v>
      </c>
      <c r="CH11" s="23">
        <f t="shared" si="13"/>
        <v>0.24195</v>
      </c>
      <c r="CI11" s="80">
        <f t="shared" si="37"/>
        <v>0.06</v>
      </c>
      <c r="CJ11" s="32">
        <v>0.21046000000000001</v>
      </c>
      <c r="CK11" s="59">
        <f t="shared" si="14"/>
        <v>-0.91423548417751588</v>
      </c>
      <c r="CL11" s="99"/>
      <c r="CM11" s="22">
        <v>0.45</v>
      </c>
      <c r="CN11" s="23">
        <f t="shared" si="15"/>
        <v>2.1899999999999999E-2</v>
      </c>
      <c r="CO11" s="23">
        <f t="shared" si="16"/>
        <v>0.42810000000000004</v>
      </c>
      <c r="CP11" s="80">
        <f t="shared" si="38"/>
        <v>0.04</v>
      </c>
      <c r="CQ11" s="123">
        <f t="shared" si="17"/>
        <v>0</v>
      </c>
      <c r="CR11" s="119">
        <f t="shared" si="43"/>
        <v>0.35682999999999998</v>
      </c>
      <c r="CS11" s="59">
        <f t="shared" si="18"/>
        <v>-0.93862623658324695</v>
      </c>
      <c r="CT11" s="82"/>
      <c r="CU11" s="22">
        <f t="shared" si="19"/>
        <v>1.5</v>
      </c>
      <c r="CV11" s="23">
        <f>IF(ISERROR(VLOOKUP($B11,[1]Hedef!$A$4:$ES$45409,127,0)),0,VLOOKUP($B11,[1]Hedef!$A$4:$ES$45409,127,0))</f>
        <v>7.6850000000000002E-2</v>
      </c>
      <c r="CW11" s="159">
        <f>IF(ISERROR(VLOOKUP($B11,[1]Hedef!$A$4:$ES$45409,47,0)),0,VLOOKUP($B11,[1]Hedef!$A$4:$ES$45409,47,0))</f>
        <v>7.6850000000000002E-2</v>
      </c>
      <c r="CX11" s="23">
        <f t="shared" si="39"/>
        <v>1.4231499999999999</v>
      </c>
      <c r="CY11" s="80">
        <f t="shared" si="40"/>
        <v>0.05</v>
      </c>
      <c r="CZ11" s="26"/>
      <c r="DA11" s="32">
        <v>1.22492</v>
      </c>
      <c r="DB11" s="131">
        <f t="shared" si="20"/>
        <v>1.2175499999999999</v>
      </c>
      <c r="DC11" s="59">
        <f t="shared" si="41"/>
        <v>-0.93726120889527476</v>
      </c>
      <c r="DD11" s="24"/>
      <c r="DE11" s="22">
        <v>1.5</v>
      </c>
      <c r="DF11" s="15">
        <f t="shared" si="21"/>
        <v>0</v>
      </c>
      <c r="DG11" s="99"/>
      <c r="DH11" s="92"/>
      <c r="DI11" s="24"/>
    </row>
    <row r="12" spans="1:113" ht="12.75" customHeight="1" thickBot="1" x14ac:dyDescent="0.25">
      <c r="A12" s="24"/>
      <c r="B12" s="31">
        <v>7</v>
      </c>
      <c r="C12" s="194" t="s">
        <v>6</v>
      </c>
      <c r="D12" s="102"/>
      <c r="E12" s="193">
        <v>3</v>
      </c>
      <c r="F12" s="23">
        <f>IF(ISERROR(VLOOKUP($B12,[1]Hedef!$A$4:$ES$45409,25,0)),0,VLOOKUP($B12,[1]Hedef!$A$4:$ES$45409,25,0))+IF(ISERROR(VLOOKUP($B12,[1]Hedef!$A$4:$ES$45409,15,0)),0,VLOOKUP($B12,[1]Hedef!$A$4:$ES$45409,15,0))</f>
        <v>0.466304</v>
      </c>
      <c r="G12" s="23">
        <f t="shared" si="0"/>
        <v>2.5336959999999999</v>
      </c>
      <c r="H12" s="80">
        <f t="shared" si="22"/>
        <v>0.15</v>
      </c>
      <c r="I12" s="24"/>
      <c r="J12" s="32">
        <v>2.5015000000000001</v>
      </c>
      <c r="K12" s="59">
        <f t="shared" si="44"/>
        <v>-0.81359024585248851</v>
      </c>
      <c r="L12" s="24"/>
      <c r="M12" s="44">
        <v>1.5</v>
      </c>
      <c r="N12" s="23">
        <f>IF(ISERROR(VLOOKUP($B12,[1]Hedef!$A$4:$ES$45409,41,0)),0,VLOOKUP($B12,[1]Hedef!$A$4:$ES$45409,41,0))</f>
        <v>1.2492000000000001E-2</v>
      </c>
      <c r="O12" s="23">
        <f t="shared" si="1"/>
        <v>1.4875080000000001</v>
      </c>
      <c r="P12" s="80">
        <f t="shared" si="23"/>
        <v>0</v>
      </c>
      <c r="Q12" s="92"/>
      <c r="R12" s="32">
        <v>1.2838319999999999</v>
      </c>
      <c r="S12" s="59">
        <f t="shared" si="45"/>
        <v>-0.99026975492120473</v>
      </c>
      <c r="T12" s="102"/>
      <c r="U12" s="22">
        <v>1.85</v>
      </c>
      <c r="V12" s="23">
        <f>IF(ISERROR(VLOOKUP($B12,[1]Hedef!$A$4:$ES$45409,45,0)),0,VLOOKUP($B12,[1]Hedef!$A$4:$ES$45409,45,0))+IF(ISERROR(VLOOKUP($B12,[1]Hedef!$A$4:$ES$45409,109,0)),0,VLOOKUP($B12,[1]Hedef!$A$4:$ES$45409,109,0))</f>
        <v>0.10212</v>
      </c>
      <c r="W12" s="23">
        <f t="shared" si="2"/>
        <v>1.7478800000000001</v>
      </c>
      <c r="X12" s="80">
        <f t="shared" si="24"/>
        <v>0.05</v>
      </c>
      <c r="Y12" s="24"/>
      <c r="Z12" s="32">
        <v>1.6699519999999999</v>
      </c>
      <c r="AA12" s="59">
        <f t="shared" si="46"/>
        <v>-0.9388485417544935</v>
      </c>
      <c r="AB12" s="99"/>
      <c r="AC12" s="164">
        <v>6.35</v>
      </c>
      <c r="AD12" s="23">
        <f t="shared" si="25"/>
        <v>0.58091599999999999</v>
      </c>
      <c r="AE12" s="23">
        <f t="shared" si="3"/>
        <v>5.7690839999999994</v>
      </c>
      <c r="AF12" s="80">
        <f t="shared" si="26"/>
        <v>0.09</v>
      </c>
      <c r="AG12" s="22">
        <f t="shared" si="4"/>
        <v>0</v>
      </c>
      <c r="AH12" s="44">
        <f t="shared" si="27"/>
        <v>5.4552839999999998</v>
      </c>
      <c r="AI12" s="59">
        <f t="shared" si="5"/>
        <v>-0.89351315165259948</v>
      </c>
      <c r="AJ12" s="24"/>
      <c r="AK12" s="22">
        <v>1.3</v>
      </c>
      <c r="AL12" s="23">
        <f>IF(ISERROR(VLOOKUP($B12,[1]Hedef!$A$4:$ES$45409,97,0)),0,VLOOKUP($B12,[1]Hedef!$A$4:$ES$45409,97,0))</f>
        <v>0</v>
      </c>
      <c r="AM12" s="23">
        <f t="shared" si="6"/>
        <v>1.3</v>
      </c>
      <c r="AN12" s="80">
        <f t="shared" si="28"/>
        <v>0</v>
      </c>
      <c r="AO12" s="24"/>
      <c r="AP12" s="32">
        <v>1.1012879999999998</v>
      </c>
      <c r="AQ12" s="59">
        <f t="shared" si="47"/>
        <v>-1</v>
      </c>
      <c r="AR12" s="24"/>
      <c r="AS12" s="22">
        <v>1</v>
      </c>
      <c r="AT12" s="23">
        <f>IF(ISERROR(VLOOKUP($B12,[1]Hedef!$A$4:$ES$45409,57,0)),0,VLOOKUP($B12,[1]Hedef!$A$4:$ES$45409,57,0))</f>
        <v>2.5576000000000002E-2</v>
      </c>
      <c r="AU12" s="23">
        <f t="shared" si="7"/>
        <v>0.97442399999999996</v>
      </c>
      <c r="AV12" s="80">
        <f t="shared" si="29"/>
        <v>0.02</v>
      </c>
      <c r="AW12" s="24"/>
      <c r="AX12" s="32">
        <v>0.860348</v>
      </c>
      <c r="AY12" s="59">
        <f t="shared" si="48"/>
        <v>-0.97027249438599261</v>
      </c>
      <c r="AZ12" s="92"/>
      <c r="BA12" s="22">
        <v>1.4</v>
      </c>
      <c r="BB12" s="23">
        <f>IF(ISERROR(VLOOKUP($B12,[1]Hedef!$A$4:$ES$45409,99,0)),0,VLOOKUP($B12,[1]Hedef!$A$4:$ES$45409,99,0))</f>
        <v>0.16569203354539999</v>
      </c>
      <c r="BC12" s="23">
        <f t="shared" si="8"/>
        <v>1.2343079664545999</v>
      </c>
      <c r="BD12" s="80">
        <f t="shared" si="30"/>
        <v>0.11</v>
      </c>
      <c r="BE12" s="24"/>
      <c r="BF12" s="32">
        <v>1.2023760000000001</v>
      </c>
      <c r="BG12" s="59">
        <f t="shared" si="9"/>
        <v>-0.86219615698799712</v>
      </c>
      <c r="BH12" s="24"/>
      <c r="BI12" s="22">
        <v>1.25</v>
      </c>
      <c r="BJ12" s="23">
        <f>IF(ISERROR(VLOOKUP($B12,[1]Hedef!$A$4:$ES$45409,117,0)),0,VLOOKUP($B12,[1]Hedef!$A$4:$ES$45409,117,0))</f>
        <v>0.14096002258000001</v>
      </c>
      <c r="BK12" s="23">
        <f t="shared" si="10"/>
        <v>1.1090399774199999</v>
      </c>
      <c r="BL12" s="80">
        <f t="shared" si="31"/>
        <v>0.11</v>
      </c>
      <c r="BM12" s="24"/>
      <c r="BN12" s="32">
        <v>1.0894919999999999</v>
      </c>
      <c r="BO12" s="59">
        <f t="shared" si="49"/>
        <v>-0.87061857950310784</v>
      </c>
      <c r="BP12" s="99"/>
      <c r="BQ12" s="22">
        <v>4.95</v>
      </c>
      <c r="BR12" s="23">
        <f t="shared" si="32"/>
        <v>0.33222805612540002</v>
      </c>
      <c r="BS12" s="23">
        <f t="shared" si="11"/>
        <v>4.6177719438746001</v>
      </c>
      <c r="BT12" s="80">
        <f t="shared" si="33"/>
        <v>0.06</v>
      </c>
      <c r="BU12" s="22">
        <f t="shared" si="34"/>
        <v>0</v>
      </c>
      <c r="BV12" s="22">
        <f t="shared" si="35"/>
        <v>4.2535039999999995</v>
      </c>
      <c r="BW12" s="59">
        <f t="shared" si="50"/>
        <v>-0.92189308952679949</v>
      </c>
      <c r="BX12" s="183"/>
      <c r="BY12" s="22">
        <v>2.88</v>
      </c>
      <c r="BZ12" s="23">
        <f>IF(ISERROR(VLOOKUP($B12,[1]Hedef!$A$4:$ES$45409,71,0)),0,VLOOKUP($B12,[1]Hedef!$A$4:$ES$45409,71,0))</f>
        <v>0.24260799999999999</v>
      </c>
      <c r="CA12" s="23">
        <f t="shared" si="12"/>
        <v>2.6373919999999997</v>
      </c>
      <c r="CB12" s="80">
        <f t="shared" si="36"/>
        <v>0.08</v>
      </c>
      <c r="CC12" s="32">
        <v>2.407556</v>
      </c>
      <c r="CD12" s="59">
        <f t="shared" si="42"/>
        <v>-0.89923058902887398</v>
      </c>
      <c r="CE12" s="99"/>
      <c r="CF12" s="22">
        <v>10.82</v>
      </c>
      <c r="CG12" s="23">
        <f>IF(ISERROR(VLOOKUP($B12,[1]Hedef!$A$4:$ES$45409,87,0)),0,VLOOKUP($B12,[1]Hedef!$A$4:$ES$45409,87,0))</f>
        <v>0.91084399999999999</v>
      </c>
      <c r="CH12" s="23">
        <f t="shared" si="13"/>
        <v>9.9091559999999994</v>
      </c>
      <c r="CI12" s="80">
        <f t="shared" si="37"/>
        <v>0.08</v>
      </c>
      <c r="CJ12" s="32">
        <v>9.3049759999999999</v>
      </c>
      <c r="CK12" s="59">
        <f t="shared" si="14"/>
        <v>-0.90211216020331475</v>
      </c>
      <c r="CL12" s="99"/>
      <c r="CM12" s="22">
        <v>13.7</v>
      </c>
      <c r="CN12" s="23">
        <f t="shared" si="15"/>
        <v>1.1534519999999999</v>
      </c>
      <c r="CO12" s="23">
        <f t="shared" si="16"/>
        <v>12.546548</v>
      </c>
      <c r="CP12" s="80">
        <f t="shared" si="38"/>
        <v>0.08</v>
      </c>
      <c r="CQ12" s="123">
        <f t="shared" si="17"/>
        <v>0</v>
      </c>
      <c r="CR12" s="119">
        <f t="shared" si="43"/>
        <v>11.712531999999999</v>
      </c>
      <c r="CS12" s="59">
        <f t="shared" si="18"/>
        <v>-0.90151984216563941</v>
      </c>
      <c r="CT12" s="82"/>
      <c r="CU12" s="22">
        <f t="shared" si="19"/>
        <v>24.999999999999996</v>
      </c>
      <c r="CV12" s="23">
        <f>IF(ISERROR(VLOOKUP($B12,[1]Hedef!$A$4:$ES$45409,127,0)),0,VLOOKUP($B12,[1]Hedef!$A$4:$ES$45409,127,0))</f>
        <v>2.0665960561254004</v>
      </c>
      <c r="CW12" s="159">
        <f>IF(ISERROR(VLOOKUP($B12,[1]Hedef!$A$4:$ES$45409,47,0)),0,VLOOKUP($B12,[1]Hedef!$A$4:$ES$45409,47,0))</f>
        <v>2.0665960561254004</v>
      </c>
      <c r="CX12" s="23">
        <f t="shared" si="39"/>
        <v>22.933403943874595</v>
      </c>
      <c r="CY12" s="80">
        <f t="shared" si="40"/>
        <v>0.08</v>
      </c>
      <c r="CZ12" s="26"/>
      <c r="DA12" s="32">
        <v>21.442636</v>
      </c>
      <c r="DB12" s="131">
        <f t="shared" si="20"/>
        <v>21.421319999999998</v>
      </c>
      <c r="DC12" s="59">
        <f t="shared" si="41"/>
        <v>-0.90362210802228782</v>
      </c>
      <c r="DD12" s="24"/>
      <c r="DE12" s="22">
        <v>25</v>
      </c>
      <c r="DF12" s="15">
        <f t="shared" si="21"/>
        <v>0</v>
      </c>
      <c r="DG12" s="99"/>
      <c r="DH12" s="92"/>
      <c r="DI12" s="24"/>
    </row>
    <row r="13" spans="1:113" ht="12.75" customHeight="1" thickTop="1" thickBot="1" x14ac:dyDescent="0.25">
      <c r="A13" s="42"/>
      <c r="B13" s="71" t="s">
        <v>49</v>
      </c>
      <c r="C13" s="195" t="s">
        <v>7</v>
      </c>
      <c r="D13" s="102"/>
      <c r="E13" s="188">
        <f>SUM(E5:E12)</f>
        <v>56.320000000000007</v>
      </c>
      <c r="F13" s="67">
        <f>SUM(F5:F12)</f>
        <v>9.9941439999999986</v>
      </c>
      <c r="G13" s="67">
        <f>SUM(G5:G12)</f>
        <v>46.325855999999995</v>
      </c>
      <c r="H13" s="39">
        <f>TRUNC(IF((F13/E13)&gt;1.2,"120%",(F13/E13)),2)</f>
        <v>0.17</v>
      </c>
      <c r="I13" s="42"/>
      <c r="J13" s="67"/>
      <c r="K13" s="60"/>
      <c r="L13" s="24"/>
      <c r="M13" s="67">
        <f>SUM(M5:M12)</f>
        <v>24.71</v>
      </c>
      <c r="N13" s="67">
        <f>SUM(N5:N12)</f>
        <v>0.435197</v>
      </c>
      <c r="O13" s="67">
        <f>SUM(O5:O12)</f>
        <v>24.274802999999999</v>
      </c>
      <c r="P13" s="39">
        <f>TRUNC(IF((N13/M13)&gt;1.2,"120%",(N13/M13)),2)</f>
        <v>0.01</v>
      </c>
      <c r="Q13" s="42"/>
      <c r="R13" s="115"/>
      <c r="S13" s="60"/>
      <c r="T13" s="116"/>
      <c r="U13" s="67">
        <f>SUM(U5:U12)</f>
        <v>22.82</v>
      </c>
      <c r="V13" s="67">
        <f>SUM(V5:V12)</f>
        <v>1.031995</v>
      </c>
      <c r="W13" s="67">
        <f>SUM(W5:W12)</f>
        <v>21.788005000000002</v>
      </c>
      <c r="X13" s="39">
        <f>TRUNC(IF((V13/U13)&gt;1.2,"120%",(V13/U13)),2)</f>
        <v>0.04</v>
      </c>
      <c r="Y13" s="42"/>
      <c r="Z13" s="67"/>
      <c r="AA13" s="60"/>
      <c r="AB13" s="99"/>
      <c r="AC13" s="67">
        <f>SUM(AC5:AC12)</f>
        <v>103.85</v>
      </c>
      <c r="AD13" s="67">
        <f>SUM(AD5:AD12)</f>
        <v>11.461335999999999</v>
      </c>
      <c r="AE13" s="67">
        <f>SUM(AE5:AE12)</f>
        <v>92.388664000000006</v>
      </c>
      <c r="AF13" s="39">
        <f>TRUNC(IF((AD13/AC13)&gt;1.2,"120%",(AD13/AC13)),2)</f>
        <v>0.11</v>
      </c>
      <c r="AG13" s="67"/>
      <c r="AH13" s="67"/>
      <c r="AI13" s="60"/>
      <c r="AJ13" s="42"/>
      <c r="AK13" s="67">
        <f>SUM(AK5:AK12)</f>
        <v>49.75</v>
      </c>
      <c r="AL13" s="67">
        <f>SUM(AL5:AL12)</f>
        <v>0.24</v>
      </c>
      <c r="AM13" s="67">
        <f>SUM(AM5:AM12)</f>
        <v>49.509999999999991</v>
      </c>
      <c r="AN13" s="39">
        <f>TRUNC(IF((AL13/AK13)&gt;1.2,"120%",(AL13/AK13)),2)</f>
        <v>0</v>
      </c>
      <c r="AO13" s="42"/>
      <c r="AP13" s="67"/>
      <c r="AQ13" s="60"/>
      <c r="AR13" s="42"/>
      <c r="AS13" s="67">
        <f>SUM(AS5:AS12)</f>
        <v>22.700000000000003</v>
      </c>
      <c r="AT13" s="67">
        <f>SUM(AT5:AT12)</f>
        <v>4.566961</v>
      </c>
      <c r="AU13" s="67">
        <f>SUM(AU5:AU12)</f>
        <v>18.133039</v>
      </c>
      <c r="AV13" s="39">
        <f>TRUNC(IF((AT13/AS13)&gt;1.2,"120%",(AT13/AS13)),2)</f>
        <v>0.2</v>
      </c>
      <c r="AW13" s="42"/>
      <c r="AX13" s="67"/>
      <c r="AY13" s="60"/>
      <c r="AZ13" s="42"/>
      <c r="BA13" s="67">
        <f>SUM(BA5:BA12)</f>
        <v>32.19</v>
      </c>
      <c r="BB13" s="67">
        <f>SUM(BB5:BB12)</f>
        <v>2.9982170000000004</v>
      </c>
      <c r="BC13" s="67">
        <f>SUM(BC5:BC12)</f>
        <v>29.191782999999997</v>
      </c>
      <c r="BD13" s="39">
        <f>TRUNC(IF((BB13/BA13)&gt;1.2,"120%",(BB13/BA13)),2)</f>
        <v>0.09</v>
      </c>
      <c r="BE13" s="42"/>
      <c r="BF13" s="67"/>
      <c r="BG13" s="60"/>
      <c r="BH13" s="42"/>
      <c r="BI13" s="67">
        <f>SUM(BI5:BI12)</f>
        <v>31.060000000000002</v>
      </c>
      <c r="BJ13" s="67">
        <f>SUM(BJ5:BJ12)</f>
        <v>2.1124799999999997</v>
      </c>
      <c r="BK13" s="67">
        <f>SUM(BK5:BK12)</f>
        <v>28.947520000000004</v>
      </c>
      <c r="BL13" s="39">
        <f>TRUNC(IF((BJ13/BI13)&gt;1.2,"120%",(BJ13/BI13)),2)</f>
        <v>0.06</v>
      </c>
      <c r="BM13" s="42"/>
      <c r="BN13" s="67"/>
      <c r="BO13" s="60"/>
      <c r="BP13" s="99"/>
      <c r="BQ13" s="67">
        <f>SUM(BQ5:BQ12)</f>
        <v>135.69999999999999</v>
      </c>
      <c r="BR13" s="67">
        <f>SUM(BR5:BR12)</f>
        <v>9.9176579999999994</v>
      </c>
      <c r="BS13" s="67">
        <f>SUM(BS5:BS12)</f>
        <v>125.782342</v>
      </c>
      <c r="BT13" s="39">
        <f>TRUNC(IF((BR13/BQ13)&gt;1.2,"120%",(BR13/BQ13)),2)</f>
        <v>7.0000000000000007E-2</v>
      </c>
      <c r="BU13" s="67"/>
      <c r="BV13" s="67"/>
      <c r="BW13" s="60"/>
      <c r="BX13" s="183"/>
      <c r="BY13" s="67">
        <f>SUM(BY5:BY12)</f>
        <v>36.65</v>
      </c>
      <c r="BZ13" s="67">
        <f>SUM(BZ5:BZ12)</f>
        <v>5.3312679999999997</v>
      </c>
      <c r="CA13" s="67">
        <f>SUM(CA5:CA12)</f>
        <v>31.318731999999997</v>
      </c>
      <c r="CB13" s="39">
        <f>TRUNC(IF((BZ13/BY13)&gt;1.2,"120%",(BZ13/BY13)),2)</f>
        <v>0.14000000000000001</v>
      </c>
      <c r="CC13" s="67"/>
      <c r="CD13" s="60"/>
      <c r="CE13" s="99"/>
      <c r="CF13" s="67">
        <f>SUM(CF5:CF12)</f>
        <v>58.500000000000007</v>
      </c>
      <c r="CG13" s="67">
        <f>SUM(CG5:CG12)</f>
        <v>2.2487539999999999</v>
      </c>
      <c r="CH13" s="67">
        <f>SUM(CH5:CH12)</f>
        <v>56.251246000000009</v>
      </c>
      <c r="CI13" s="39">
        <f>TRUNC(IF((CG13/CF13)&gt;1.2,"120%",(CG13/CF13)),2)</f>
        <v>0.03</v>
      </c>
      <c r="CJ13" s="67"/>
      <c r="CK13" s="60"/>
      <c r="CL13" s="99"/>
      <c r="CM13" s="67">
        <f>SUM(CM5:CM12)</f>
        <v>95.15</v>
      </c>
      <c r="CN13" s="67">
        <f>SUM(CN5:CN12)</f>
        <v>7.5800219999999996</v>
      </c>
      <c r="CO13" s="67">
        <f>SUM(CO5:CO12)</f>
        <v>87.569978000000006</v>
      </c>
      <c r="CP13" s="39">
        <f>TRUNC(IF((CN13/CM13)&gt;1.2,"120%",(CN13/CM13)),2)</f>
        <v>7.0000000000000007E-2</v>
      </c>
      <c r="CQ13" s="121"/>
      <c r="CR13" s="67"/>
      <c r="CS13" s="60"/>
      <c r="CT13" s="83"/>
      <c r="CU13" s="67">
        <f>SUM(CU5:CU12)</f>
        <v>334.7</v>
      </c>
      <c r="CV13" s="67">
        <f>SUM(CV5:CV12)</f>
        <v>28.959016000000002</v>
      </c>
      <c r="CW13" s="160">
        <f>SUM(CW5:CW12)</f>
        <v>28.960016</v>
      </c>
      <c r="CX13" s="67">
        <f>SUM(CX5:CX12)</f>
        <v>305.74098400000003</v>
      </c>
      <c r="CY13" s="39">
        <f>TRUNC(IF((CV13/CU13)&gt;1.2,"120%",(CV13/CU13)),2)</f>
        <v>0.08</v>
      </c>
      <c r="CZ13" s="43"/>
      <c r="DA13" s="67"/>
      <c r="DB13" s="67"/>
      <c r="DC13" s="60"/>
      <c r="DD13" s="42"/>
      <c r="DE13" s="67">
        <f>SUM(DE5:DE12)</f>
        <v>334.7</v>
      </c>
      <c r="DF13" s="8"/>
      <c r="DG13" s="99"/>
      <c r="DH13" s="92"/>
      <c r="DI13" s="42"/>
    </row>
    <row r="14" spans="1:113" ht="12.75" customHeight="1" thickTop="1" x14ac:dyDescent="0.2">
      <c r="A14" s="24"/>
      <c r="B14" s="31">
        <v>4000</v>
      </c>
      <c r="C14" s="194" t="s">
        <v>8</v>
      </c>
      <c r="D14" s="102"/>
      <c r="E14" s="193">
        <v>1.46</v>
      </c>
      <c r="F14" s="23">
        <f>IF(ISERROR(VLOOKUP($B14,[1]Hedef!$A$4:$ES$45409,25,0)),0,VLOOKUP($B14,[1]Hedef!$A$4:$ES$45409,25,0))+IF(ISERROR(VLOOKUP($B14,[1]Hedef!$A$4:$ES$45409,15,0)),0,VLOOKUP($B14,[1]Hedef!$A$4:$ES$45409,15,0))</f>
        <v>7.2750000000000009E-2</v>
      </c>
      <c r="G14" s="23">
        <f t="shared" ref="G14:G16" si="51">IF((E14-F14)&lt;0, "-", (E14-F14))</f>
        <v>1.3872499999999999</v>
      </c>
      <c r="H14" s="80">
        <f t="shared" ref="H14:H16" si="52">TRUNC(IF((F14/E14)&gt;1.2,"120%",(F14/E14)),2)</f>
        <v>0.04</v>
      </c>
      <c r="I14" s="24"/>
      <c r="J14" s="32">
        <v>1.4723000000000002</v>
      </c>
      <c r="K14" s="59">
        <f t="shared" ref="K14:K16" si="53">IF(ISERROR((F14-J14)/J14),0,(F14-J14)/J14)</f>
        <v>-0.95058751613122316</v>
      </c>
      <c r="L14" s="24"/>
      <c r="M14" s="44">
        <v>0.76</v>
      </c>
      <c r="N14" s="23">
        <f>IF(ISERROR(VLOOKUP($B14,[1]Hedef!$A$4:$ES$45409,41,0)),0,VLOOKUP($B14,[1]Hedef!$A$4:$ES$45409,41,0))</f>
        <v>3.2049999999999995E-2</v>
      </c>
      <c r="O14" s="23">
        <f>IF((M14-N14)&lt;0, "-", (M14-N14))</f>
        <v>0.72794999999999999</v>
      </c>
      <c r="P14" s="80">
        <f t="shared" ref="P14:P16" si="54">TRUNC(IF((N14/M14)&gt;1.2,"120%",(N14/M14)),2)</f>
        <v>0.04</v>
      </c>
      <c r="Q14" s="92"/>
      <c r="R14" s="32">
        <v>0.76760000000000006</v>
      </c>
      <c r="S14" s="59">
        <f t="shared" si="45"/>
        <v>-0.95824648254299116</v>
      </c>
      <c r="T14" s="102"/>
      <c r="U14" s="22">
        <v>0.53</v>
      </c>
      <c r="V14" s="23">
        <f>IF(ISERROR(VLOOKUP($B14,[1]Hedef!$A$4:$ES$45409,45,0)),0,VLOOKUP($B14,[1]Hedef!$A$4:$ES$45409,45,0))+IF(ISERROR(VLOOKUP($B14,[1]Hedef!$A$4:$ES$45409,109,0)),0,VLOOKUP($B14,[1]Hedef!$A$4:$ES$45409,109,0))</f>
        <v>3.0099999999999998E-2</v>
      </c>
      <c r="W14" s="23">
        <f>IF((U14-V14)&lt;0, "-", (U14-V14))</f>
        <v>0.49990000000000001</v>
      </c>
      <c r="X14" s="80">
        <f t="shared" ref="X14:X16" si="55">TRUNC(IF((V14/U14)&gt;1.2,"120%",(V14/U14)),2)</f>
        <v>0.05</v>
      </c>
      <c r="Y14" s="24"/>
      <c r="Z14" s="32">
        <v>0.52760000000000007</v>
      </c>
      <c r="AA14" s="59">
        <f t="shared" si="46"/>
        <v>-0.94294920394238058</v>
      </c>
      <c r="AB14" s="99"/>
      <c r="AC14" s="164">
        <v>2.75</v>
      </c>
      <c r="AD14" s="23">
        <f t="shared" si="25"/>
        <v>0.13490000000000002</v>
      </c>
      <c r="AE14" s="23">
        <f>IF((AC14-AD14)&lt;0, "-", (AC14-AD14))</f>
        <v>2.6151</v>
      </c>
      <c r="AF14" s="80">
        <f t="shared" ref="AF14:AF16" si="56">TRUNC(IF((AD14/AC14)&gt;1.2,"120%",(AD14/AC14)),2)</f>
        <v>0.04</v>
      </c>
      <c r="AG14" s="22">
        <f>AC14-U14-M14-E14</f>
        <v>0</v>
      </c>
      <c r="AH14" s="44">
        <f t="shared" si="27"/>
        <v>2.7675000000000001</v>
      </c>
      <c r="AI14" s="59">
        <f>IF(ISERROR((AD14-AH14)/AH14),0,(AD14-AH14)/AH14)</f>
        <v>-0.95125564588979228</v>
      </c>
      <c r="AJ14" s="24"/>
      <c r="AK14" s="22">
        <v>14.7</v>
      </c>
      <c r="AL14" s="23">
        <f>IF(ISERROR(VLOOKUP($B14,[1]Hedef!$A$4:$ES$45409,97,0)),0,VLOOKUP($B14,[1]Hedef!$A$4:$ES$45409,97,0))</f>
        <v>0</v>
      </c>
      <c r="AM14" s="23">
        <f>IF((AK14-AL14)&lt;0, "-", (AK14-AL14))</f>
        <v>14.7</v>
      </c>
      <c r="AN14" s="80">
        <f t="shared" ref="AN14:AN16" si="57">TRUNC(IF((AL14/AK14)&gt;1.2,"120%",(AL14/AK14)),2)</f>
        <v>0</v>
      </c>
      <c r="AO14" s="24"/>
      <c r="AP14" s="32">
        <v>14.67435</v>
      </c>
      <c r="AQ14" s="59">
        <f t="shared" ref="AQ14:AQ16" si="58">IF(ISERROR((AL14-AP14)/AP14),0,(AL14-AP14)/AP14)</f>
        <v>-1</v>
      </c>
      <c r="AR14" s="24"/>
      <c r="AS14" s="22">
        <v>1.9</v>
      </c>
      <c r="AT14" s="23">
        <f>IF(ISERROR(VLOOKUP($B14,[1]Hedef!$A$4:$ES$45409,57,0)),0,VLOOKUP($B14,[1]Hedef!$A$4:$ES$45409,57,0))</f>
        <v>6.8149999999999988E-2</v>
      </c>
      <c r="AU14" s="23">
        <f>IF((AS14-AT14)&lt;0, "-", (AS14-AT14))</f>
        <v>1.83185</v>
      </c>
      <c r="AV14" s="80">
        <f t="shared" ref="AV14:AV16" si="59">TRUNC(IF((AT14/AS14)&gt;1.2,"120%",(AT14/AS14)),2)</f>
        <v>0.03</v>
      </c>
      <c r="AW14" s="24"/>
      <c r="AX14" s="32">
        <v>1.8912499999999999</v>
      </c>
      <c r="AY14" s="59">
        <f t="shared" si="48"/>
        <v>-0.96396563119629874</v>
      </c>
      <c r="AZ14" s="92"/>
      <c r="BA14" s="22">
        <v>0.43</v>
      </c>
      <c r="BB14" s="23">
        <f>IF(ISERROR(VLOOKUP($B14,[1]Hedef!$A$4:$ES$45409,99,0)),0,VLOOKUP($B14,[1]Hedef!$A$4:$ES$45409,99,0))</f>
        <v>2.3550000000000001E-2</v>
      </c>
      <c r="BC14" s="23">
        <f>IF((BA14-BB14)&lt;0, "-", (BA14-BB14))</f>
        <v>0.40644999999999998</v>
      </c>
      <c r="BD14" s="80">
        <f t="shared" ref="BD14:BD16" si="60">TRUNC(IF((BB14/BA14)&gt;1.2,"120%",(BB14/BA14)),2)</f>
        <v>0.05</v>
      </c>
      <c r="BE14" s="24"/>
      <c r="BF14" s="32">
        <v>0.43220000000000003</v>
      </c>
      <c r="BG14" s="59">
        <f>IF(ISERROR((BB14-BF14)/BF14),0,(BB14-BF14)/BF14)</f>
        <v>-0.94551133734382231</v>
      </c>
      <c r="BH14" s="24"/>
      <c r="BI14" s="22">
        <v>1.77</v>
      </c>
      <c r="BJ14" s="23">
        <f>IF(ISERROR(VLOOKUP($B14,[1]Hedef!$A$4:$ES$45409,117,0)),0,VLOOKUP($B14,[1]Hedef!$A$4:$ES$45409,117,0))</f>
        <v>8.9200000000000002E-2</v>
      </c>
      <c r="BK14" s="23">
        <f>IF((BI14-BJ14)&lt;0, "-", (BI14-BJ14))</f>
        <v>1.6808000000000001</v>
      </c>
      <c r="BL14" s="80">
        <f t="shared" ref="BL14:BL16" si="61">TRUNC(IF((BJ14/BI14)&gt;1.2,"120%",(BJ14/BI14)),2)</f>
        <v>0.05</v>
      </c>
      <c r="BM14" s="24"/>
      <c r="BN14" s="32">
        <v>1.8151000000000002</v>
      </c>
      <c r="BO14" s="59">
        <f t="shared" si="49"/>
        <v>-0.95085670211007667</v>
      </c>
      <c r="BP14" s="99"/>
      <c r="BQ14" s="22">
        <v>18.8</v>
      </c>
      <c r="BR14" s="23">
        <f t="shared" si="32"/>
        <v>0.18090000000000001</v>
      </c>
      <c r="BS14" s="23">
        <f>IF((BQ14-BR14)&lt;0, "-", (BQ14-BR14))</f>
        <v>18.6191</v>
      </c>
      <c r="BT14" s="80">
        <f t="shared" ref="BT14:BT16" si="62">TRUNC(IF((BR14/BQ14)&gt;1.2,"120%",(BR14/BQ14)),2)</f>
        <v>0</v>
      </c>
      <c r="BU14" s="22">
        <f t="shared" si="34"/>
        <v>0</v>
      </c>
      <c r="BV14" s="22">
        <f t="shared" si="35"/>
        <v>18.812899999999999</v>
      </c>
      <c r="BW14" s="59">
        <f t="shared" si="50"/>
        <v>-0.99038425761046933</v>
      </c>
      <c r="BX14" s="183"/>
      <c r="BY14" s="22">
        <v>0.2</v>
      </c>
      <c r="BZ14" s="23">
        <f>IF(ISERROR(VLOOKUP($B14,[1]Hedef!$A$4:$ES$45409,71,0)),0,VLOOKUP($B14,[1]Hedef!$A$4:$ES$45409,71,0))</f>
        <v>1.2299999999999998E-2</v>
      </c>
      <c r="CA14" s="23">
        <f>IF((BY14-BZ14)&lt;0, "-", (BY14-BZ14))</f>
        <v>0.18770000000000001</v>
      </c>
      <c r="CB14" s="80">
        <f t="shared" ref="CB14:CB16" si="63">TRUNC(IF((BZ14/BY14)&gt;1.2,"120%",(BZ14/BY14)),2)</f>
        <v>0.06</v>
      </c>
      <c r="CC14" s="32">
        <v>0.19085000000000002</v>
      </c>
      <c r="CD14" s="59">
        <f>IF(ISERROR((BZ14-CC14)/CC14),0,(BZ14-CC14)/CC14)</f>
        <v>-0.93555148022006807</v>
      </c>
      <c r="CE14" s="99"/>
      <c r="CF14" s="22">
        <v>0.25</v>
      </c>
      <c r="CG14" s="23">
        <f>IF(ISERROR(VLOOKUP($B14,[1]Hedef!$A$4:$ES$45409,87,0)),0,VLOOKUP($B14,[1]Hedef!$A$4:$ES$45409,87,0))</f>
        <v>1.2050000000000002E-2</v>
      </c>
      <c r="CH14" s="23">
        <f>IF((CF14-CG14)&lt;0, "-", (CF14-CG14))</f>
        <v>0.23794999999999999</v>
      </c>
      <c r="CI14" s="80">
        <f t="shared" ref="CI14:CI16" si="64">TRUNC(IF((CG14/CF14)&gt;1.2,"120%",(CG14/CF14)),2)</f>
        <v>0.04</v>
      </c>
      <c r="CJ14" s="32">
        <v>0.23945</v>
      </c>
      <c r="CK14" s="59">
        <f>IF(ISERROR((CG14-CJ14)/CJ14),0,(CG14-CJ14)/CJ14)</f>
        <v>-0.94967634161620373</v>
      </c>
      <c r="CL14" s="99"/>
      <c r="CM14" s="22">
        <v>0.45</v>
      </c>
      <c r="CN14" s="23">
        <f>CG14+BZ14</f>
        <v>2.435E-2</v>
      </c>
      <c r="CO14" s="23">
        <f>IF((CM14-CN14)&lt;0, "-", (CM14-CN14))</f>
        <v>0.42565000000000003</v>
      </c>
      <c r="CP14" s="80">
        <f>TRUNC(IF((CN14/CM14)&gt;1.2,"120%",(CN14/CM14)),2)</f>
        <v>0.05</v>
      </c>
      <c r="CQ14" s="123">
        <f>CM14-CF14-BY14</f>
        <v>0</v>
      </c>
      <c r="CR14" s="23">
        <f>+CJ14+CC14</f>
        <v>0.43030000000000002</v>
      </c>
      <c r="CS14" s="59">
        <f>IF(ISERROR((CN14-CR14)/CR14),0,(CN14-CR14)/CR14)</f>
        <v>-0.94341157332093895</v>
      </c>
      <c r="CT14" s="82"/>
      <c r="CU14" s="22">
        <f>CM14+AC14+BQ14</f>
        <v>22</v>
      </c>
      <c r="CV14" s="23">
        <f>IF(ISERROR(VLOOKUP($B14,[1]Hedef!$A$4:$ES$45409,127,0)),0,VLOOKUP($B14,[1]Hedef!$A$4:$ES$45409,127,0))</f>
        <v>0.34015000000000001</v>
      </c>
      <c r="CW14" s="159">
        <f>IF(ISERROR(VLOOKUP($B14,[1]Hedef!$A$4:$ES$45409,47,0)),0,VLOOKUP($B14,[1]Hedef!$A$4:$ES$45409,47,0))</f>
        <v>0.34015000000000001</v>
      </c>
      <c r="CX14" s="23">
        <f>IF((CU14-CV14)&lt;0, "-", (CU14-CV14))</f>
        <v>21.659849999999999</v>
      </c>
      <c r="CY14" s="80">
        <f t="shared" ref="CY14:CY16" si="65">TRUNC(IF((CV14/CU14)&gt;1.2,"120%",(CV14/CU14)),2)</f>
        <v>0.01</v>
      </c>
      <c r="CZ14" s="26"/>
      <c r="DA14" s="32">
        <v>22.010699999999993</v>
      </c>
      <c r="DB14" s="131">
        <f>+CR14+BV14+AH14</f>
        <v>22.0107</v>
      </c>
      <c r="DC14" s="59">
        <f>IF(ISERROR((CV14-DA14)/DA14),0,(CV14-DA14)/DA14)</f>
        <v>-0.98454615255307643</v>
      </c>
      <c r="DD14" s="24"/>
      <c r="DE14" s="22">
        <v>22</v>
      </c>
      <c r="DF14" s="15">
        <f>DE14-CU14</f>
        <v>0</v>
      </c>
      <c r="DG14" s="99"/>
      <c r="DH14" s="92"/>
      <c r="DI14" s="24"/>
    </row>
    <row r="15" spans="1:113" ht="12.75" customHeight="1" x14ac:dyDescent="0.2">
      <c r="A15" s="24"/>
      <c r="B15" s="31">
        <v>3000</v>
      </c>
      <c r="C15" s="194" t="s">
        <v>9</v>
      </c>
      <c r="D15" s="102"/>
      <c r="E15" s="193">
        <v>0.27</v>
      </c>
      <c r="F15" s="23">
        <f>IF(ISERROR(VLOOKUP($B15,[1]Hedef!$A$4:$ES$45409,25,0)),0,VLOOKUP($B15,[1]Hedef!$A$4:$ES$45409,25,0))+IF(ISERROR(VLOOKUP($B15,[1]Hedef!$A$4:$ES$45409,15,0)),0,VLOOKUP($B15,[1]Hedef!$A$4:$ES$45409,15,0))</f>
        <v>7.1500000000000001E-3</v>
      </c>
      <c r="G15" s="23">
        <f t="shared" si="51"/>
        <v>0.26285000000000003</v>
      </c>
      <c r="H15" s="80">
        <f t="shared" si="52"/>
        <v>0.02</v>
      </c>
      <c r="I15" s="24"/>
      <c r="J15" s="32">
        <v>0.26085000000000003</v>
      </c>
      <c r="K15" s="59">
        <f t="shared" si="53"/>
        <v>-0.9725896108874833</v>
      </c>
      <c r="L15" s="24"/>
      <c r="M15" s="44">
        <v>0.38</v>
      </c>
      <c r="N15" s="23">
        <f>IF(ISERROR(VLOOKUP($B15,[1]Hedef!$A$4:$ES$45409,41,0)),0,VLOOKUP($B15,[1]Hedef!$A$4:$ES$45409,41,0))</f>
        <v>2.69E-2</v>
      </c>
      <c r="O15" s="23">
        <f>IF((M15-N15)&lt;0, "-", (M15-N15))</f>
        <v>0.35310000000000002</v>
      </c>
      <c r="P15" s="80">
        <f t="shared" si="54"/>
        <v>7.0000000000000007E-2</v>
      </c>
      <c r="Q15" s="92"/>
      <c r="R15" s="32">
        <v>0.36285000000000001</v>
      </c>
      <c r="S15" s="59">
        <f t="shared" si="45"/>
        <v>-0.92586468237563735</v>
      </c>
      <c r="T15" s="102"/>
      <c r="U15" s="22">
        <v>0.85</v>
      </c>
      <c r="V15" s="23">
        <f>IF(ISERROR(VLOOKUP($B15,[1]Hedef!$A$4:$ES$45409,45,0)),0,VLOOKUP($B15,[1]Hedef!$A$4:$ES$45409,45,0))+IF(ISERROR(VLOOKUP($B15,[1]Hedef!$A$4:$ES$45409,109,0)),0,VLOOKUP($B15,[1]Hedef!$A$4:$ES$45409,109,0))</f>
        <v>8.7549999999999989E-2</v>
      </c>
      <c r="W15" s="23">
        <f>IF((U15-V15)&lt;0, "-", (U15-V15))</f>
        <v>0.76244999999999996</v>
      </c>
      <c r="X15" s="80">
        <f t="shared" si="55"/>
        <v>0.1</v>
      </c>
      <c r="Y15" s="24"/>
      <c r="Z15" s="32">
        <v>0.8004</v>
      </c>
      <c r="AA15" s="59">
        <f t="shared" si="46"/>
        <v>-0.89061719140429785</v>
      </c>
      <c r="AB15" s="99"/>
      <c r="AC15" s="164">
        <v>1.5</v>
      </c>
      <c r="AD15" s="23">
        <f t="shared" si="25"/>
        <v>0.1216</v>
      </c>
      <c r="AE15" s="23">
        <f>IF((AC15-AD15)&lt;0, "-", (AC15-AD15))</f>
        <v>1.3784000000000001</v>
      </c>
      <c r="AF15" s="80">
        <f t="shared" si="56"/>
        <v>0.08</v>
      </c>
      <c r="AG15" s="22">
        <f>AC15-U15-M15-E15</f>
        <v>0</v>
      </c>
      <c r="AH15" s="44">
        <f t="shared" si="27"/>
        <v>1.4241000000000001</v>
      </c>
      <c r="AI15" s="59">
        <f>IF(ISERROR((AD15-AH15)/AH15),0,(AD15-AH15)/AH15)</f>
        <v>-0.91461273786953168</v>
      </c>
      <c r="AJ15" s="24"/>
      <c r="AK15" s="22">
        <v>0.31</v>
      </c>
      <c r="AL15" s="23">
        <f>IF(ISERROR(VLOOKUP($B15,[1]Hedef!$A$4:$ES$45409,97,0)),0,VLOOKUP($B15,[1]Hedef!$A$4:$ES$45409,97,0))</f>
        <v>0</v>
      </c>
      <c r="AM15" s="23">
        <f>IF((AK15-AL15)&lt;0, "-", (AK15-AL15))</f>
        <v>0.31</v>
      </c>
      <c r="AN15" s="80">
        <f t="shared" si="57"/>
        <v>0</v>
      </c>
      <c r="AO15" s="24"/>
      <c r="AP15" s="32">
        <v>0.30394999999999994</v>
      </c>
      <c r="AQ15" s="59">
        <f t="shared" si="58"/>
        <v>-1</v>
      </c>
      <c r="AR15" s="24"/>
      <c r="AS15" s="22">
        <v>0.2</v>
      </c>
      <c r="AT15" s="23">
        <f>IF(ISERROR(VLOOKUP($B15,[1]Hedef!$A$4:$ES$45409,57,0)),0,VLOOKUP($B15,[1]Hedef!$A$4:$ES$45409,57,0))</f>
        <v>9.4999999999999998E-3</v>
      </c>
      <c r="AU15" s="23">
        <f>IF((AS15-AT15)&lt;0, "-", (AS15-AT15))</f>
        <v>0.1905</v>
      </c>
      <c r="AV15" s="80">
        <f t="shared" si="59"/>
        <v>0.04</v>
      </c>
      <c r="AW15" s="24"/>
      <c r="AX15" s="32">
        <v>0.18949999999999997</v>
      </c>
      <c r="AY15" s="59">
        <f t="shared" si="48"/>
        <v>-0.94986807387862793</v>
      </c>
      <c r="AZ15" s="92"/>
      <c r="BA15" s="22">
        <v>0.17</v>
      </c>
      <c r="BB15" s="23">
        <f>IF(ISERROR(VLOOKUP($B15,[1]Hedef!$A$4:$ES$45409,99,0)),0,VLOOKUP($B15,[1]Hedef!$A$4:$ES$45409,99,0))</f>
        <v>1.3299999999999999E-2</v>
      </c>
      <c r="BC15" s="23">
        <f>IF((BA15-BB15)&lt;0, "-", (BA15-BB15))</f>
        <v>0.15670000000000001</v>
      </c>
      <c r="BD15" s="80">
        <f t="shared" si="60"/>
        <v>7.0000000000000007E-2</v>
      </c>
      <c r="BE15" s="24"/>
      <c r="BF15" s="32">
        <v>0.16822500000000001</v>
      </c>
      <c r="BG15" s="59">
        <f>IF(ISERROR((BB15-BF15)/BF15),0,(BB15-BF15)/BF15)</f>
        <v>-0.92093921830881253</v>
      </c>
      <c r="BH15" s="24"/>
      <c r="BI15" s="22">
        <v>0.17</v>
      </c>
      <c r="BJ15" s="23">
        <f>IF(ISERROR(VLOOKUP($B15,[1]Hedef!$A$4:$ES$45409,117,0)),0,VLOOKUP($B15,[1]Hedef!$A$4:$ES$45409,117,0))</f>
        <v>1.06E-2</v>
      </c>
      <c r="BK15" s="23">
        <f>IF((BI15-BJ15)&lt;0, "-", (BI15-BJ15))</f>
        <v>0.15940000000000001</v>
      </c>
      <c r="BL15" s="80">
        <f t="shared" si="61"/>
        <v>0.06</v>
      </c>
      <c r="BM15" s="24"/>
      <c r="BN15" s="32">
        <v>0.16122500000000001</v>
      </c>
      <c r="BO15" s="59">
        <f t="shared" si="49"/>
        <v>-0.93425337261590946</v>
      </c>
      <c r="BP15" s="99"/>
      <c r="BQ15" s="22">
        <v>0.85</v>
      </c>
      <c r="BR15" s="23">
        <f t="shared" si="32"/>
        <v>3.3399999999999999E-2</v>
      </c>
      <c r="BS15" s="23">
        <f>IF((BQ15-BR15)&lt;0, "-", (BQ15-BR15))</f>
        <v>0.81659999999999999</v>
      </c>
      <c r="BT15" s="80">
        <f t="shared" si="62"/>
        <v>0.03</v>
      </c>
      <c r="BU15" s="22">
        <f t="shared" si="34"/>
        <v>0</v>
      </c>
      <c r="BV15" s="22">
        <f t="shared" si="35"/>
        <v>0.82289999999999996</v>
      </c>
      <c r="BW15" s="59">
        <f t="shared" si="50"/>
        <v>-0.95941183618908743</v>
      </c>
      <c r="BX15" s="183"/>
      <c r="BY15" s="22">
        <v>0.23</v>
      </c>
      <c r="BZ15" s="23">
        <f>IF(ISERROR(VLOOKUP($B15,[1]Hedef!$A$4:$ES$45409,71,0)),0,VLOOKUP($B15,[1]Hedef!$A$4:$ES$45409,71,0))</f>
        <v>3.3499999999999995E-2</v>
      </c>
      <c r="CA15" s="23">
        <f>IF((BY15-BZ15)&lt;0, "-", (BY15-BZ15))</f>
        <v>0.19650000000000001</v>
      </c>
      <c r="CB15" s="80">
        <f t="shared" si="63"/>
        <v>0.14000000000000001</v>
      </c>
      <c r="CC15" s="32">
        <v>0.22667500000000004</v>
      </c>
      <c r="CD15" s="59">
        <f>IF(ISERROR((BZ15-CC15)/CC15),0,(BZ15-CC15)/CC15)</f>
        <v>-0.85221131576044995</v>
      </c>
      <c r="CE15" s="99"/>
      <c r="CF15" s="22">
        <v>0.42</v>
      </c>
      <c r="CG15" s="23">
        <f>IF(ISERROR(VLOOKUP($B15,[1]Hedef!$A$4:$ES$45409,87,0)),0,VLOOKUP($B15,[1]Hedef!$A$4:$ES$45409,87,0))</f>
        <v>2.6599999999999999E-2</v>
      </c>
      <c r="CH15" s="23">
        <f>IF((CF15-CG15)&lt;0, "-", (CF15-CG15))</f>
        <v>0.39339999999999997</v>
      </c>
      <c r="CI15" s="80">
        <f t="shared" si="64"/>
        <v>0.06</v>
      </c>
      <c r="CJ15" s="32">
        <v>0.38829999999999992</v>
      </c>
      <c r="CK15" s="59">
        <f>IF(ISERROR((CG15-CJ15)/CJ15),0,(CG15-CJ15)/CJ15)</f>
        <v>-0.93149626577388611</v>
      </c>
      <c r="CL15" s="99"/>
      <c r="CM15" s="22">
        <v>0.65</v>
      </c>
      <c r="CN15" s="23">
        <f>CG15+BZ15</f>
        <v>6.0099999999999994E-2</v>
      </c>
      <c r="CO15" s="23">
        <f>IF((CM15-CN15)&lt;0, "-", (CM15-CN15))</f>
        <v>0.58989999999999998</v>
      </c>
      <c r="CP15" s="80">
        <f t="shared" ref="CP15:CP16" si="66">TRUNC(IF((CN15/CM15)&gt;1.2,"120%",(CN15/CM15)),2)</f>
        <v>0.09</v>
      </c>
      <c r="CQ15" s="123">
        <f>CM15-CF15-BY15</f>
        <v>0</v>
      </c>
      <c r="CR15" s="23">
        <f>+CJ15+CC15</f>
        <v>0.61497499999999994</v>
      </c>
      <c r="CS15" s="59">
        <f>IF(ISERROR((CN15-CR15)/CR15),0,(CN15-CR15)/CR15)</f>
        <v>-0.90227245009959745</v>
      </c>
      <c r="CT15" s="82"/>
      <c r="CU15" s="22">
        <f>CM15+AC15+BQ15</f>
        <v>3</v>
      </c>
      <c r="CV15" s="23">
        <f>IF(ISERROR(VLOOKUP($B15,[1]Hedef!$A$4:$ES$45409,127,0)),0,VLOOKUP($B15,[1]Hedef!$A$4:$ES$45409,127,0))</f>
        <v>0.21510000000000001</v>
      </c>
      <c r="CW15" s="159">
        <f>IF(ISERROR(VLOOKUP($B15,[1]Hedef!$A$4:$ES$45409,47,0)),0,VLOOKUP($B15,[1]Hedef!$A$4:$ES$45409,47,0))</f>
        <v>0.21510000000000001</v>
      </c>
      <c r="CX15" s="23">
        <f>IF((CU15-CV15)&lt;0, "-", (CU15-CV15))</f>
        <v>2.7848999999999999</v>
      </c>
      <c r="CY15" s="80">
        <f t="shared" si="65"/>
        <v>7.0000000000000007E-2</v>
      </c>
      <c r="CZ15" s="26"/>
      <c r="DA15" s="32">
        <v>2.8619749999999997</v>
      </c>
      <c r="DB15" s="131">
        <f>+CR15+BV15+AH15</f>
        <v>2.8619750000000002</v>
      </c>
      <c r="DC15" s="59">
        <f>IF(ISERROR((CV15-DA15)/DA15),0,(CV15-DA15)/DA15)</f>
        <v>-0.924842110780143</v>
      </c>
      <c r="DD15" s="24"/>
      <c r="DE15" s="22">
        <v>3</v>
      </c>
      <c r="DF15" s="15">
        <f>DE15-CU15</f>
        <v>0</v>
      </c>
      <c r="DG15" s="99"/>
      <c r="DH15" s="92"/>
      <c r="DI15" s="24"/>
    </row>
    <row r="16" spans="1:113" ht="12.75" customHeight="1" thickBot="1" x14ac:dyDescent="0.25">
      <c r="A16" s="24"/>
      <c r="B16" s="31">
        <v>5000</v>
      </c>
      <c r="C16" s="194" t="s">
        <v>10</v>
      </c>
      <c r="D16" s="102"/>
      <c r="E16" s="193">
        <v>1</v>
      </c>
      <c r="F16" s="23">
        <f>IF(ISERROR(VLOOKUP($B16,[1]Hedef!$A$4:$ES$45409,25,0)),0,VLOOKUP($B16,[1]Hedef!$A$4:$ES$45409,25,0))+IF(ISERROR(VLOOKUP($B16,[1]Hedef!$A$4:$ES$45409,15,0)),0,VLOOKUP($B16,[1]Hedef!$A$4:$ES$45409,15,0))</f>
        <v>2.4674999999999999E-2</v>
      </c>
      <c r="G16" s="23">
        <f t="shared" si="51"/>
        <v>0.975325</v>
      </c>
      <c r="H16" s="80">
        <f t="shared" si="52"/>
        <v>0.02</v>
      </c>
      <c r="I16" s="24"/>
      <c r="J16" s="32">
        <v>0.82020000000000004</v>
      </c>
      <c r="K16" s="59">
        <f t="shared" si="53"/>
        <v>-0.96991587417702996</v>
      </c>
      <c r="L16" s="24"/>
      <c r="M16" s="44">
        <v>0.35</v>
      </c>
      <c r="N16" s="23">
        <f>IF(ISERROR(VLOOKUP($B16,[1]Hedef!$A$4:$ES$45409,41,0)),0,VLOOKUP($B16,[1]Hedef!$A$4:$ES$45409,41,0))</f>
        <v>3.5999999999999999E-3</v>
      </c>
      <c r="O16" s="23">
        <f>IF((M16-N16)&lt;0, "-", (M16-N16))</f>
        <v>0.34639999999999999</v>
      </c>
      <c r="P16" s="80">
        <f t="shared" si="54"/>
        <v>0.01</v>
      </c>
      <c r="Q16" s="92"/>
      <c r="R16" s="32">
        <v>0.28465000000000001</v>
      </c>
      <c r="S16" s="59">
        <f t="shared" si="45"/>
        <v>-0.98735288951343758</v>
      </c>
      <c r="T16" s="102"/>
      <c r="U16" s="22">
        <v>0.5</v>
      </c>
      <c r="V16" s="23">
        <f>IF(ISERROR(VLOOKUP($B16,[1]Hedef!$A$4:$ES$45409,45,0)),0,VLOOKUP($B16,[1]Hedef!$A$4:$ES$45409,45,0))+IF(ISERROR(VLOOKUP($B16,[1]Hedef!$A$4:$ES$45409,109,0)),0,VLOOKUP($B16,[1]Hedef!$A$4:$ES$45409,109,0))</f>
        <v>2.1599999999999998E-2</v>
      </c>
      <c r="W16" s="23">
        <f>IF((U16-V16)&lt;0, "-", (U16-V16))</f>
        <v>0.47839999999999999</v>
      </c>
      <c r="X16" s="80">
        <f t="shared" si="55"/>
        <v>0.04</v>
      </c>
      <c r="Y16" s="24"/>
      <c r="Z16" s="32">
        <v>0.40599999999999997</v>
      </c>
      <c r="AA16" s="59">
        <f t="shared" si="46"/>
        <v>-0.94679802955665027</v>
      </c>
      <c r="AB16" s="99"/>
      <c r="AC16" s="164">
        <v>1.85</v>
      </c>
      <c r="AD16" s="23">
        <f t="shared" si="25"/>
        <v>4.9874999999999996E-2</v>
      </c>
      <c r="AE16" s="23">
        <f>IF((AC16-AD16)&lt;0, "-", (AC16-AD16))</f>
        <v>1.8001250000000002</v>
      </c>
      <c r="AF16" s="80">
        <f t="shared" si="56"/>
        <v>0.02</v>
      </c>
      <c r="AG16" s="22">
        <f>AC16-U16-M16-E16</f>
        <v>0</v>
      </c>
      <c r="AH16" s="44">
        <f t="shared" si="27"/>
        <v>1.51085</v>
      </c>
      <c r="AI16" s="59">
        <f>IF(ISERROR((AD16-AH16)/AH16),0,(AD16-AH16)/AH16)</f>
        <v>-0.96698878114968401</v>
      </c>
      <c r="AJ16" s="24"/>
      <c r="AK16" s="22">
        <v>4.9000000000000004</v>
      </c>
      <c r="AL16" s="23">
        <f>IF(ISERROR(VLOOKUP($B16,[1]Hedef!$A$4:$ES$45409,97,0)),0,VLOOKUP($B16,[1]Hedef!$A$4:$ES$45409,97,0))</f>
        <v>0</v>
      </c>
      <c r="AM16" s="23">
        <f>IF((AK16-AL16)&lt;0, "-", (AK16-AL16))</f>
        <v>4.9000000000000004</v>
      </c>
      <c r="AN16" s="80">
        <f t="shared" si="57"/>
        <v>0</v>
      </c>
      <c r="AO16" s="24"/>
      <c r="AP16" s="32">
        <v>3.9404249999999998</v>
      </c>
      <c r="AQ16" s="59">
        <f t="shared" si="58"/>
        <v>-1</v>
      </c>
      <c r="AR16" s="24"/>
      <c r="AS16" s="22">
        <v>2.2999999999999998</v>
      </c>
      <c r="AT16" s="23">
        <f>IF(ISERROR(VLOOKUP($B16,[1]Hedef!$A$4:$ES$45409,57,0)),0,VLOOKUP($B16,[1]Hedef!$A$4:$ES$45409,57,0))</f>
        <v>8.0335000000000004E-2</v>
      </c>
      <c r="AU16" s="23">
        <f>IF((AS16-AT16)&lt;0, "-", (AS16-AT16))</f>
        <v>2.219665</v>
      </c>
      <c r="AV16" s="80">
        <f t="shared" si="59"/>
        <v>0.03</v>
      </c>
      <c r="AW16" s="24"/>
      <c r="AX16" s="32">
        <v>1.8261499999999999</v>
      </c>
      <c r="AY16" s="59">
        <f t="shared" si="48"/>
        <v>-0.95600854256222101</v>
      </c>
      <c r="AZ16" s="92"/>
      <c r="BA16" s="22">
        <v>0.05</v>
      </c>
      <c r="BB16" s="23">
        <f>IF(ISERROR(VLOOKUP($B16,[1]Hedef!$A$4:$ES$45409,99,0)),0,VLOOKUP($B16,[1]Hedef!$A$4:$ES$45409,99,0))</f>
        <v>2.4499999999999999E-3</v>
      </c>
      <c r="BC16" s="23">
        <f>IF((BA16-BB16)&lt;0, "-", (BA16-BB16))</f>
        <v>4.7550000000000002E-2</v>
      </c>
      <c r="BD16" s="80">
        <f t="shared" si="60"/>
        <v>0.04</v>
      </c>
      <c r="BE16" s="24"/>
      <c r="BF16" s="32">
        <v>7.4499999999999997E-2</v>
      </c>
      <c r="BG16" s="59">
        <f>IF(ISERROR((BB16-BF16)/BF16),0,(BB16-BF16)/BF16)</f>
        <v>-0.96711409395973158</v>
      </c>
      <c r="BH16" s="24"/>
      <c r="BI16" s="22">
        <v>1.7</v>
      </c>
      <c r="BJ16" s="23">
        <f>IF(ISERROR(VLOOKUP($B16,[1]Hedef!$A$4:$ES$45409,117,0)),0,VLOOKUP($B16,[1]Hedef!$A$4:$ES$45409,117,0))</f>
        <v>6.2340400000000004E-2</v>
      </c>
      <c r="BK16" s="23">
        <f>IF((BI16-BJ16)&lt;0, "-", (BI16-BJ16))</f>
        <v>1.6376595999999999</v>
      </c>
      <c r="BL16" s="80">
        <f t="shared" si="61"/>
        <v>0.03</v>
      </c>
      <c r="BM16" s="24"/>
      <c r="BN16" s="32">
        <v>1.358625</v>
      </c>
      <c r="BO16" s="59">
        <f t="shared" si="49"/>
        <v>-0.95411507958413833</v>
      </c>
      <c r="BP16" s="99"/>
      <c r="BQ16" s="22">
        <v>8.9499999999999993</v>
      </c>
      <c r="BR16" s="23">
        <f t="shared" si="32"/>
        <v>0.14512540000000002</v>
      </c>
      <c r="BS16" s="23">
        <f>IF((BQ16-BR16)&lt;0, "-", (BQ16-BR16))</f>
        <v>8.8048745999999998</v>
      </c>
      <c r="BT16" s="80">
        <f t="shared" si="62"/>
        <v>0.01</v>
      </c>
      <c r="BU16" s="22">
        <f t="shared" si="34"/>
        <v>0</v>
      </c>
      <c r="BV16" s="22">
        <f t="shared" si="35"/>
        <v>7.1997</v>
      </c>
      <c r="BW16" s="59">
        <f t="shared" si="50"/>
        <v>-0.97984285456338449</v>
      </c>
      <c r="BX16" s="183"/>
      <c r="BY16" s="22">
        <v>0.05</v>
      </c>
      <c r="BZ16" s="23">
        <f>IF(ISERROR(VLOOKUP($B16,[1]Hedef!$A$4:$ES$45409,71,0)),0,VLOOKUP($B16,[1]Hedef!$A$4:$ES$45409,71,0))</f>
        <v>4.0000000000000002E-4</v>
      </c>
      <c r="CA16" s="23">
        <f>IF((BY16-BZ16)&lt;0, "-", (BY16-BZ16))</f>
        <v>4.9600000000000005E-2</v>
      </c>
      <c r="CB16" s="80">
        <f t="shared" si="63"/>
        <v>0</v>
      </c>
      <c r="CC16" s="32">
        <v>3.9449999999999999E-2</v>
      </c>
      <c r="CD16" s="59">
        <f>IF(ISERROR((BZ16-CC16)/CC16),0,(BZ16-CC16)/CC16)</f>
        <v>-0.98986058301647661</v>
      </c>
      <c r="CE16" s="99"/>
      <c r="CF16" s="22">
        <v>0.15</v>
      </c>
      <c r="CG16" s="23">
        <f>IF(ISERROR(VLOOKUP($B16,[1]Hedef!$A$4:$ES$45409,87,0)),0,VLOOKUP($B16,[1]Hedef!$A$4:$ES$45409,87,0))</f>
        <v>4.9499999999999995E-3</v>
      </c>
      <c r="CH16" s="23">
        <f>IF((CF16-CG16)&lt;0, "-", (CF16-CG16))</f>
        <v>0.14504999999999998</v>
      </c>
      <c r="CI16" s="80">
        <f t="shared" si="64"/>
        <v>0.03</v>
      </c>
      <c r="CJ16" s="32">
        <v>0.13300000000000001</v>
      </c>
      <c r="CK16" s="59">
        <f>IF(ISERROR((CG16-CJ16)/CJ16),0,(CG16-CJ16)/CJ16)</f>
        <v>-0.96278195488721796</v>
      </c>
      <c r="CL16" s="99"/>
      <c r="CM16" s="22">
        <v>0.2</v>
      </c>
      <c r="CN16" s="23">
        <f>CG16+BZ16</f>
        <v>5.3499999999999997E-3</v>
      </c>
      <c r="CO16" s="23">
        <f>IF((CM16-CN16)&lt;0, "-", (CM16-CN16))</f>
        <v>0.19465000000000002</v>
      </c>
      <c r="CP16" s="80">
        <f t="shared" si="66"/>
        <v>0.02</v>
      </c>
      <c r="CQ16" s="134">
        <f>CM16-CF16-BY16</f>
        <v>0</v>
      </c>
      <c r="CR16" s="23">
        <f>+CJ16+CC16</f>
        <v>0.17244999999999999</v>
      </c>
      <c r="CS16" s="59">
        <f>IF(ISERROR((CN16-CR16)/CR16),0,(CN16-CR16)/CR16)</f>
        <v>-0.96897651493186432</v>
      </c>
      <c r="CT16" s="82"/>
      <c r="CU16" s="22">
        <f>CM16+AC16+BQ16</f>
        <v>11</v>
      </c>
      <c r="CV16" s="23">
        <f>IF(ISERROR(VLOOKUP($B16,[1]Hedef!$A$4:$ES$45409,127,0)),0,VLOOKUP($B16,[1]Hedef!$A$4:$ES$45409,127,0))</f>
        <v>0.20035040000000001</v>
      </c>
      <c r="CW16" s="159">
        <f>IF(ISERROR(VLOOKUP($B16,[1]Hedef!$A$4:$ES$45409,47,0)),0,VLOOKUP($B16,[1]Hedef!$A$4:$ES$45409,47,0))</f>
        <v>0.20045040000000003</v>
      </c>
      <c r="CX16" s="23">
        <f>IF((CU16-CV16)&lt;0, "-", (CU16-CV16))</f>
        <v>10.7996496</v>
      </c>
      <c r="CY16" s="80">
        <f t="shared" si="65"/>
        <v>0.01</v>
      </c>
      <c r="CZ16" s="26"/>
      <c r="DA16" s="32">
        <v>8.8830000000000009</v>
      </c>
      <c r="DB16" s="131">
        <f>+CR16+BV16+AH16</f>
        <v>8.8829999999999991</v>
      </c>
      <c r="DC16" s="59">
        <f>IF(ISERROR((CV16-DA16)/DA16),0,(CV16-DA16)/DA16)</f>
        <v>-0.97744563773499948</v>
      </c>
      <c r="DD16" s="24"/>
      <c r="DE16" s="22">
        <v>11</v>
      </c>
      <c r="DF16" s="15">
        <f>DE16-CU16</f>
        <v>0</v>
      </c>
      <c r="DG16" s="99"/>
      <c r="DH16" s="92"/>
      <c r="DI16" s="24"/>
    </row>
    <row r="17" spans="1:113" ht="12.75" customHeight="1" thickTop="1" thickBot="1" x14ac:dyDescent="0.25">
      <c r="A17" s="42"/>
      <c r="B17" s="71">
        <v>8</v>
      </c>
      <c r="C17" s="195" t="s">
        <v>11</v>
      </c>
      <c r="D17" s="102"/>
      <c r="E17" s="188">
        <f>SUM(E14:E16)</f>
        <v>2.73</v>
      </c>
      <c r="F17" s="67">
        <f>SUM(F14:F16)</f>
        <v>0.10457500000000002</v>
      </c>
      <c r="G17" s="67">
        <f>SUM(G14:G16)</f>
        <v>2.6254249999999999</v>
      </c>
      <c r="H17" s="39">
        <f>TRUNC(IF((F17/E17)&gt;1.2,"120%",(F17/E17)),2)</f>
        <v>0.03</v>
      </c>
      <c r="I17" s="42"/>
      <c r="J17" s="67"/>
      <c r="K17" s="60"/>
      <c r="L17" s="24"/>
      <c r="M17" s="67">
        <f>SUM(M14:M16)</f>
        <v>1.4900000000000002</v>
      </c>
      <c r="N17" s="67">
        <f>SUM(N14:N16)</f>
        <v>6.2549999999999994E-2</v>
      </c>
      <c r="O17" s="67">
        <f>SUM(O14:O16)</f>
        <v>1.4274500000000001</v>
      </c>
      <c r="P17" s="39">
        <f>TRUNC(IF((N17/M17)&gt;1.2,"120%",(N17/M17)),2)</f>
        <v>0.04</v>
      </c>
      <c r="Q17" s="42"/>
      <c r="R17" s="115"/>
      <c r="S17" s="60"/>
      <c r="T17" s="116"/>
      <c r="U17" s="67">
        <f>SUM(U14:U16)</f>
        <v>1.88</v>
      </c>
      <c r="V17" s="67">
        <f>SUM(V14:V16)</f>
        <v>0.13924999999999998</v>
      </c>
      <c r="W17" s="67">
        <f>SUM(W14:W16)</f>
        <v>1.74075</v>
      </c>
      <c r="X17" s="39">
        <f>TRUNC(IF((V17/U17)&gt;1.2,"120%",(V17/U17)),2)</f>
        <v>7.0000000000000007E-2</v>
      </c>
      <c r="Y17" s="42"/>
      <c r="Z17" s="67"/>
      <c r="AA17" s="60"/>
      <c r="AB17" s="99"/>
      <c r="AC17" s="67">
        <f>SUM(AC14:AC16)</f>
        <v>6.1</v>
      </c>
      <c r="AD17" s="67">
        <f>SUM(AD14:AD16)</f>
        <v>0.30637500000000001</v>
      </c>
      <c r="AE17" s="67">
        <f>SUM(AE14:AE16)</f>
        <v>5.7936250000000005</v>
      </c>
      <c r="AF17" s="39">
        <f>TRUNC(IF((AD17/AC17)&gt;1.2,"120%",(AD17/AC17)),2)</f>
        <v>0.05</v>
      </c>
      <c r="AG17" s="67"/>
      <c r="AH17" s="67"/>
      <c r="AI17" s="60"/>
      <c r="AJ17" s="42"/>
      <c r="AK17" s="67">
        <f>SUM(AK14:AK16)</f>
        <v>19.91</v>
      </c>
      <c r="AL17" s="67">
        <f>SUM(AL14:AL16)</f>
        <v>0</v>
      </c>
      <c r="AM17" s="67">
        <f>SUM(AM14:AM16)</f>
        <v>19.91</v>
      </c>
      <c r="AN17" s="39">
        <f>TRUNC(IF((AL17/AK17)&gt;1.2,"120%",(AL17/AK17)),2)</f>
        <v>0</v>
      </c>
      <c r="AO17" s="42"/>
      <c r="AP17" s="67"/>
      <c r="AQ17" s="60"/>
      <c r="AR17" s="42"/>
      <c r="AS17" s="67">
        <f>SUM(AS14:AS16)</f>
        <v>4.4000000000000004</v>
      </c>
      <c r="AT17" s="67">
        <f>SUM(AT14:AT16)</f>
        <v>0.15798499999999999</v>
      </c>
      <c r="AU17" s="67">
        <f>SUM(AU14:AU16)</f>
        <v>4.2420150000000003</v>
      </c>
      <c r="AV17" s="39">
        <f>TRUNC(IF((AT17/AS17)&gt;1.2,"120%",(AT17/AS17)),2)</f>
        <v>0.03</v>
      </c>
      <c r="AW17" s="42"/>
      <c r="AX17" s="67"/>
      <c r="AY17" s="60"/>
      <c r="AZ17" s="42"/>
      <c r="BA17" s="67">
        <f>SUM(BA14:BA16)</f>
        <v>0.65</v>
      </c>
      <c r="BB17" s="67">
        <f t="shared" ref="BB17" si="67">SUM(BB14:BB16)</f>
        <v>3.9300000000000002E-2</v>
      </c>
      <c r="BC17" s="67">
        <f>SUM(BC14:BC16)</f>
        <v>0.61070000000000002</v>
      </c>
      <c r="BD17" s="39">
        <f>TRUNC(IF((BB17/BA17)&gt;1.2,"120%",(BB17/BA17)),2)</f>
        <v>0.06</v>
      </c>
      <c r="BE17" s="42"/>
      <c r="BF17" s="67"/>
      <c r="BG17" s="60"/>
      <c r="BH17" s="42"/>
      <c r="BI17" s="67">
        <f>SUM(BI14:BI16)</f>
        <v>3.6399999999999997</v>
      </c>
      <c r="BJ17" s="67">
        <f>SUM(BJ14:BJ16)</f>
        <v>0.16214040000000002</v>
      </c>
      <c r="BK17" s="67">
        <f>SUM(BK14:BK16)</f>
        <v>3.4778595999999999</v>
      </c>
      <c r="BL17" s="39">
        <f>TRUNC(IF((BJ17/BI17)&gt;1.2,"120%",(BJ17/BI17)),2)</f>
        <v>0.04</v>
      </c>
      <c r="BM17" s="42"/>
      <c r="BN17" s="67"/>
      <c r="BO17" s="60"/>
      <c r="BP17" s="99"/>
      <c r="BQ17" s="67">
        <f>SUM(BQ14:BQ16)</f>
        <v>28.6</v>
      </c>
      <c r="BR17" s="67">
        <f>SUM(BR14:BR16)</f>
        <v>0.35942540000000001</v>
      </c>
      <c r="BS17" s="67">
        <f>SUM(BS14:BS16)</f>
        <v>28.240574600000002</v>
      </c>
      <c r="BT17" s="39">
        <f>TRUNC(IF((BR17/BQ17)&gt;1.2,"120%",(BR17/BQ17)),2)</f>
        <v>0.01</v>
      </c>
      <c r="BU17" s="67"/>
      <c r="BV17" s="67"/>
      <c r="BW17" s="60"/>
      <c r="BX17" s="183"/>
      <c r="BY17" s="67">
        <f>SUM(BY14:BY16)</f>
        <v>0.48000000000000004</v>
      </c>
      <c r="BZ17" s="67">
        <f>SUM(BZ14:BZ16)</f>
        <v>4.6199999999999991E-2</v>
      </c>
      <c r="CA17" s="67">
        <f>SUM(CA14:CA16)</f>
        <v>0.43379999999999996</v>
      </c>
      <c r="CB17" s="39">
        <f>TRUNC(IF((BZ17/BY17)&gt;1.2,"120%",(BZ17/BY17)),2)</f>
        <v>0.09</v>
      </c>
      <c r="CC17" s="67"/>
      <c r="CD17" s="60"/>
      <c r="CE17" s="99"/>
      <c r="CF17" s="67">
        <f>SUM(CF14:CF16)</f>
        <v>0.82</v>
      </c>
      <c r="CG17" s="67">
        <f>SUM(CG14:CG16)</f>
        <v>4.36E-2</v>
      </c>
      <c r="CH17" s="67">
        <f>SUM(CH14:CH16)</f>
        <v>0.77639999999999998</v>
      </c>
      <c r="CI17" s="39">
        <f>TRUNC(IF((CG17/CF17)&gt;1.2,"120%",(CG17/CF17)),2)</f>
        <v>0.05</v>
      </c>
      <c r="CJ17" s="67"/>
      <c r="CK17" s="60"/>
      <c r="CL17" s="99"/>
      <c r="CM17" s="67">
        <f>SUM(CM14:CM16)</f>
        <v>1.3</v>
      </c>
      <c r="CN17" s="67">
        <f>SUM(CN14:CN16)</f>
        <v>8.9799999999999991E-2</v>
      </c>
      <c r="CO17" s="67">
        <f>SUM(CO14:CO16)</f>
        <v>1.2101999999999999</v>
      </c>
      <c r="CP17" s="39">
        <f>TRUNC(IF((CN17/CM17)&gt;1.2,"120%",(CN17/CM17)),2)</f>
        <v>0.06</v>
      </c>
      <c r="CQ17" s="67"/>
      <c r="CR17" s="67"/>
      <c r="CS17" s="60"/>
      <c r="CT17" s="83"/>
      <c r="CU17" s="67">
        <f>SUM(CU14:CU16)</f>
        <v>36</v>
      </c>
      <c r="CV17" s="67">
        <f>SUM(CV14:CV16)</f>
        <v>0.75560040000000006</v>
      </c>
      <c r="CW17" s="160">
        <f>SUM(CW14:CW16)</f>
        <v>0.75570040000000005</v>
      </c>
      <c r="CX17" s="67">
        <f>SUM(CX14:CX16)</f>
        <v>35.244399600000001</v>
      </c>
      <c r="CY17" s="39">
        <f>TRUNC(IF((CV17/CU17)&gt;1.2,"120%",(CV17/CU17)),2)</f>
        <v>0.02</v>
      </c>
      <c r="CZ17" s="43"/>
      <c r="DA17" s="67"/>
      <c r="DB17" s="67"/>
      <c r="DC17" s="60"/>
      <c r="DD17" s="42"/>
      <c r="DE17" s="67">
        <f>SUM(DE14:DE16)</f>
        <v>36</v>
      </c>
      <c r="DF17" s="8"/>
      <c r="DG17" s="99"/>
      <c r="DH17" s="92"/>
      <c r="DI17" s="42"/>
    </row>
    <row r="18" spans="1:113" ht="12.75" customHeight="1" thickTop="1" x14ac:dyDescent="0.2">
      <c r="A18" s="24"/>
      <c r="B18" s="31">
        <v>1000</v>
      </c>
      <c r="C18" s="194" t="s">
        <v>105</v>
      </c>
      <c r="D18" s="102"/>
      <c r="E18" s="193">
        <v>0.72</v>
      </c>
      <c r="F18" s="23">
        <f>IF(ISERROR(VLOOKUP($B18,[1]Hedef!$A$4:$ES$45409,25,0)),0,VLOOKUP($B18,[1]Hedef!$A$4:$ES$45409,25,0))+IF(ISERROR(VLOOKUP($B18,[1]Hedef!$A$4:$ES$45409,15,0)),0,VLOOKUP($B18,[1]Hedef!$A$4:$ES$45409,15,0))</f>
        <v>2.2068000000000001E-2</v>
      </c>
      <c r="G18" s="23">
        <f t="shared" ref="G18:G19" si="68">IF((E18-F18)&lt;0, "-", (E18-F18))</f>
        <v>0.697932</v>
      </c>
      <c r="H18" s="80">
        <f t="shared" ref="H18:H29" si="69">TRUNC(IF((F18/E18)&gt;1.2,"120%",(F18/E18)),2)</f>
        <v>0.03</v>
      </c>
      <c r="I18" s="24"/>
      <c r="J18" s="32">
        <v>0.68110999999999999</v>
      </c>
      <c r="K18" s="59">
        <f>IF(ISERROR((F18-J18)/J18),0,(F18-J18)/J18)</f>
        <v>-0.96759994714510145</v>
      </c>
      <c r="L18" s="24"/>
      <c r="M18" s="44">
        <v>1.1299999999999999</v>
      </c>
      <c r="N18" s="23">
        <f>IF(ISERROR(VLOOKUP($B18,[1]Hedef!$A$4:$ES$45409,41,0)),0,VLOOKUP($B18,[1]Hedef!$A$4:$ES$45409,41,0))</f>
        <v>2.9937999999999999E-2</v>
      </c>
      <c r="O18" s="23">
        <f>IF((M18-N18)&lt;0, "-", (M18-N18))</f>
        <v>1.1000619999999999</v>
      </c>
      <c r="P18" s="80">
        <f t="shared" ref="P18:P29" si="70">TRUNC(IF((N18/M18)&gt;1.2,"120%",(N18/M18)),2)</f>
        <v>0.02</v>
      </c>
      <c r="Q18" s="92"/>
      <c r="R18" s="32">
        <v>1.0917715999999997</v>
      </c>
      <c r="S18" s="59">
        <f>IF(ISERROR((N18-R18)/R18),0,(N18-R18)/R18)</f>
        <v>-0.97257851367447179</v>
      </c>
      <c r="T18" s="102"/>
      <c r="U18" s="22">
        <v>1.45</v>
      </c>
      <c r="V18" s="23">
        <f>IF(ISERROR(VLOOKUP($B18,[1]Hedef!$A$4:$ES$45409,45,0)),0,VLOOKUP($B18,[1]Hedef!$A$4:$ES$45409,45,0))+IF(ISERROR(VLOOKUP($B18,[1]Hedef!$A$4:$ES$45409,109,0)),0,VLOOKUP($B18,[1]Hedef!$A$4:$ES$45409,109,0))</f>
        <v>5.0733199999999999E-2</v>
      </c>
      <c r="W18" s="23">
        <f>IF((U18-V18)&lt;0, "-", (U18-V18))</f>
        <v>1.3992667999999999</v>
      </c>
      <c r="X18" s="80">
        <f t="shared" ref="X18:X29" si="71">TRUNC(IF((V18/U18)&gt;1.2,"120%",(V18/U18)),2)</f>
        <v>0.03</v>
      </c>
      <c r="Y18" s="24"/>
      <c r="Z18" s="32">
        <v>1.4130095999999996</v>
      </c>
      <c r="AA18" s="59">
        <f>IF(ISERROR((V18-Z18)/Z18),0,(V18-Z18)/Z18)</f>
        <v>-0.96409564379463519</v>
      </c>
      <c r="AB18" s="99"/>
      <c r="AC18" s="164">
        <v>3.3</v>
      </c>
      <c r="AD18" s="23">
        <f t="shared" si="25"/>
        <v>0.1027392</v>
      </c>
      <c r="AE18" s="23">
        <f>IF((AC18-AD18)&lt;0, "-", (AC18-AD18))</f>
        <v>3.1972608</v>
      </c>
      <c r="AF18" s="80">
        <f t="shared" ref="AF18:AF29" si="72">TRUNC(IF((AD18/AC18)&gt;1.2,"120%",(AD18/AC18)),2)</f>
        <v>0.03</v>
      </c>
      <c r="AG18" s="22">
        <f>AC18-U18-M18-E18</f>
        <v>0</v>
      </c>
      <c r="AH18" s="44">
        <f t="shared" si="27"/>
        <v>3.185891199999999</v>
      </c>
      <c r="AI18" s="59">
        <f>IF(ISERROR((AD18-AH18)/AH18),0,(AD18-AH18)/AH18)</f>
        <v>-0.96775181776452379</v>
      </c>
      <c r="AJ18" s="92"/>
      <c r="AK18" s="22">
        <v>0.41</v>
      </c>
      <c r="AL18" s="23">
        <f>IF(ISERROR(VLOOKUP($B18,[1]Hedef!$A$4:$ES$45409,97,0)),0,VLOOKUP($B18,[1]Hedef!$A$4:$ES$45409,97,0))</f>
        <v>0</v>
      </c>
      <c r="AM18" s="23">
        <f>IF((AK18-AL18)&lt;0, "-", (AK18-AL18))</f>
        <v>0.41</v>
      </c>
      <c r="AN18" s="80">
        <f t="shared" ref="AN18:AN29" si="73">TRUNC(IF((AL18/AK18)&gt;1.2,"120%",(AL18/AK18)),2)</f>
        <v>0</v>
      </c>
      <c r="AO18" s="24"/>
      <c r="AP18" s="32">
        <v>0.40646399999999999</v>
      </c>
      <c r="AQ18" s="59">
        <f>IF(ISERROR((AL18-AP18)/AP18),0,(AL18-AP18)/AP18)</f>
        <v>-1</v>
      </c>
      <c r="AR18" s="24"/>
      <c r="AS18" s="22">
        <v>0.26</v>
      </c>
      <c r="AT18" s="23">
        <f>IF(ISERROR(VLOOKUP($B18,[1]Hedef!$A$4:$ES$45409,57,0)),0,VLOOKUP($B18,[1]Hedef!$A$4:$ES$45409,57,0))</f>
        <v>2.0313600000000001E-2</v>
      </c>
      <c r="AU18" s="23">
        <f>IF((AS18-AT18)&lt;0, "-", (AS18-AT18))</f>
        <v>0.23968640000000002</v>
      </c>
      <c r="AV18" s="80">
        <f t="shared" ref="AV18:AV29" si="74">TRUNC(IF((AT18/AS18)&gt;1.2,"120%",(AT18/AS18)),2)</f>
        <v>7.0000000000000007E-2</v>
      </c>
      <c r="AW18" s="24"/>
      <c r="AX18" s="32">
        <v>0.25782959999999999</v>
      </c>
      <c r="AY18" s="59">
        <f>IF(ISERROR((AT18-AX18)/AX18),0,(AT18-AX18)/AX18)</f>
        <v>-0.92121308026696702</v>
      </c>
      <c r="AZ18" s="92"/>
      <c r="BA18" s="22">
        <v>0.8</v>
      </c>
      <c r="BB18" s="23">
        <f>IF(ISERROR(VLOOKUP($B18,[1]Hedef!$A$4:$ES$45409,99,0)),0,VLOOKUP($B18,[1]Hedef!$A$4:$ES$45409,99,0))</f>
        <v>6.4970399999999998E-2</v>
      </c>
      <c r="BC18" s="23">
        <f>IF((BA18-BB18)&lt;0, "-", (BA18-BB18))</f>
        <v>0.73502960000000006</v>
      </c>
      <c r="BD18" s="80">
        <f t="shared" ref="BD18:BD29" si="75">TRUNC(IF((BB18/BA18)&gt;1.2,"120%",(BB18/BA18)),2)</f>
        <v>0.08</v>
      </c>
      <c r="BE18" s="24"/>
      <c r="BF18" s="32">
        <v>0.79411120000000013</v>
      </c>
      <c r="BG18" s="59">
        <f>IF(ISERROR((BB18-BF18)/BF18),0,(BB18-BF18)/BF18)</f>
        <v>-0.91818475800366506</v>
      </c>
      <c r="BH18" s="24"/>
      <c r="BI18" s="22">
        <v>0.38</v>
      </c>
      <c r="BJ18" s="23">
        <f>IF(ISERROR(VLOOKUP($B18,[1]Hedef!$A$4:$ES$45409,117,0)),0,VLOOKUP($B18,[1]Hedef!$A$4:$ES$45409,117,0))</f>
        <v>4.9593999999999992E-2</v>
      </c>
      <c r="BK18" s="23">
        <f>IF((BI18-BJ18)&lt;0, "-", (BI18-BJ18))</f>
        <v>0.33040600000000003</v>
      </c>
      <c r="BL18" s="80">
        <f t="shared" ref="BL18:BL29" si="76">TRUNC(IF((BJ18/BI18)&gt;1.2,"120%",(BJ18/BI18)),2)</f>
        <v>0.13</v>
      </c>
      <c r="BM18" s="24"/>
      <c r="BN18" s="32">
        <v>0.37655240000000012</v>
      </c>
      <c r="BO18" s="59">
        <f>IF(ISERROR((BJ18-BN18)/BN18),0,(BJ18-BN18)/BN18)</f>
        <v>-0.8682945587387042</v>
      </c>
      <c r="BP18" s="99"/>
      <c r="BQ18" s="22">
        <v>1.85</v>
      </c>
      <c r="BR18" s="23">
        <f t="shared" si="32"/>
        <v>0.134878</v>
      </c>
      <c r="BS18" s="23">
        <f>IF((BQ18-BR18)&lt;0, "-", (BQ18-BR18))</f>
        <v>1.715122</v>
      </c>
      <c r="BT18" s="80">
        <f t="shared" ref="BT18:BT29" si="77">TRUNC(IF((BR18/BQ18)&gt;1.2,"120%",(BR18/BQ18)),2)</f>
        <v>7.0000000000000007E-2</v>
      </c>
      <c r="BU18" s="22">
        <f t="shared" si="34"/>
        <v>0</v>
      </c>
      <c r="BV18" s="22">
        <f t="shared" si="35"/>
        <v>1.8349572000000001</v>
      </c>
      <c r="BW18" s="59">
        <f>IF(ISERROR((BR18-BV18)/BV18),0,(BR18-BV18)/BV18)</f>
        <v>-0.92649528828247329</v>
      </c>
      <c r="BX18" s="183"/>
      <c r="BY18" s="22">
        <v>1.43</v>
      </c>
      <c r="BZ18" s="23">
        <f>IF(ISERROR(VLOOKUP($B18,[1]Hedef!$A$4:$ES$45409,71,0)),0,VLOOKUP($B18,[1]Hedef!$A$4:$ES$45409,71,0))</f>
        <v>0.13045000000000001</v>
      </c>
      <c r="CA18" s="23">
        <f>IF((BY18-BZ18)&lt;0, "-", (BY18-BZ18))</f>
        <v>1.29955</v>
      </c>
      <c r="CB18" s="80">
        <f t="shared" ref="CB18:CB29" si="78">TRUNC(IF((BZ18/BY18)&gt;1.2,"120%",(BZ18/BY18)),2)</f>
        <v>0.09</v>
      </c>
      <c r="CC18" s="32">
        <v>1.3829284000000008</v>
      </c>
      <c r="CD18" s="59">
        <f>IF(ISERROR((BZ18-CC18)/CC18),0,(BZ18-CC18)/CC18)</f>
        <v>-0.90567118297664584</v>
      </c>
      <c r="CE18" s="99"/>
      <c r="CF18" s="22">
        <v>1.42</v>
      </c>
      <c r="CG18" s="23">
        <f>IF(ISERROR(VLOOKUP($B18,[1]Hedef!$A$4:$ES$45409,87,0)),0,VLOOKUP($B18,[1]Hedef!$A$4:$ES$45409,87,0))</f>
        <v>7.2683999999999999E-2</v>
      </c>
      <c r="CH18" s="23">
        <f>IF((CF18-CG18)&lt;0, "-", (CF18-CG18))</f>
        <v>1.347316</v>
      </c>
      <c r="CI18" s="80">
        <f t="shared" ref="CI18:CI29" si="79">TRUNC(IF((CG18/CF18)&gt;1.2,"120%",(CG18/CF18)),2)</f>
        <v>0.05</v>
      </c>
      <c r="CJ18" s="32">
        <v>1.3743052000000033</v>
      </c>
      <c r="CK18" s="59">
        <f>IF(ISERROR((CG18-CJ18)/CJ18),0,(CG18-CJ18)/CJ18)</f>
        <v>-0.94711218439688671</v>
      </c>
      <c r="CL18" s="99"/>
      <c r="CM18" s="22">
        <v>2.85</v>
      </c>
      <c r="CN18" s="23">
        <f>CG18+BZ18</f>
        <v>0.20313400000000001</v>
      </c>
      <c r="CO18" s="23">
        <f>IF((CM18-CN18)&lt;0, "-", (CM18-CN18))</f>
        <v>2.6468660000000002</v>
      </c>
      <c r="CP18" s="80">
        <f t="shared" ref="CP18:CP29" si="80">TRUNC(IF((CN18/CM18)&gt;1.2,"120%",(CN18/CM18)),2)</f>
        <v>7.0000000000000007E-2</v>
      </c>
      <c r="CQ18" s="123">
        <f>CM18-CF18-BY18</f>
        <v>0</v>
      </c>
      <c r="CR18" s="23">
        <f>+CJ18+CC18</f>
        <v>2.7572336000000042</v>
      </c>
      <c r="CS18" s="59">
        <f>IF(ISERROR((CN18-CR18)/CR18),0,(CN18-CR18)/CR18)</f>
        <v>-0.92632688068214475</v>
      </c>
      <c r="CT18" s="82"/>
      <c r="CU18" s="22">
        <f>CM18+AC18+BQ18</f>
        <v>8</v>
      </c>
      <c r="CV18" s="23">
        <f>IF(ISERROR(VLOOKUP($B18,[1]Hedef!$A$4:$ES$45409,127,0)),0,VLOOKUP($B18,[1]Hedef!$A$4:$ES$45409,127,0))</f>
        <v>0.44075119999999995</v>
      </c>
      <c r="CW18" s="159">
        <f>IF(ISERROR(VLOOKUP($B18,[1]Hedef!$A$4:$ES$45409,47,0)),0,VLOOKUP($B18,[1]Hedef!$A$4:$ES$45409,47,0))</f>
        <v>0.44079920000000006</v>
      </c>
      <c r="CX18" s="23">
        <f>IF((CU18-CV18)&lt;0, "-", (CU18-CV18))</f>
        <v>7.5592487999999998</v>
      </c>
      <c r="CY18" s="80">
        <f t="shared" ref="CY18:CY29" si="81">TRUNC(IF((CV18/CU18)&gt;1.2,"120%",(CV18/CU18)),2)</f>
        <v>0.05</v>
      </c>
      <c r="CZ18" s="26"/>
      <c r="DA18" s="32">
        <v>7.7780819999999693</v>
      </c>
      <c r="DB18" s="131">
        <f>+CR18+BV18+AH18</f>
        <v>7.778082000000003</v>
      </c>
      <c r="DC18" s="59">
        <f>IF(ISERROR((CV18-DA18)/DA18),0,(CV18-DA18)/DA18)</f>
        <v>-0.94333420501352361</v>
      </c>
      <c r="DD18" s="24"/>
      <c r="DE18" s="22">
        <v>8</v>
      </c>
      <c r="DF18" s="15">
        <f>DE18-CU18</f>
        <v>0</v>
      </c>
      <c r="DG18" s="99"/>
      <c r="DH18" s="92"/>
      <c r="DI18" s="24"/>
    </row>
    <row r="19" spans="1:113" ht="12.75" customHeight="1" thickBot="1" x14ac:dyDescent="0.25">
      <c r="A19" s="24"/>
      <c r="B19" s="31">
        <v>2000</v>
      </c>
      <c r="C19" s="194" t="s">
        <v>12</v>
      </c>
      <c r="D19" s="102"/>
      <c r="E19" s="193">
        <v>0.13</v>
      </c>
      <c r="F19" s="23">
        <f>IF(ISERROR(VLOOKUP($B19,[1]Hedef!$A$4:$ES$45409,25,0)),0,VLOOKUP($B19,[1]Hedef!$A$4:$ES$45409,25,0))+IF(ISERROR(VLOOKUP($B19,[1]Hedef!$A$4:$ES$45409,15,0)),0,VLOOKUP($B19,[1]Hedef!$A$4:$ES$45409,15,0))</f>
        <v>1.49E-2</v>
      </c>
      <c r="G19" s="23">
        <f t="shared" si="68"/>
        <v>0.11510000000000001</v>
      </c>
      <c r="H19" s="80">
        <f t="shared" si="69"/>
        <v>0.11</v>
      </c>
      <c r="I19" s="24"/>
      <c r="J19" s="32">
        <v>0.10031500000000002</v>
      </c>
      <c r="K19" s="59">
        <f>IF(ISERROR((F19-J19)/J19),0,(F19-J19)/J19)</f>
        <v>-0.85146787619000153</v>
      </c>
      <c r="L19" s="24"/>
      <c r="M19" s="44">
        <v>0.57999999999999996</v>
      </c>
      <c r="N19" s="23">
        <f>IF(ISERROR(VLOOKUP($B19,[1]Hedef!$A$4:$ES$45409,41,0)),0,VLOOKUP($B19,[1]Hedef!$A$4:$ES$45409,41,0))</f>
        <v>2.1444999999999999E-2</v>
      </c>
      <c r="O19" s="23">
        <f>IF((M19-N19)&lt;0, "-", (M19-N19))</f>
        <v>0.55855499999999991</v>
      </c>
      <c r="P19" s="80">
        <f t="shared" si="70"/>
        <v>0.03</v>
      </c>
      <c r="Q19" s="92"/>
      <c r="R19" s="32">
        <v>0.44731999999999983</v>
      </c>
      <c r="S19" s="59">
        <f>IF(ISERROR((N19-R19)/R19),0,(N19-R19)/R19)</f>
        <v>-0.95205892873110975</v>
      </c>
      <c r="T19" s="102"/>
      <c r="U19" s="22">
        <v>0.84</v>
      </c>
      <c r="V19" s="23">
        <f>IF(ISERROR(VLOOKUP($B19,[1]Hedef!$A$4:$ES$45409,45,0)),0,VLOOKUP($B19,[1]Hedef!$A$4:$ES$45409,45,0))+IF(ISERROR(VLOOKUP($B19,[1]Hedef!$A$4:$ES$45409,109,0)),0,VLOOKUP($B19,[1]Hedef!$A$4:$ES$45409,109,0))</f>
        <v>4.3213000000000008E-2</v>
      </c>
      <c r="W19" s="23">
        <f>IF((U19-V19)&lt;0, "-", (U19-V19))</f>
        <v>0.79678699999999991</v>
      </c>
      <c r="X19" s="80">
        <f t="shared" si="71"/>
        <v>0.05</v>
      </c>
      <c r="Y19" s="24"/>
      <c r="Z19" s="32">
        <v>0.64503900000000003</v>
      </c>
      <c r="AA19" s="59">
        <f>IF(ISERROR((V19-Z19)/Z19),0,(V19-Z19)/Z19)</f>
        <v>-0.93300715150556779</v>
      </c>
      <c r="AB19" s="99"/>
      <c r="AC19" s="164">
        <v>1.55</v>
      </c>
      <c r="AD19" s="23">
        <f t="shared" si="25"/>
        <v>7.9558000000000004E-2</v>
      </c>
      <c r="AE19" s="23">
        <f>IF((AC19-AD19)&lt;0, "-", (AC19-AD19))</f>
        <v>1.470442</v>
      </c>
      <c r="AF19" s="80">
        <f t="shared" si="72"/>
        <v>0.05</v>
      </c>
      <c r="AG19" s="22">
        <f>AC19-U19-M19-E19</f>
        <v>0</v>
      </c>
      <c r="AH19" s="44">
        <f t="shared" si="27"/>
        <v>1.1926739999999998</v>
      </c>
      <c r="AI19" s="59">
        <f>IF(ISERROR((AD19-AH19)/AH19),0,(AD19-AH19)/AH19)</f>
        <v>-0.93329442915666805</v>
      </c>
      <c r="AJ19" s="24"/>
      <c r="AK19" s="22">
        <v>0.08</v>
      </c>
      <c r="AL19" s="23">
        <f>IF(ISERROR(VLOOKUP($B19,[1]Hedef!$A$4:$ES$45409,97,0)),0,VLOOKUP($B19,[1]Hedef!$A$4:$ES$45409,97,0))</f>
        <v>0</v>
      </c>
      <c r="AM19" s="47">
        <f>IF((AK19-AL19)&lt;0, "-", (AK19-AL19))</f>
        <v>0.08</v>
      </c>
      <c r="AN19" s="80">
        <f t="shared" si="73"/>
        <v>0</v>
      </c>
      <c r="AO19" s="24"/>
      <c r="AP19" s="32">
        <v>6.1031999999999996E-2</v>
      </c>
      <c r="AQ19" s="59">
        <f>IF(ISERROR((AL19-AP19)/AP19),0,(AL19-AP19)/AP19)</f>
        <v>-1</v>
      </c>
      <c r="AR19" s="24"/>
      <c r="AS19" s="22">
        <v>0.12</v>
      </c>
      <c r="AT19" s="23">
        <f>IF(ISERROR(VLOOKUP($B19,[1]Hedef!$A$4:$ES$45409,57,0)),0,VLOOKUP($B19,[1]Hedef!$A$4:$ES$45409,57,0))</f>
        <v>7.5300000000000002E-3</v>
      </c>
      <c r="AU19" s="47">
        <f>IF((AS19-AT19)&lt;0, "-", (AS19-AT19))</f>
        <v>0.11247</v>
      </c>
      <c r="AV19" s="80">
        <f t="shared" si="74"/>
        <v>0.06</v>
      </c>
      <c r="AW19" s="24"/>
      <c r="AX19" s="32">
        <v>8.5103999999999999E-2</v>
      </c>
      <c r="AY19" s="59">
        <f>IF(ISERROR((AT19-AX19)/AX19),0,(AT19-AX19)/AX19)</f>
        <v>-0.9115200225606318</v>
      </c>
      <c r="AZ19" s="92"/>
      <c r="BA19" s="22">
        <v>0.27</v>
      </c>
      <c r="BB19" s="23">
        <f>IF(ISERROR(VLOOKUP($B19,[1]Hedef!$A$4:$ES$45409,99,0)),0,VLOOKUP($B19,[1]Hedef!$A$4:$ES$45409,99,0))</f>
        <v>3.2885000000000005E-2</v>
      </c>
      <c r="BC19" s="23">
        <f>IF((BA19-BB19)&lt;0, "-", (BA19-BB19))</f>
        <v>0.23711500000000002</v>
      </c>
      <c r="BD19" s="80">
        <f t="shared" si="75"/>
        <v>0.12</v>
      </c>
      <c r="BE19" s="24"/>
      <c r="BF19" s="32">
        <v>0.19714699999999993</v>
      </c>
      <c r="BG19" s="59">
        <f>IF(ISERROR((BB19-BF19)/BF19),0,(BB19-BF19)/BF19)</f>
        <v>-0.83319553429674298</v>
      </c>
      <c r="BH19" s="24"/>
      <c r="BI19" s="22">
        <v>0.18</v>
      </c>
      <c r="BJ19" s="23">
        <f>IF(ISERROR(VLOOKUP($B19,[1]Hedef!$A$4:$ES$45409,117,0)),0,VLOOKUP($B19,[1]Hedef!$A$4:$ES$45409,117,0))</f>
        <v>1.6364999999999998E-2</v>
      </c>
      <c r="BK19" s="23">
        <f>IF((BI19-BJ19)&lt;0, "-", (BI19-BJ19))</f>
        <v>0.163635</v>
      </c>
      <c r="BL19" s="80">
        <f t="shared" si="76"/>
        <v>0.09</v>
      </c>
      <c r="BM19" s="24"/>
      <c r="BN19" s="32">
        <v>0.12618299999999999</v>
      </c>
      <c r="BO19" s="59">
        <f>IF(ISERROR((BJ19-BN19)/BN19),0,(BJ19-BN19)/BN19)</f>
        <v>-0.87030741066546213</v>
      </c>
      <c r="BP19" s="99"/>
      <c r="BQ19" s="22">
        <v>0.65</v>
      </c>
      <c r="BR19" s="23">
        <f t="shared" si="32"/>
        <v>5.6780000000000004E-2</v>
      </c>
      <c r="BS19" s="23">
        <f>IF((BQ19-BR19)&lt;0, "-", (BQ19-BR19))</f>
        <v>0.59321999999999997</v>
      </c>
      <c r="BT19" s="80">
        <f t="shared" si="77"/>
        <v>0.08</v>
      </c>
      <c r="BU19" s="22">
        <f t="shared" si="34"/>
        <v>0</v>
      </c>
      <c r="BV19" s="22">
        <f t="shared" si="35"/>
        <v>0.46946599999999988</v>
      </c>
      <c r="BW19" s="59">
        <f>IF(ISERROR((BR19-BV19)/BV19),0,(BR19-BV19)/BV19)</f>
        <v>-0.87905407420345671</v>
      </c>
      <c r="BX19" s="183"/>
      <c r="BY19" s="22">
        <v>0.34</v>
      </c>
      <c r="BZ19" s="23">
        <f>IF(ISERROR(VLOOKUP($B19,[1]Hedef!$A$4:$ES$45409,71,0)),0,VLOOKUP($B19,[1]Hedef!$A$4:$ES$45409,71,0))</f>
        <v>3.7119999999999993E-2</v>
      </c>
      <c r="CA19" s="23">
        <f>IF((BY19-BZ19)&lt;0, "-", (BY19-BZ19))</f>
        <v>0.30288000000000004</v>
      </c>
      <c r="CB19" s="80">
        <f t="shared" si="78"/>
        <v>0.1</v>
      </c>
      <c r="CC19" s="32">
        <v>0.26971600000000001</v>
      </c>
      <c r="CD19" s="59">
        <f>IF(ISERROR((BZ19-CC19)/CC19),0,(BZ19-CC19)/CC19)</f>
        <v>-0.8623737560990079</v>
      </c>
      <c r="CE19" s="99"/>
      <c r="CF19" s="22">
        <v>0.46</v>
      </c>
      <c r="CG19" s="23">
        <f>IF(ISERROR(VLOOKUP($B19,[1]Hedef!$A$4:$ES$45409,87,0)),0,VLOOKUP($B19,[1]Hedef!$A$4:$ES$45409,87,0))</f>
        <v>4.2679999999999996E-2</v>
      </c>
      <c r="CH19" s="23">
        <f>IF((CF19-CG19)&lt;0, "-", (CF19-CG19))</f>
        <v>0.41732000000000002</v>
      </c>
      <c r="CI19" s="80">
        <f t="shared" si="79"/>
        <v>0.09</v>
      </c>
      <c r="CJ19" s="32">
        <v>0.36031800000000003</v>
      </c>
      <c r="CK19" s="59">
        <f>IF(ISERROR((CG19-CJ19)/CJ19),0,(CG19-CJ19)/CJ19)</f>
        <v>-0.88154907609389488</v>
      </c>
      <c r="CL19" s="99"/>
      <c r="CM19" s="22">
        <v>0.8</v>
      </c>
      <c r="CN19" s="23">
        <f>CG19+BZ19</f>
        <v>7.9799999999999982E-2</v>
      </c>
      <c r="CO19" s="23">
        <f>IF((CM19-CN19)&lt;0, "-", (CM19-CN19))</f>
        <v>0.72020000000000006</v>
      </c>
      <c r="CP19" s="80">
        <f t="shared" si="80"/>
        <v>0.09</v>
      </c>
      <c r="CQ19" s="123">
        <f>CM19-CF19-BY19</f>
        <v>0</v>
      </c>
      <c r="CR19" s="23">
        <f>+CJ19+CC19</f>
        <v>0.63003399999999998</v>
      </c>
      <c r="CS19" s="59">
        <f>IF(ISERROR((CN19-CR19)/CR19),0,(CN19-CR19)/CR19)</f>
        <v>-0.87334016894326338</v>
      </c>
      <c r="CT19" s="82"/>
      <c r="CU19" s="22">
        <f>CM19+AC19+BQ19</f>
        <v>3</v>
      </c>
      <c r="CV19" s="23">
        <f>IF(ISERROR(VLOOKUP($B19,[1]Hedef!$A$4:$ES$45409,127,0)),0,VLOOKUP($B19,[1]Hedef!$A$4:$ES$45409,127,0))</f>
        <v>0.21613799999999997</v>
      </c>
      <c r="CW19" s="159">
        <f>IF(ISERROR(VLOOKUP($B19,[1]Hedef!$A$4:$ES$45409,47,0)),0,VLOOKUP($B19,[1]Hedef!$A$4:$ES$45409,47,0))</f>
        <v>0.21618799999999996</v>
      </c>
      <c r="CX19" s="23">
        <f>IF((CU19-CV19)&lt;0, "-", (CU19-CV19))</f>
        <v>2.7838620000000001</v>
      </c>
      <c r="CY19" s="80">
        <f t="shared" si="81"/>
        <v>7.0000000000000007E-2</v>
      </c>
      <c r="CZ19" s="26"/>
      <c r="DA19" s="32">
        <v>2.2922740000000004</v>
      </c>
      <c r="DB19" s="131">
        <f>+CR19+BV19+AH19</f>
        <v>2.2921739999999997</v>
      </c>
      <c r="DC19" s="59">
        <f>IF(ISERROR((CV19-DA19)/DA19),0,(CV19-DA19)/DA19)</f>
        <v>-0.9057102248684058</v>
      </c>
      <c r="DD19" s="24"/>
      <c r="DE19" s="22">
        <v>3</v>
      </c>
      <c r="DF19" s="15">
        <f>DE19-CU19</f>
        <v>0</v>
      </c>
      <c r="DG19" s="99"/>
      <c r="DH19" s="92"/>
      <c r="DI19" s="24"/>
    </row>
    <row r="20" spans="1:113" ht="12.75" customHeight="1" thickTop="1" thickBot="1" x14ac:dyDescent="0.25">
      <c r="A20" s="42"/>
      <c r="B20" s="71">
        <v>9</v>
      </c>
      <c r="C20" s="195" t="s">
        <v>13</v>
      </c>
      <c r="D20" s="102"/>
      <c r="E20" s="188">
        <f>SUM(E18:E19)</f>
        <v>0.85</v>
      </c>
      <c r="F20" s="67">
        <f>SUM(F18:F19)</f>
        <v>3.6968000000000001E-2</v>
      </c>
      <c r="G20" s="67">
        <f>SUM(G18:G19)</f>
        <v>0.81303199999999998</v>
      </c>
      <c r="H20" s="39">
        <f t="shared" si="69"/>
        <v>0.04</v>
      </c>
      <c r="I20" s="42"/>
      <c r="J20" s="67"/>
      <c r="K20" s="60"/>
      <c r="L20" s="24"/>
      <c r="M20" s="67">
        <f>SUM(M18:M19)</f>
        <v>1.71</v>
      </c>
      <c r="N20" s="67">
        <f>SUM(N18:N19)</f>
        <v>5.1382999999999998E-2</v>
      </c>
      <c r="O20" s="67">
        <f>SUM(O18:O19)</f>
        <v>1.6586169999999998</v>
      </c>
      <c r="P20" s="39">
        <f t="shared" si="70"/>
        <v>0.03</v>
      </c>
      <c r="Q20" s="42"/>
      <c r="R20" s="115"/>
      <c r="S20" s="60"/>
      <c r="T20" s="116"/>
      <c r="U20" s="67">
        <f>SUM(U18:U19)</f>
        <v>2.29</v>
      </c>
      <c r="V20" s="67">
        <f>SUM(V18:V19)</f>
        <v>9.3946200000000007E-2</v>
      </c>
      <c r="W20" s="67">
        <f>SUM(W18:W19)</f>
        <v>2.1960537999999996</v>
      </c>
      <c r="X20" s="39">
        <f t="shared" si="71"/>
        <v>0.04</v>
      </c>
      <c r="Y20" s="42"/>
      <c r="Z20" s="67"/>
      <c r="AA20" s="60"/>
      <c r="AB20" s="99"/>
      <c r="AC20" s="67">
        <f>SUM(AC18:AC19)</f>
        <v>4.8499999999999996</v>
      </c>
      <c r="AD20" s="67">
        <f>SUM(AD18:AD19)</f>
        <v>0.18229719999999999</v>
      </c>
      <c r="AE20" s="67">
        <f>SUM(AE18:AE19)</f>
        <v>4.6677027999999998</v>
      </c>
      <c r="AF20" s="39">
        <f t="shared" si="72"/>
        <v>0.03</v>
      </c>
      <c r="AG20" s="67"/>
      <c r="AH20" s="67"/>
      <c r="AI20" s="60"/>
      <c r="AJ20" s="42"/>
      <c r="AK20" s="67">
        <f>SUM(AK18:AK19)</f>
        <v>0.49</v>
      </c>
      <c r="AL20" s="67">
        <f>SUM(AL18:AL19)</f>
        <v>0</v>
      </c>
      <c r="AM20" s="67">
        <f>SUM(AM18:AM19)</f>
        <v>0.49</v>
      </c>
      <c r="AN20" s="39">
        <f t="shared" si="73"/>
        <v>0</v>
      </c>
      <c r="AO20" s="42"/>
      <c r="AP20" s="67"/>
      <c r="AQ20" s="60"/>
      <c r="AR20" s="42"/>
      <c r="AS20" s="67">
        <f>SUM(AS18:AS19)</f>
        <v>0.38</v>
      </c>
      <c r="AT20" s="67">
        <f>SUM(AT18:AT19)</f>
        <v>2.7843600000000003E-2</v>
      </c>
      <c r="AU20" s="67">
        <f>SUM(AU18:AU19)</f>
        <v>0.35215640000000004</v>
      </c>
      <c r="AV20" s="39">
        <f t="shared" si="74"/>
        <v>7.0000000000000007E-2</v>
      </c>
      <c r="AW20" s="42"/>
      <c r="AX20" s="67"/>
      <c r="AY20" s="60"/>
      <c r="AZ20" s="42"/>
      <c r="BA20" s="67">
        <f>SUM(BA18:BA19)</f>
        <v>1.07</v>
      </c>
      <c r="BB20" s="67">
        <f>SUM(BB18:BB19)</f>
        <v>9.7855400000000009E-2</v>
      </c>
      <c r="BC20" s="67">
        <f>SUM(BC18:BC19)</f>
        <v>0.97214460000000003</v>
      </c>
      <c r="BD20" s="39">
        <f t="shared" si="75"/>
        <v>0.09</v>
      </c>
      <c r="BE20" s="42"/>
      <c r="BF20" s="67"/>
      <c r="BG20" s="60"/>
      <c r="BH20" s="42"/>
      <c r="BI20" s="67">
        <f>SUM(BI18:BI19)</f>
        <v>0.56000000000000005</v>
      </c>
      <c r="BJ20" s="67">
        <f>SUM(BJ18:BJ19)</f>
        <v>6.595899999999999E-2</v>
      </c>
      <c r="BK20" s="67">
        <f>SUM(BK18:BK19)</f>
        <v>0.49404100000000006</v>
      </c>
      <c r="BL20" s="39">
        <f t="shared" si="76"/>
        <v>0.11</v>
      </c>
      <c r="BM20" s="42"/>
      <c r="BN20" s="67"/>
      <c r="BO20" s="60"/>
      <c r="BP20" s="99"/>
      <c r="BQ20" s="67">
        <f>SUM(BQ18:BQ19)</f>
        <v>2.5</v>
      </c>
      <c r="BR20" s="67">
        <f>SUM(BR18:BR19)</f>
        <v>0.191658</v>
      </c>
      <c r="BS20" s="67">
        <f>SUM(BS18:BS19)</f>
        <v>2.3083420000000001</v>
      </c>
      <c r="BT20" s="39">
        <f t="shared" si="77"/>
        <v>7.0000000000000007E-2</v>
      </c>
      <c r="BU20" s="67"/>
      <c r="BV20" s="67"/>
      <c r="BW20" s="60"/>
      <c r="BX20" s="183"/>
      <c r="BY20" s="67">
        <f>SUM(BY18:BY19)</f>
        <v>1.77</v>
      </c>
      <c r="BZ20" s="67">
        <f>SUM(BZ18:BZ19)</f>
        <v>0.16757</v>
      </c>
      <c r="CA20" s="67">
        <f>SUM(CA18:CA19)</f>
        <v>1.60243</v>
      </c>
      <c r="CB20" s="39">
        <f t="shared" si="78"/>
        <v>0.09</v>
      </c>
      <c r="CC20" s="67"/>
      <c r="CD20" s="60"/>
      <c r="CE20" s="99"/>
      <c r="CF20" s="67">
        <f>SUM(CF18:CF19)</f>
        <v>1.88</v>
      </c>
      <c r="CG20" s="67">
        <f>SUM(CG18:CG19)</f>
        <v>0.11536399999999999</v>
      </c>
      <c r="CH20" s="67">
        <f>SUM(CH18:CH19)</f>
        <v>1.7646359999999999</v>
      </c>
      <c r="CI20" s="39">
        <f t="shared" si="79"/>
        <v>0.06</v>
      </c>
      <c r="CJ20" s="67"/>
      <c r="CK20" s="60"/>
      <c r="CL20" s="99"/>
      <c r="CM20" s="67">
        <f>SUM(CM18:CM19)</f>
        <v>3.6500000000000004</v>
      </c>
      <c r="CN20" s="67">
        <f>SUM(CN18:CN19)</f>
        <v>0.28293400000000002</v>
      </c>
      <c r="CO20" s="67">
        <f>SUM(CO18:CO19)</f>
        <v>3.3670660000000003</v>
      </c>
      <c r="CP20" s="39">
        <f t="shared" si="80"/>
        <v>7.0000000000000007E-2</v>
      </c>
      <c r="CQ20" s="67"/>
      <c r="CR20" s="67"/>
      <c r="CS20" s="60"/>
      <c r="CT20" s="83"/>
      <c r="CU20" s="67">
        <f>SUM(CU18:CU19)</f>
        <v>11</v>
      </c>
      <c r="CV20" s="67">
        <f>SUM(CV18:CV19)</f>
        <v>0.65688919999999995</v>
      </c>
      <c r="CW20" s="160">
        <f>SUM(CW18:CW19)</f>
        <v>0.65698719999999999</v>
      </c>
      <c r="CX20" s="67">
        <f>SUM(CX18:CX19)</f>
        <v>10.3431108</v>
      </c>
      <c r="CY20" s="39">
        <f t="shared" si="81"/>
        <v>0.05</v>
      </c>
      <c r="CZ20" s="43"/>
      <c r="DA20" s="67"/>
      <c r="DB20" s="67"/>
      <c r="DC20" s="60"/>
      <c r="DD20" s="42"/>
      <c r="DE20" s="67">
        <f>SUM(DE18:DE19)</f>
        <v>11</v>
      </c>
      <c r="DF20" s="8">
        <v>0</v>
      </c>
      <c r="DG20" s="99"/>
      <c r="DH20" s="92"/>
      <c r="DI20" s="42"/>
    </row>
    <row r="21" spans="1:113" ht="12.75" customHeight="1" thickTop="1" thickBot="1" x14ac:dyDescent="0.25">
      <c r="A21" s="42"/>
      <c r="B21" s="71" t="s">
        <v>50</v>
      </c>
      <c r="C21" s="195" t="s">
        <v>14</v>
      </c>
      <c r="D21" s="102"/>
      <c r="E21" s="188">
        <f>E20+E17</f>
        <v>3.58</v>
      </c>
      <c r="F21" s="67">
        <f>F20+F17</f>
        <v>0.14154300000000003</v>
      </c>
      <c r="G21" s="67">
        <f>G20+G17</f>
        <v>3.4384569999999997</v>
      </c>
      <c r="H21" s="39">
        <f t="shared" si="69"/>
        <v>0.03</v>
      </c>
      <c r="I21" s="42"/>
      <c r="J21" s="67"/>
      <c r="K21" s="60"/>
      <c r="L21" s="24"/>
      <c r="M21" s="67">
        <f>M20+M17</f>
        <v>3.2</v>
      </c>
      <c r="N21" s="67">
        <f>N20+N17</f>
        <v>0.11393299999999999</v>
      </c>
      <c r="O21" s="67">
        <f>O20+O17</f>
        <v>3.0860669999999999</v>
      </c>
      <c r="P21" s="39">
        <f t="shared" si="70"/>
        <v>0.03</v>
      </c>
      <c r="Q21" s="42"/>
      <c r="R21" s="115"/>
      <c r="S21" s="60"/>
      <c r="T21" s="116"/>
      <c r="U21" s="67">
        <f>U20+U17</f>
        <v>4.17</v>
      </c>
      <c r="V21" s="67">
        <f>V20+V17</f>
        <v>0.23319619999999999</v>
      </c>
      <c r="W21" s="67">
        <f>W20+W17</f>
        <v>3.9368037999999999</v>
      </c>
      <c r="X21" s="39">
        <f t="shared" si="71"/>
        <v>0.05</v>
      </c>
      <c r="Y21" s="42"/>
      <c r="Z21" s="67"/>
      <c r="AA21" s="60"/>
      <c r="AB21" s="99"/>
      <c r="AC21" s="67">
        <f>AC20+AC17</f>
        <v>10.95</v>
      </c>
      <c r="AD21" s="67">
        <f>AD20+AD17</f>
        <v>0.4886722</v>
      </c>
      <c r="AE21" s="67">
        <f>AE20+AE17</f>
        <v>10.461327799999999</v>
      </c>
      <c r="AF21" s="39">
        <f t="shared" si="72"/>
        <v>0.04</v>
      </c>
      <c r="AG21" s="67"/>
      <c r="AH21" s="67"/>
      <c r="AI21" s="60"/>
      <c r="AJ21" s="42"/>
      <c r="AK21" s="67">
        <f>AK20+AK17</f>
        <v>20.399999999999999</v>
      </c>
      <c r="AL21" s="67">
        <f>AL20+AL17</f>
        <v>0</v>
      </c>
      <c r="AM21" s="67">
        <f>AM20+AM17</f>
        <v>20.399999999999999</v>
      </c>
      <c r="AN21" s="39">
        <f t="shared" si="73"/>
        <v>0</v>
      </c>
      <c r="AO21" s="42"/>
      <c r="AP21" s="67"/>
      <c r="AQ21" s="60"/>
      <c r="AR21" s="42"/>
      <c r="AS21" s="67">
        <f>AS20+AS17</f>
        <v>4.78</v>
      </c>
      <c r="AT21" s="67">
        <f>AT20+AT17</f>
        <v>0.18582859999999998</v>
      </c>
      <c r="AU21" s="67">
        <f>AU20+AU17</f>
        <v>4.5941714000000005</v>
      </c>
      <c r="AV21" s="39">
        <f t="shared" si="74"/>
        <v>0.03</v>
      </c>
      <c r="AW21" s="42"/>
      <c r="AX21" s="67"/>
      <c r="AY21" s="60"/>
      <c r="AZ21" s="42"/>
      <c r="BA21" s="67">
        <f>BA20+BA17</f>
        <v>1.7200000000000002</v>
      </c>
      <c r="BB21" s="67">
        <f>BB20+BB17</f>
        <v>0.13715540000000001</v>
      </c>
      <c r="BC21" s="67">
        <f>BC20+BC17</f>
        <v>1.5828446</v>
      </c>
      <c r="BD21" s="39">
        <f t="shared" si="75"/>
        <v>7.0000000000000007E-2</v>
      </c>
      <c r="BE21" s="42"/>
      <c r="BF21" s="67"/>
      <c r="BG21" s="60"/>
      <c r="BH21" s="42"/>
      <c r="BI21" s="67">
        <f>BI20+BI17</f>
        <v>4.1999999999999993</v>
      </c>
      <c r="BJ21" s="67">
        <f>BJ20+BJ17</f>
        <v>0.22809940000000001</v>
      </c>
      <c r="BK21" s="67">
        <f>BK20+BK17</f>
        <v>3.9719006000000001</v>
      </c>
      <c r="BL21" s="39">
        <f t="shared" si="76"/>
        <v>0.05</v>
      </c>
      <c r="BM21" s="42"/>
      <c r="BN21" s="67"/>
      <c r="BO21" s="60"/>
      <c r="BP21" s="99"/>
      <c r="BQ21" s="67">
        <f>BQ20+BQ17</f>
        <v>31.1</v>
      </c>
      <c r="BR21" s="67">
        <f>BR20+BR17</f>
        <v>0.5510834</v>
      </c>
      <c r="BS21" s="67">
        <f>BS20+BS17</f>
        <v>30.548916600000002</v>
      </c>
      <c r="BT21" s="39">
        <f t="shared" si="77"/>
        <v>0.01</v>
      </c>
      <c r="BU21" s="67"/>
      <c r="BV21" s="67"/>
      <c r="BW21" s="60"/>
      <c r="BX21" s="183"/>
      <c r="BY21" s="67">
        <f>BY20+BY17</f>
        <v>2.25</v>
      </c>
      <c r="BZ21" s="67">
        <f>BZ20+BZ17</f>
        <v>0.21376999999999999</v>
      </c>
      <c r="CA21" s="67">
        <f>CA20+CA17</f>
        <v>2.0362299999999998</v>
      </c>
      <c r="CB21" s="39">
        <f t="shared" si="78"/>
        <v>0.09</v>
      </c>
      <c r="CC21" s="67"/>
      <c r="CD21" s="60"/>
      <c r="CE21" s="99"/>
      <c r="CF21" s="67">
        <f>CF20+CF17</f>
        <v>2.6999999999999997</v>
      </c>
      <c r="CG21" s="67">
        <f>CG20+CG17</f>
        <v>0.15896399999999999</v>
      </c>
      <c r="CH21" s="67">
        <f>CH20+CH17</f>
        <v>2.5410360000000001</v>
      </c>
      <c r="CI21" s="39">
        <f t="shared" si="79"/>
        <v>0.05</v>
      </c>
      <c r="CJ21" s="67"/>
      <c r="CK21" s="60"/>
      <c r="CL21" s="99"/>
      <c r="CM21" s="67">
        <f>CM20+CM17</f>
        <v>4.95</v>
      </c>
      <c r="CN21" s="67">
        <f>CN20+CN17</f>
        <v>0.37273400000000001</v>
      </c>
      <c r="CO21" s="67">
        <f>CO20+CO17</f>
        <v>4.5772659999999998</v>
      </c>
      <c r="CP21" s="39">
        <f t="shared" si="80"/>
        <v>7.0000000000000007E-2</v>
      </c>
      <c r="CQ21" s="67"/>
      <c r="CR21" s="67"/>
      <c r="CS21" s="60"/>
      <c r="CT21" s="83"/>
      <c r="CU21" s="67">
        <f>CU20+CU17</f>
        <v>47</v>
      </c>
      <c r="CV21" s="67">
        <f>CV20+CV17</f>
        <v>1.4124896</v>
      </c>
      <c r="CW21" s="160">
        <f>CW20+CW17</f>
        <v>1.4126875999999999</v>
      </c>
      <c r="CX21" s="67">
        <f>CX20+CX17</f>
        <v>45.587510399999999</v>
      </c>
      <c r="CY21" s="39">
        <f t="shared" si="81"/>
        <v>0.03</v>
      </c>
      <c r="CZ21" s="43"/>
      <c r="DA21" s="67"/>
      <c r="DB21" s="67"/>
      <c r="DC21" s="60"/>
      <c r="DD21" s="42"/>
      <c r="DE21" s="67">
        <f>+DE20+DE17</f>
        <v>47</v>
      </c>
      <c r="DF21" s="8">
        <v>0</v>
      </c>
      <c r="DG21" s="99"/>
      <c r="DH21" s="92"/>
      <c r="DI21" s="42"/>
    </row>
    <row r="22" spans="1:113" ht="12.75" customHeight="1" thickTop="1" x14ac:dyDescent="0.2">
      <c r="A22" s="24"/>
      <c r="B22" s="31">
        <v>6000</v>
      </c>
      <c r="C22" s="194" t="s">
        <v>15</v>
      </c>
      <c r="D22" s="102"/>
      <c r="E22" s="193">
        <v>4.3</v>
      </c>
      <c r="F22" s="23">
        <f>IF(ISERROR(VLOOKUP($B22,[1]Hedef!$A$4:$ES$45409,25,0)),0,VLOOKUP($B22,[1]Hedef!$A$4:$ES$45409,25,0))+IF(ISERROR(VLOOKUP($B22,[1]Hedef!$A$4:$ES$45409,15,0)),0,VLOOKUP($B22,[1]Hedef!$A$4:$ES$45409,15,0))</f>
        <v>1.3515999999999999</v>
      </c>
      <c r="G22" s="23">
        <f t="shared" ref="G22:G23" si="82">IF((E22-F22)&lt;0, "-", (E22-F22))</f>
        <v>2.9483999999999999</v>
      </c>
      <c r="H22" s="80">
        <f t="shared" si="69"/>
        <v>0.31</v>
      </c>
      <c r="I22" s="24"/>
      <c r="J22" s="32">
        <v>4.4656000000000002</v>
      </c>
      <c r="K22" s="59">
        <f t="shared" ref="K22:K23" si="83">IF(ISERROR((F22-J22)/J22),0,(F22-J22)/J22)</f>
        <v>-0.69733070584020063</v>
      </c>
      <c r="L22" s="24"/>
      <c r="M22" s="44">
        <v>16.25</v>
      </c>
      <c r="N22" s="23">
        <f>IF(ISERROR(VLOOKUP($B22,[1]Hedef!$A$4:$ES$45409,41,0)),0,VLOOKUP($B22,[1]Hedef!$A$4:$ES$45409,41,0))</f>
        <v>0.78320000000000001</v>
      </c>
      <c r="O22" s="23">
        <f t="shared" ref="O22:O29" si="84">IF((M22-N22)&lt;0, "-", (M22-N22))</f>
        <v>15.466799999999999</v>
      </c>
      <c r="P22" s="80">
        <f t="shared" si="70"/>
        <v>0.04</v>
      </c>
      <c r="Q22" s="92"/>
      <c r="R22" s="32">
        <v>16.994399999999992</v>
      </c>
      <c r="S22" s="59">
        <f t="shared" ref="S22:S56" si="85">IF(ISERROR((N22-R22)/R22),0,(N22-R22)/R22)</f>
        <v>-0.95391423057007008</v>
      </c>
      <c r="T22" s="102"/>
      <c r="U22" s="22">
        <v>29.45</v>
      </c>
      <c r="V22" s="23">
        <f>IF(ISERROR(VLOOKUP($B22,[1]Hedef!$A$4:$ES$45409,45,0)),0,VLOOKUP($B22,[1]Hedef!$A$4:$ES$45409,45,0))+IF(ISERROR(VLOOKUP($B22,[1]Hedef!$A$4:$ES$45409,109,0)),0,VLOOKUP($B22,[1]Hedef!$A$4:$ES$45409,109,0))</f>
        <v>2.0186000000000002</v>
      </c>
      <c r="W22" s="23">
        <f t="shared" ref="W22:W29" si="86">IF((U22-V22)&lt;0, "-", (U22-V22))</f>
        <v>27.4314</v>
      </c>
      <c r="X22" s="80">
        <f t="shared" si="71"/>
        <v>0.06</v>
      </c>
      <c r="Y22" s="24"/>
      <c r="Z22" s="32">
        <v>30.81979999999999</v>
      </c>
      <c r="AA22" s="59">
        <f t="shared" ref="AA22:AA56" si="87">IF(ISERROR((V22-Z22)/Z22),0,(V22-Z22)/Z22)</f>
        <v>-0.93450314408270008</v>
      </c>
      <c r="AB22" s="99"/>
      <c r="AC22" s="164">
        <v>50</v>
      </c>
      <c r="AD22" s="23">
        <f t="shared" ref="AD22:AD29" si="88">+N22+V22+F22</f>
        <v>4.1533999999999995</v>
      </c>
      <c r="AE22" s="23">
        <f t="shared" ref="AE22:AE29" si="89">IF((AC22-AD22)&lt;0, "-", (AC22-AD22))</f>
        <v>45.846600000000002</v>
      </c>
      <c r="AF22" s="80">
        <f t="shared" si="72"/>
        <v>0.08</v>
      </c>
      <c r="AG22" s="22">
        <f t="shared" ref="AG22:AG29" si="90">AC22-U22-M22-E22</f>
        <v>0</v>
      </c>
      <c r="AH22" s="44">
        <f t="shared" ref="AH22:AH56" si="91">Z22+R22+J22</f>
        <v>52.279799999999987</v>
      </c>
      <c r="AI22" s="59">
        <f t="shared" ref="AI22:AI29" si="92">IF(ISERROR((AD22-AH22)/AH22),0,(AD22-AH22)/AH22)</f>
        <v>-0.92055440150880452</v>
      </c>
      <c r="AJ22" s="92"/>
      <c r="AK22" s="22">
        <v>8.1</v>
      </c>
      <c r="AL22" s="23">
        <f>IF(ISERROR(VLOOKUP($B22,[1]Hedef!$A$4:$ES$45409,97,0)),0,VLOOKUP($B22,[1]Hedef!$A$4:$ES$45409,97,0))</f>
        <v>0</v>
      </c>
      <c r="AM22" s="23">
        <f t="shared" ref="AM22:AM23" si="93">IF((AK22-AL22)&lt;0, "-", (AK22-AL22))</f>
        <v>8.1</v>
      </c>
      <c r="AN22" s="80">
        <f t="shared" si="73"/>
        <v>0</v>
      </c>
      <c r="AO22" s="24"/>
      <c r="AP22" s="32">
        <v>8.4359999999999999</v>
      </c>
      <c r="AQ22" s="59">
        <f t="shared" ref="AQ22:AQ23" si="94">IF(ISERROR((AL22-AP22)/AP22),0,(AL22-AP22)/AP22)</f>
        <v>-1</v>
      </c>
      <c r="AR22" s="24"/>
      <c r="AS22" s="22">
        <v>2</v>
      </c>
      <c r="AT22" s="23">
        <f>IF(ISERROR(VLOOKUP($B22,[1]Hedef!$A$4:$ES$45409,57,0)),0,VLOOKUP($B22,[1]Hedef!$A$4:$ES$45409,57,0))</f>
        <v>0.28620000000000001</v>
      </c>
      <c r="AU22" s="23">
        <f t="shared" ref="AU22:AU29" si="95">IF((AS22-AT22)&lt;0, "-", (AS22-AT22))</f>
        <v>1.7138</v>
      </c>
      <c r="AV22" s="80">
        <f t="shared" si="74"/>
        <v>0.14000000000000001</v>
      </c>
      <c r="AW22" s="24"/>
      <c r="AX22" s="32">
        <v>2.0259999999999998</v>
      </c>
      <c r="AY22" s="59">
        <f t="shared" ref="AY22:AY56" si="96">IF(ISERROR((AT22-AX22)/AX22),0,(AT22-AX22)/AX22)</f>
        <v>-0.85873642645607107</v>
      </c>
      <c r="AZ22" s="92"/>
      <c r="BA22" s="22">
        <v>4.8</v>
      </c>
      <c r="BB22" s="23">
        <f>IF(ISERROR(VLOOKUP($B22,[1]Hedef!$A$4:$ES$45409,99,0)),0,VLOOKUP($B22,[1]Hedef!$A$4:$ES$45409,99,0))</f>
        <v>0.32120000000000004</v>
      </c>
      <c r="BC22" s="23">
        <f t="shared" ref="BC22:BC29" si="97">IF((BA22-BB22)&lt;0, "-", (BA22-BB22))</f>
        <v>4.4787999999999997</v>
      </c>
      <c r="BD22" s="80">
        <f t="shared" si="75"/>
        <v>0.06</v>
      </c>
      <c r="BE22" s="24"/>
      <c r="BF22" s="32">
        <v>4.976</v>
      </c>
      <c r="BG22" s="59">
        <f t="shared" ref="BG22:BG29" si="98">IF(ISERROR((BB22-BF22)/BF22),0,(BB22-BF22)/BF22)</f>
        <v>-0.93545016077170418</v>
      </c>
      <c r="BH22" s="24"/>
      <c r="BI22" s="22">
        <v>2.8</v>
      </c>
      <c r="BJ22" s="23">
        <f>IF(ISERROR(VLOOKUP($B22,[1]Hedef!$A$4:$ES$45409,117,0)),0,VLOOKUP($B22,[1]Hedef!$A$4:$ES$45409,117,0))</f>
        <v>0.40640000000000004</v>
      </c>
      <c r="BK22" s="23">
        <f t="shared" ref="BK22:BK29" si="99">IF((BI22-BJ22)&lt;0, "-", (BI22-BJ22))</f>
        <v>2.3935999999999997</v>
      </c>
      <c r="BL22" s="80">
        <f t="shared" si="76"/>
        <v>0.14000000000000001</v>
      </c>
      <c r="BM22" s="24"/>
      <c r="BN22" s="32">
        <v>2.9854000000000007</v>
      </c>
      <c r="BO22" s="59">
        <f t="shared" ref="BO22:BO56" si="100">IF(ISERROR((BJ22-BN22)/BN22),0,(BJ22-BN22)/BN22)</f>
        <v>-0.86387083807864939</v>
      </c>
      <c r="BP22" s="99"/>
      <c r="BQ22" s="22">
        <v>17.7</v>
      </c>
      <c r="BR22" s="23">
        <f t="shared" ref="BR22:BR29" si="101">+BJ22+BB22+AT22+AL22</f>
        <v>1.0138</v>
      </c>
      <c r="BS22" s="23">
        <f t="shared" ref="BS22:BS29" si="102">IF((BQ22-BR22)&lt;0, "-", (BQ22-BR22))</f>
        <v>16.686199999999999</v>
      </c>
      <c r="BT22" s="80">
        <f t="shared" si="77"/>
        <v>0.05</v>
      </c>
      <c r="BU22" s="22">
        <f t="shared" ref="BU22:BU29" si="103">BQ22-BI22-BA22-AS22-AK22</f>
        <v>0</v>
      </c>
      <c r="BV22" s="22">
        <f t="shared" ref="BV22:BV38" si="104">+BN22+BF22+AX22+AP22</f>
        <v>18.423400000000001</v>
      </c>
      <c r="BW22" s="59">
        <f t="shared" ref="BW22:BW56" si="105">IF(ISERROR((BR22-BV22)/BV22),0,(BR22-BV22)/BV22)</f>
        <v>-0.94497215497682296</v>
      </c>
      <c r="BX22" s="183"/>
      <c r="BY22" s="22">
        <v>7.44</v>
      </c>
      <c r="BZ22" s="23">
        <f>IF(ISERROR(VLOOKUP($B22,[1]Hedef!$A$4:$ES$45409,71,0)),0,VLOOKUP($B22,[1]Hedef!$A$4:$ES$45409,71,0))</f>
        <v>0.79519999999999991</v>
      </c>
      <c r="CA22" s="23">
        <f t="shared" ref="CA22:CA29" si="106">IF((BY22-BZ22)&lt;0, "-", (BY22-BZ22))</f>
        <v>6.6448</v>
      </c>
      <c r="CB22" s="80">
        <f t="shared" si="78"/>
        <v>0.1</v>
      </c>
      <c r="CC22" s="32">
        <v>7.7615999999999996</v>
      </c>
      <c r="CD22" s="59">
        <f t="shared" ref="CD22:CD29" si="107">IF(ISERROR((BZ22-CC22)/CC22),0,(BZ22-CC22)/CC22)</f>
        <v>-0.89754689754689765</v>
      </c>
      <c r="CE22" s="99"/>
      <c r="CF22" s="22">
        <v>9.86</v>
      </c>
      <c r="CG22" s="23">
        <f>IF(ISERROR(VLOOKUP($B22,[1]Hedef!$A$4:$ES$45409,87,0)),0,VLOOKUP($B22,[1]Hedef!$A$4:$ES$45409,87,0))</f>
        <v>0.77079999999999993</v>
      </c>
      <c r="CH22" s="23">
        <f t="shared" ref="CH22:CH29" si="108">IF((CF22-CG22)&lt;0, "-", (CF22-CG22))</f>
        <v>9.0891999999999999</v>
      </c>
      <c r="CI22" s="80">
        <f t="shared" si="79"/>
        <v>7.0000000000000007E-2</v>
      </c>
      <c r="CJ22" s="32">
        <v>10.29159999999999</v>
      </c>
      <c r="CK22" s="59">
        <f t="shared" ref="CK22:CK29" si="109">IF(ISERROR((CG22-CJ22)/CJ22),0,(CG22-CJ22)/CJ22)</f>
        <v>-0.92510396828481478</v>
      </c>
      <c r="CL22" s="99"/>
      <c r="CM22" s="22">
        <v>17.3</v>
      </c>
      <c r="CN22" s="23">
        <f t="shared" ref="CN22:CN29" si="110">CG22+BZ22</f>
        <v>1.5659999999999998</v>
      </c>
      <c r="CO22" s="23">
        <f t="shared" ref="CO22:CO29" si="111">IF((CM22-CN22)&lt;0, "-", (CM22-CN22))</f>
        <v>15.734000000000002</v>
      </c>
      <c r="CP22" s="80">
        <f t="shared" si="80"/>
        <v>0.09</v>
      </c>
      <c r="CQ22" s="123">
        <f t="shared" ref="CQ22:CQ29" si="112">CM22-CF22-BY22</f>
        <v>0</v>
      </c>
      <c r="CR22" s="23">
        <f t="shared" ref="CR22:CR29" si="113">+CJ22+CC22</f>
        <v>18.05319999999999</v>
      </c>
      <c r="CS22" s="59">
        <f t="shared" ref="CS22:CS29" si="114">IF(ISERROR((CN22-CR22)/CR22),0,(CN22-CR22)/CR22)</f>
        <v>-0.91325637560100148</v>
      </c>
      <c r="CT22" s="82"/>
      <c r="CU22" s="22">
        <f t="shared" ref="CU22:CU29" si="115">CM22+AC22+BQ22</f>
        <v>85</v>
      </c>
      <c r="CV22" s="23">
        <f>IF(ISERROR(VLOOKUP($B22,[1]Hedef!$A$4:$ES$45409,127,0)),0,VLOOKUP($B22,[1]Hedef!$A$4:$ES$45409,127,0))</f>
        <v>6.7332000000000001</v>
      </c>
      <c r="CW22" s="159">
        <f>IF(ISERROR(VLOOKUP($B22,[1]Hedef!$A$4:$ES$45409,47,0)),0,VLOOKUP($B22,[1]Hedef!$A$4:$ES$45409,47,0))</f>
        <v>6.7331999999999992</v>
      </c>
      <c r="CX22" s="23">
        <f t="shared" ref="CX22:CX29" si="116">IF((CU22-CV22)&lt;0, "-", (CU22-CV22))</f>
        <v>78.266800000000003</v>
      </c>
      <c r="CY22" s="80">
        <f t="shared" si="81"/>
        <v>7.0000000000000007E-2</v>
      </c>
      <c r="CZ22" s="26"/>
      <c r="DA22" s="32">
        <v>82.422399999999897</v>
      </c>
      <c r="DB22" s="131">
        <f t="shared" ref="DB22:DB29" si="117">+CR22+BV22+AH22</f>
        <v>88.756399999999985</v>
      </c>
      <c r="DC22" s="59">
        <f t="shared" ref="DC22:DC29" si="118">IF(ISERROR((CV22-DA22)/DA22),0,(CV22-DA22)/DA22)</f>
        <v>-0.91830861513374995</v>
      </c>
      <c r="DD22" s="24"/>
      <c r="DE22" s="22">
        <v>85</v>
      </c>
      <c r="DF22" s="15">
        <f t="shared" ref="DF22:DF29" si="119">DE22-CU22</f>
        <v>0</v>
      </c>
      <c r="DG22" s="99"/>
      <c r="DH22" s="92"/>
      <c r="DI22" s="24"/>
    </row>
    <row r="23" spans="1:113" ht="12.75" customHeight="1" x14ac:dyDescent="0.2">
      <c r="A23" s="24"/>
      <c r="B23" s="31">
        <v>10</v>
      </c>
      <c r="C23" s="194" t="s">
        <v>16</v>
      </c>
      <c r="D23" s="102"/>
      <c r="E23" s="193">
        <v>2.9</v>
      </c>
      <c r="F23" s="23">
        <f>IF(ISERROR(VLOOKUP($B23,[1]Hedef!$A$4:$ES$45409,25,0)),0,VLOOKUP($B23,[1]Hedef!$A$4:$ES$45409,25,0))+IF(ISERROR(VLOOKUP($B23,[1]Hedef!$A$4:$ES$45409,15,0)),0,VLOOKUP($B23,[1]Hedef!$A$4:$ES$45409,15,0))</f>
        <v>0.19239999999999999</v>
      </c>
      <c r="G23" s="23">
        <f t="shared" si="82"/>
        <v>2.7075999999999998</v>
      </c>
      <c r="H23" s="80">
        <f t="shared" si="69"/>
        <v>0.06</v>
      </c>
      <c r="I23" s="24"/>
      <c r="J23" s="32">
        <v>2.5945</v>
      </c>
      <c r="K23" s="59">
        <f t="shared" si="83"/>
        <v>-0.92584312969743687</v>
      </c>
      <c r="L23" s="24"/>
      <c r="M23" s="44">
        <v>16.600000000000001</v>
      </c>
      <c r="N23" s="23">
        <f>IF(ISERROR(VLOOKUP($B23,[1]Hedef!$A$4:$ES$45409,41,0)),0,VLOOKUP($B23,[1]Hedef!$A$4:$ES$45409,41,0))</f>
        <v>0.93090000000000006</v>
      </c>
      <c r="O23" s="23">
        <f t="shared" si="84"/>
        <v>15.669100000000002</v>
      </c>
      <c r="P23" s="80">
        <f t="shared" si="70"/>
        <v>0.05</v>
      </c>
      <c r="Q23" s="92"/>
      <c r="R23" s="32">
        <v>15.131600000000002</v>
      </c>
      <c r="S23" s="59">
        <f t="shared" si="85"/>
        <v>-0.93847973776732141</v>
      </c>
      <c r="T23" s="102"/>
      <c r="U23" s="22">
        <v>30.1</v>
      </c>
      <c r="V23" s="23">
        <f>IF(ISERROR(VLOOKUP($B23,[1]Hedef!$A$4:$ES$45409,45,0)),0,VLOOKUP($B23,[1]Hedef!$A$4:$ES$45409,45,0))+IF(ISERROR(VLOOKUP($B23,[1]Hedef!$A$4:$ES$45409,109,0)),0,VLOOKUP($B23,[1]Hedef!$A$4:$ES$45409,109,0))</f>
        <v>1.9546000000000001</v>
      </c>
      <c r="W23" s="23">
        <f t="shared" si="86"/>
        <v>28.145400000000002</v>
      </c>
      <c r="X23" s="80">
        <f t="shared" si="71"/>
        <v>0.06</v>
      </c>
      <c r="Y23" s="24"/>
      <c r="Z23" s="32">
        <v>27.548999999999996</v>
      </c>
      <c r="AA23" s="59">
        <f t="shared" si="87"/>
        <v>-0.92905005626338522</v>
      </c>
      <c r="AB23" s="99"/>
      <c r="AC23" s="164">
        <v>49.6</v>
      </c>
      <c r="AD23" s="23">
        <f t="shared" si="88"/>
        <v>3.0779000000000005</v>
      </c>
      <c r="AE23" s="23">
        <f t="shared" si="89"/>
        <v>46.522100000000002</v>
      </c>
      <c r="AF23" s="80">
        <f t="shared" si="72"/>
        <v>0.06</v>
      </c>
      <c r="AG23" s="22">
        <f t="shared" si="90"/>
        <v>0</v>
      </c>
      <c r="AH23" s="44">
        <f t="shared" si="91"/>
        <v>45.275099999999995</v>
      </c>
      <c r="AI23" s="59">
        <f t="shared" si="92"/>
        <v>-0.93201781994959698</v>
      </c>
      <c r="AJ23" s="24"/>
      <c r="AK23" s="22">
        <v>10.5</v>
      </c>
      <c r="AL23" s="23">
        <f>IF(ISERROR(VLOOKUP($B23,[1]Hedef!$A$4:$ES$45409,97,0)),0,VLOOKUP($B23,[1]Hedef!$A$4:$ES$45409,97,0))</f>
        <v>0</v>
      </c>
      <c r="AM23" s="23">
        <f t="shared" si="93"/>
        <v>10.5</v>
      </c>
      <c r="AN23" s="80">
        <f t="shared" si="73"/>
        <v>0</v>
      </c>
      <c r="AO23" s="24"/>
      <c r="AP23" s="32">
        <v>9.6387</v>
      </c>
      <c r="AQ23" s="59">
        <f t="shared" si="94"/>
        <v>-1</v>
      </c>
      <c r="AR23" s="24"/>
      <c r="AS23" s="22">
        <v>4.2</v>
      </c>
      <c r="AT23" s="23">
        <f>IF(ISERROR(VLOOKUP($B23,[1]Hedef!$A$4:$ES$45409,57,0)),0,VLOOKUP($B23,[1]Hedef!$A$4:$ES$45409,57,0))</f>
        <v>0.38269999999999998</v>
      </c>
      <c r="AU23" s="23">
        <f t="shared" si="95"/>
        <v>3.8173000000000004</v>
      </c>
      <c r="AV23" s="80">
        <f t="shared" si="74"/>
        <v>0.09</v>
      </c>
      <c r="AW23" s="24"/>
      <c r="AX23" s="32">
        <v>3.8478000000000012</v>
      </c>
      <c r="AY23" s="59">
        <f t="shared" si="96"/>
        <v>-0.90054056863662357</v>
      </c>
      <c r="AZ23" s="92"/>
      <c r="BA23" s="22">
        <v>9</v>
      </c>
      <c r="BB23" s="23">
        <f>IF(ISERROR(VLOOKUP($B23,[1]Hedef!$A$4:$ES$45409,99,0)),0,VLOOKUP($B23,[1]Hedef!$A$4:$ES$45409,99,0))</f>
        <v>1.3002999999999998</v>
      </c>
      <c r="BC23" s="23">
        <f t="shared" si="97"/>
        <v>7.6997</v>
      </c>
      <c r="BD23" s="80">
        <f t="shared" si="75"/>
        <v>0.14000000000000001</v>
      </c>
      <c r="BE23" s="24"/>
      <c r="BF23" s="32">
        <v>8.3439499999999995</v>
      </c>
      <c r="BG23" s="59">
        <f t="shared" si="98"/>
        <v>-0.84416253692795373</v>
      </c>
      <c r="BH23" s="24"/>
      <c r="BI23" s="22">
        <v>5.2</v>
      </c>
      <c r="BJ23" s="23">
        <f>IF(ISERROR(VLOOKUP($B23,[1]Hedef!$A$4:$ES$45409,117,0)),0,VLOOKUP($B23,[1]Hedef!$A$4:$ES$45409,117,0))</f>
        <v>0.53679999999999994</v>
      </c>
      <c r="BK23" s="23">
        <f t="shared" si="99"/>
        <v>4.6631999999999998</v>
      </c>
      <c r="BL23" s="80">
        <f t="shared" si="76"/>
        <v>0.1</v>
      </c>
      <c r="BM23" s="24"/>
      <c r="BN23" s="32">
        <v>4.5487000000000002</v>
      </c>
      <c r="BO23" s="59">
        <f t="shared" si="100"/>
        <v>-0.88198826038208733</v>
      </c>
      <c r="BP23" s="99"/>
      <c r="BQ23" s="22">
        <v>28.9</v>
      </c>
      <c r="BR23" s="23">
        <f t="shared" si="101"/>
        <v>2.2197999999999998</v>
      </c>
      <c r="BS23" s="23">
        <f t="shared" si="102"/>
        <v>26.680199999999999</v>
      </c>
      <c r="BT23" s="80">
        <f t="shared" si="77"/>
        <v>7.0000000000000007E-2</v>
      </c>
      <c r="BU23" s="22">
        <f t="shared" si="103"/>
        <v>0</v>
      </c>
      <c r="BV23" s="22">
        <f t="shared" si="104"/>
        <v>26.379150000000003</v>
      </c>
      <c r="BW23" s="59">
        <f t="shared" si="105"/>
        <v>-0.91585020745550938</v>
      </c>
      <c r="BX23" s="183"/>
      <c r="BY23" s="22">
        <v>12.6</v>
      </c>
      <c r="BZ23" s="23">
        <f>IF(ISERROR(VLOOKUP($B23,[1]Hedef!$A$4:$ES$45409,71,0)),0,VLOOKUP($B23,[1]Hedef!$A$4:$ES$45409,71,0))</f>
        <v>0.91669999999999996</v>
      </c>
      <c r="CA23" s="23">
        <f t="shared" si="106"/>
        <v>11.683299999999999</v>
      </c>
      <c r="CB23" s="80">
        <f t="shared" si="78"/>
        <v>7.0000000000000007E-2</v>
      </c>
      <c r="CC23" s="32">
        <v>11.369399999999992</v>
      </c>
      <c r="CD23" s="59">
        <f t="shared" si="107"/>
        <v>-0.91937129487923719</v>
      </c>
      <c r="CE23" s="99"/>
      <c r="CF23" s="22">
        <v>18.899999999999999</v>
      </c>
      <c r="CG23" s="23">
        <f>IF(ISERROR(VLOOKUP($B23,[1]Hedef!$A$4:$ES$45409,87,0)),0,VLOOKUP($B23,[1]Hedef!$A$4:$ES$45409,87,0))</f>
        <v>1.2945000000000002</v>
      </c>
      <c r="CH23" s="23">
        <f t="shared" si="108"/>
        <v>17.605499999999999</v>
      </c>
      <c r="CI23" s="80">
        <f t="shared" si="79"/>
        <v>0.06</v>
      </c>
      <c r="CJ23" s="32">
        <v>17.346749999999993</v>
      </c>
      <c r="CK23" s="59">
        <f t="shared" si="109"/>
        <v>-0.92537507025811749</v>
      </c>
      <c r="CL23" s="99"/>
      <c r="CM23" s="22">
        <v>31.5</v>
      </c>
      <c r="CN23" s="23">
        <f t="shared" si="110"/>
        <v>2.2112000000000003</v>
      </c>
      <c r="CO23" s="23">
        <f t="shared" si="111"/>
        <v>29.288799999999998</v>
      </c>
      <c r="CP23" s="80">
        <f t="shared" si="80"/>
        <v>7.0000000000000007E-2</v>
      </c>
      <c r="CQ23" s="148">
        <f t="shared" si="112"/>
        <v>0</v>
      </c>
      <c r="CR23" s="119">
        <f t="shared" si="113"/>
        <v>28.716149999999985</v>
      </c>
      <c r="CS23" s="59">
        <f t="shared" si="114"/>
        <v>-0.9229980342072317</v>
      </c>
      <c r="CT23" s="82"/>
      <c r="CU23" s="22">
        <f t="shared" si="115"/>
        <v>110</v>
      </c>
      <c r="CV23" s="23">
        <f>IF(ISERROR(VLOOKUP($B23,[1]Hedef!$A$4:$ES$45409,127,0)),0,VLOOKUP($B23,[1]Hedef!$A$4:$ES$45409,127,0))</f>
        <v>7.5089000000000015</v>
      </c>
      <c r="CW23" s="159">
        <f>IF(ISERROR(VLOOKUP($B23,[1]Hedef!$A$4:$ES$45409,47,0)),0,VLOOKUP($B23,[1]Hedef!$A$4:$ES$45409,47,0))</f>
        <v>7.5089000000000015</v>
      </c>
      <c r="CX23" s="23">
        <f t="shared" si="116"/>
        <v>102.4911</v>
      </c>
      <c r="CY23" s="80">
        <f t="shared" si="81"/>
        <v>0.06</v>
      </c>
      <c r="CZ23" s="26"/>
      <c r="DA23" s="32">
        <v>100.55469999999967</v>
      </c>
      <c r="DB23" s="131">
        <f t="shared" si="117"/>
        <v>100.37039999999999</v>
      </c>
      <c r="DC23" s="59">
        <f t="shared" si="118"/>
        <v>-0.92532522099911763</v>
      </c>
      <c r="DD23" s="24"/>
      <c r="DE23" s="22">
        <v>110</v>
      </c>
      <c r="DF23" s="15">
        <f t="shared" si="119"/>
        <v>0</v>
      </c>
      <c r="DG23" s="99"/>
      <c r="DH23" s="92"/>
      <c r="DI23" s="24"/>
    </row>
    <row r="24" spans="1:113" ht="12.75" customHeight="1" x14ac:dyDescent="0.2">
      <c r="A24" s="24"/>
      <c r="B24" s="31">
        <v>60</v>
      </c>
      <c r="C24" s="194" t="s">
        <v>62</v>
      </c>
      <c r="D24" s="102"/>
      <c r="E24" s="193">
        <v>8.6999999999999993</v>
      </c>
      <c r="F24" s="23">
        <f>IF(ISERROR(VLOOKUP($B24,[1]Hedef!$A$4:$ES$45409,25,0)),0,VLOOKUP($B24,[1]Hedef!$A$4:$ES$45409,25,0))+IF(ISERROR(VLOOKUP($B24,[1]Hedef!$A$4:$ES$45409,15,0)),0,VLOOKUP($B24,[1]Hedef!$A$4:$ES$45409,15,0))</f>
        <v>1.1249</v>
      </c>
      <c r="G24" s="23">
        <f>IF((E24-F24)&lt;0, "-", (E24-F24))</f>
        <v>7.5750999999999991</v>
      </c>
      <c r="H24" s="80">
        <f t="shared" si="69"/>
        <v>0.12</v>
      </c>
      <c r="I24" s="24"/>
      <c r="J24" s="32">
        <v>8.3304200000000002</v>
      </c>
      <c r="K24" s="59">
        <f>IF(ISERROR((F24-J24)/J24),0,(F24-J24)/J24)</f>
        <v>-0.86496479169117524</v>
      </c>
      <c r="L24" s="24"/>
      <c r="M24" s="44">
        <v>4.22</v>
      </c>
      <c r="N24" s="23">
        <f>IF(ISERROR(VLOOKUP($B24,[1]Hedef!$A$4:$ES$45409,41,0)),0,VLOOKUP($B24,[1]Hedef!$A$4:$ES$45409,41,0))</f>
        <v>0.21598000000000001</v>
      </c>
      <c r="O24" s="23">
        <f>IF((M24-N24)&lt;0, "-", (M24-N24))</f>
        <v>4.0040199999999997</v>
      </c>
      <c r="P24" s="80">
        <f t="shared" si="70"/>
        <v>0.05</v>
      </c>
      <c r="Q24" s="92"/>
      <c r="R24" s="32">
        <v>4.0810399999999998</v>
      </c>
      <c r="S24" s="59">
        <f>IF(ISERROR((N24-R24)/R24),0,(N24-R24)/R24)</f>
        <v>-0.94707721561170677</v>
      </c>
      <c r="T24" s="102"/>
      <c r="U24" s="22">
        <v>16.48</v>
      </c>
      <c r="V24" s="23">
        <f>IF(ISERROR(VLOOKUP($B24,[1]Hedef!$A$4:$ES$45409,45,0)),0,VLOOKUP($B24,[1]Hedef!$A$4:$ES$45409,45,0))+IF(ISERROR(VLOOKUP($B24,[1]Hedef!$A$4:$ES$45409,109,0)),0,VLOOKUP($B24,[1]Hedef!$A$4:$ES$45409,109,0))</f>
        <v>1.4498000000000002</v>
      </c>
      <c r="W24" s="23">
        <f>IF((U24-V24)&lt;0, "-", (U24-V24))</f>
        <v>15.030200000000001</v>
      </c>
      <c r="X24" s="80">
        <f t="shared" si="71"/>
        <v>0.08</v>
      </c>
      <c r="Y24" s="24"/>
      <c r="Z24" s="32">
        <v>16.043340000000001</v>
      </c>
      <c r="AA24" s="59">
        <f>IF(ISERROR((V24-Z24)/Z24),0,(V24-Z24)/Z24)</f>
        <v>-0.90963228355192871</v>
      </c>
      <c r="AB24" s="99"/>
      <c r="AC24" s="164">
        <v>29.4</v>
      </c>
      <c r="AD24" s="23">
        <f t="shared" si="88"/>
        <v>2.79068</v>
      </c>
      <c r="AE24" s="23">
        <f t="shared" si="89"/>
        <v>26.609319999999997</v>
      </c>
      <c r="AF24" s="80">
        <f t="shared" si="72"/>
        <v>0.09</v>
      </c>
      <c r="AG24" s="22">
        <f t="shared" si="90"/>
        <v>0</v>
      </c>
      <c r="AH24" s="44">
        <f t="shared" si="91"/>
        <v>28.454800000000002</v>
      </c>
      <c r="AI24" s="59">
        <f t="shared" si="92"/>
        <v>-0.90192586136609643</v>
      </c>
      <c r="AJ24" s="92"/>
      <c r="AK24" s="22">
        <v>11.2</v>
      </c>
      <c r="AL24" s="23">
        <f>IF(ISERROR(VLOOKUP($B24,[1]Hedef!$A$4:$ES$45409,97,0)),0,VLOOKUP($B24,[1]Hedef!$A$4:$ES$45409,97,0))</f>
        <v>0</v>
      </c>
      <c r="AM24" s="23">
        <f>IF((AK24-AL24)&lt;0, "-", (AK24-AL24))</f>
        <v>11.2</v>
      </c>
      <c r="AN24" s="80">
        <f t="shared" si="73"/>
        <v>0</v>
      </c>
      <c r="AO24" s="24"/>
      <c r="AP24" s="32">
        <v>10.787579999999998</v>
      </c>
      <c r="AQ24" s="59">
        <f>IF(ISERROR((AL24-AP24)/AP24),0,(AL24-AP24)/AP24)</f>
        <v>-1</v>
      </c>
      <c r="AR24" s="24"/>
      <c r="AS24" s="22">
        <v>2.2999999999999998</v>
      </c>
      <c r="AT24" s="23">
        <f>IF(ISERROR(VLOOKUP($B24,[1]Hedef!$A$4:$ES$45409,57,0)),0,VLOOKUP($B24,[1]Hedef!$A$4:$ES$45409,57,0))</f>
        <v>0.17226000000000002</v>
      </c>
      <c r="AU24" s="23">
        <f>IF((AS24-AT24)&lt;0, "-", (AS24-AT24))</f>
        <v>2.1277399999999997</v>
      </c>
      <c r="AV24" s="80">
        <f t="shared" si="74"/>
        <v>7.0000000000000007E-2</v>
      </c>
      <c r="AW24" s="24"/>
      <c r="AX24" s="32">
        <v>2.2519800000000001</v>
      </c>
      <c r="AY24" s="59">
        <f>IF(ISERROR((AT24-AX24)/AX24),0,(AT24-AX24)/AX24)</f>
        <v>-0.92350731356406357</v>
      </c>
      <c r="AZ24" s="92"/>
      <c r="BA24" s="22">
        <v>1.75</v>
      </c>
      <c r="BB24" s="23">
        <f>IF(ISERROR(VLOOKUP($B24,[1]Hedef!$A$4:$ES$45409,99,0)),0,VLOOKUP($B24,[1]Hedef!$A$4:$ES$45409,99,0))</f>
        <v>0.44980000000000003</v>
      </c>
      <c r="BC24" s="23">
        <f>IF((BA24-BB24)&lt;0, "-", (BA24-BB24))</f>
        <v>1.3002</v>
      </c>
      <c r="BD24" s="80">
        <f t="shared" si="75"/>
        <v>0.25</v>
      </c>
      <c r="BE24" s="24"/>
      <c r="BF24" s="32">
        <v>1.7058600000000002</v>
      </c>
      <c r="BG24" s="59">
        <f>IF(ISERROR((BB24-BF24)/BF24),0,(BB24-BF24)/BF24)</f>
        <v>-0.73632068282274044</v>
      </c>
      <c r="BH24" s="24"/>
      <c r="BI24" s="22">
        <v>1.1000000000000001</v>
      </c>
      <c r="BJ24" s="23">
        <f>IF(ISERROR(VLOOKUP($B24,[1]Hedef!$A$4:$ES$45409,117,0)),0,VLOOKUP($B24,[1]Hedef!$A$4:$ES$45409,117,0))</f>
        <v>0.11939999999999999</v>
      </c>
      <c r="BK24" s="23">
        <f>IF((BI24-BJ24)&lt;0, "-", (BI24-BJ24))</f>
        <v>0.98060000000000014</v>
      </c>
      <c r="BL24" s="80">
        <f t="shared" si="76"/>
        <v>0.1</v>
      </c>
      <c r="BM24" s="24"/>
      <c r="BN24" s="32">
        <v>1.0500400000000001</v>
      </c>
      <c r="BO24" s="59">
        <f>IF(ISERROR((BJ24-BN24)/BN24),0,(BJ24-BN24)/BN24)</f>
        <v>-0.88629004609348216</v>
      </c>
      <c r="BP24" s="99"/>
      <c r="BQ24" s="22">
        <v>16.350000000000001</v>
      </c>
      <c r="BR24" s="23">
        <f t="shared" si="101"/>
        <v>0.74146000000000001</v>
      </c>
      <c r="BS24" s="23">
        <f>IF((BQ24-BR24)&lt;0, "-", (BQ24-BR24))</f>
        <v>15.608540000000001</v>
      </c>
      <c r="BT24" s="80">
        <f t="shared" si="77"/>
        <v>0.04</v>
      </c>
      <c r="BU24" s="22">
        <f t="shared" si="103"/>
        <v>0</v>
      </c>
      <c r="BV24" s="22">
        <f t="shared" si="104"/>
        <v>15.795459999999999</v>
      </c>
      <c r="BW24" s="59">
        <f>IF(ISERROR((BR24-BV24)/BV24),0,(BR24-BV24)/BV24)</f>
        <v>-0.95305866369197223</v>
      </c>
      <c r="BX24" s="183"/>
      <c r="BY24" s="22">
        <v>1.45</v>
      </c>
      <c r="BZ24" s="23">
        <f>IF(ISERROR(VLOOKUP($B24,[1]Hedef!$A$4:$ES$45409,71,0)),0,VLOOKUP($B24,[1]Hedef!$A$4:$ES$45409,71,0))</f>
        <v>0.25869999999999999</v>
      </c>
      <c r="CA24" s="23">
        <f t="shared" si="106"/>
        <v>1.1913</v>
      </c>
      <c r="CB24" s="80">
        <f t="shared" si="78"/>
        <v>0.17</v>
      </c>
      <c r="CC24" s="32">
        <v>1.4177200000000001</v>
      </c>
      <c r="CD24" s="59">
        <f t="shared" si="107"/>
        <v>-0.8175239116327625</v>
      </c>
      <c r="CE24" s="99"/>
      <c r="CF24" s="22">
        <v>5.8</v>
      </c>
      <c r="CG24" s="23">
        <f>IF(ISERROR(VLOOKUP($B24,[1]Hedef!$A$4:$ES$45409,87,0)),0,VLOOKUP($B24,[1]Hedef!$A$4:$ES$45409,87,0))</f>
        <v>0.33850000000000002</v>
      </c>
      <c r="CH24" s="23">
        <f t="shared" si="108"/>
        <v>5.4615</v>
      </c>
      <c r="CI24" s="80">
        <f t="shared" si="79"/>
        <v>0.05</v>
      </c>
      <c r="CJ24" s="32">
        <v>5.5850600000000004</v>
      </c>
      <c r="CK24" s="59">
        <f t="shared" si="109"/>
        <v>-0.93939187761635512</v>
      </c>
      <c r="CL24" s="99"/>
      <c r="CM24" s="22">
        <v>7.25</v>
      </c>
      <c r="CN24" s="23">
        <f t="shared" si="110"/>
        <v>0.59719999999999995</v>
      </c>
      <c r="CO24" s="23">
        <f>IF((CM24-CN24)&lt;0, "-", (CM24-CN24))</f>
        <v>6.6528</v>
      </c>
      <c r="CP24" s="80">
        <f t="shared" si="80"/>
        <v>0.08</v>
      </c>
      <c r="CQ24" s="123">
        <f t="shared" si="112"/>
        <v>0</v>
      </c>
      <c r="CR24" s="23">
        <f t="shared" si="113"/>
        <v>7.0027800000000004</v>
      </c>
      <c r="CS24" s="59">
        <f>IF(ISERROR((CN24-CR24)/CR24),0,(CN24-CR24)/CR24)</f>
        <v>-0.91471958279426169</v>
      </c>
      <c r="CT24" s="82"/>
      <c r="CU24" s="22">
        <f t="shared" si="115"/>
        <v>53</v>
      </c>
      <c r="CV24" s="23">
        <f>IF(ISERROR(VLOOKUP($B24,[1]Hedef!$A$4:$ES$45409,127,0)),0,VLOOKUP($B24,[1]Hedef!$A$4:$ES$45409,127,0))</f>
        <v>4.1293400000000009</v>
      </c>
      <c r="CW24" s="159">
        <f>IF(ISERROR(VLOOKUP($B24,[1]Hedef!$A$4:$ES$45409,47,0)),0,VLOOKUP($B24,[1]Hedef!$A$4:$ES$45409,47,0))</f>
        <v>4.1293400000000009</v>
      </c>
      <c r="CX24" s="23">
        <f>IF((CU24-CV24)&lt;0, "-", (CU24-CV24))</f>
        <v>48.870660000000001</v>
      </c>
      <c r="CY24" s="80">
        <f t="shared" si="81"/>
        <v>7.0000000000000007E-2</v>
      </c>
      <c r="CZ24" s="26"/>
      <c r="DA24" s="32">
        <v>51.285639999999994</v>
      </c>
      <c r="DB24" s="131">
        <f t="shared" si="117"/>
        <v>51.253039999999999</v>
      </c>
      <c r="DC24" s="59">
        <f>IF(ISERROR((CV24-DA24)/DA24),0,(CV24-DA24)/DA24)</f>
        <v>-0.91948350454435201</v>
      </c>
      <c r="DD24" s="24"/>
      <c r="DE24" s="22">
        <v>53</v>
      </c>
      <c r="DF24" s="15">
        <f t="shared" si="119"/>
        <v>0</v>
      </c>
      <c r="DG24" s="99"/>
      <c r="DH24" s="92"/>
      <c r="DI24" s="24"/>
    </row>
    <row r="25" spans="1:113" ht="12.75" customHeight="1" x14ac:dyDescent="0.2">
      <c r="A25" s="24"/>
      <c r="B25" s="31">
        <v>45</v>
      </c>
      <c r="C25" s="194" t="s">
        <v>17</v>
      </c>
      <c r="D25" s="102"/>
      <c r="E25" s="193">
        <v>4.33</v>
      </c>
      <c r="F25" s="23">
        <f>IF(ISERROR(VLOOKUP($B25,[1]Hedef!$A$4:$ES$45409,25,0)),0,VLOOKUP($B25,[1]Hedef!$A$4:$ES$45409,25,0))+IF(ISERROR(VLOOKUP($B25,[1]Hedef!$A$4:$ES$45409,15,0)),0,VLOOKUP($B25,[1]Hedef!$A$4:$ES$45409,15,0))</f>
        <v>0.84750000000000014</v>
      </c>
      <c r="G25" s="23">
        <f t="shared" ref="G25:G27" si="120">IF((E25-F25)&lt;0, "-", (E25-F25))</f>
        <v>3.4824999999999999</v>
      </c>
      <c r="H25" s="80">
        <f t="shared" si="69"/>
        <v>0.19</v>
      </c>
      <c r="I25" s="24"/>
      <c r="J25" s="32">
        <v>3.0175000000000001</v>
      </c>
      <c r="K25" s="59">
        <f t="shared" ref="K25:K27" si="121">IF(ISERROR((F25-J25)/J25),0,(F25-J25)/J25)</f>
        <v>-0.71913835956917971</v>
      </c>
      <c r="L25" s="24"/>
      <c r="M25" s="44">
        <v>9.5</v>
      </c>
      <c r="N25" s="23">
        <f>IF(ISERROR(VLOOKUP($B25,[1]Hedef!$A$4:$ES$45409,41,0)),0,VLOOKUP($B25,[1]Hedef!$A$4:$ES$45409,41,0))</f>
        <v>0.40800000000000003</v>
      </c>
      <c r="O25" s="23">
        <f t="shared" si="84"/>
        <v>9.0920000000000005</v>
      </c>
      <c r="P25" s="80">
        <f t="shared" si="70"/>
        <v>0.04</v>
      </c>
      <c r="Q25" s="92"/>
      <c r="R25" s="32">
        <v>6.569</v>
      </c>
      <c r="S25" s="59">
        <f t="shared" si="85"/>
        <v>-0.93789008981580146</v>
      </c>
      <c r="T25" s="102"/>
      <c r="U25" s="22">
        <v>1.17</v>
      </c>
      <c r="V25" s="23">
        <f>IF(ISERROR(VLOOKUP($B25,[1]Hedef!$A$4:$ES$45409,45,0)),0,VLOOKUP($B25,[1]Hedef!$A$4:$ES$45409,45,0))+IF(ISERROR(VLOOKUP($B25,[1]Hedef!$A$4:$ES$45409,109,0)),0,VLOOKUP($B25,[1]Hedef!$A$4:$ES$45409,109,0))</f>
        <v>0.53400000000000003</v>
      </c>
      <c r="W25" s="23">
        <f t="shared" si="86"/>
        <v>0.6359999999999999</v>
      </c>
      <c r="X25" s="80">
        <f t="shared" si="71"/>
        <v>0.45</v>
      </c>
      <c r="Y25" s="24"/>
      <c r="Z25" s="32">
        <v>0.871</v>
      </c>
      <c r="AA25" s="59">
        <f t="shared" si="87"/>
        <v>-0.38691159586681972</v>
      </c>
      <c r="AB25" s="99"/>
      <c r="AC25" s="164">
        <v>15</v>
      </c>
      <c r="AD25" s="23">
        <f t="shared" si="88"/>
        <v>1.7895000000000003</v>
      </c>
      <c r="AE25" s="23">
        <f t="shared" si="89"/>
        <v>13.2105</v>
      </c>
      <c r="AF25" s="80">
        <f t="shared" si="72"/>
        <v>0.11</v>
      </c>
      <c r="AG25" s="22">
        <f t="shared" si="90"/>
        <v>0</v>
      </c>
      <c r="AH25" s="44">
        <f t="shared" si="91"/>
        <v>10.4575</v>
      </c>
      <c r="AI25" s="59">
        <f t="shared" si="92"/>
        <v>-0.82887879512311735</v>
      </c>
      <c r="AJ25" s="24"/>
      <c r="AK25" s="22">
        <v>12</v>
      </c>
      <c r="AL25" s="23">
        <f>IF(ISERROR(VLOOKUP($B25,[1]Hedef!$A$4:$ES$45409,97,0)),0,VLOOKUP($B25,[1]Hedef!$A$4:$ES$45409,97,0))</f>
        <v>0</v>
      </c>
      <c r="AM25" s="23">
        <f t="shared" ref="AM25:AM27" si="122">IF((AK25-AL25)&lt;0, "-", (AK25-AL25))</f>
        <v>12</v>
      </c>
      <c r="AN25" s="80">
        <f t="shared" si="73"/>
        <v>0</v>
      </c>
      <c r="AO25" s="24"/>
      <c r="AP25" s="32">
        <v>8.4375</v>
      </c>
      <c r="AQ25" s="59">
        <f t="shared" ref="AQ25:AQ27" si="123">IF(ISERROR((AL25-AP25)/AP25),0,(AL25-AP25)/AP25)</f>
        <v>-1</v>
      </c>
      <c r="AR25" s="24"/>
      <c r="AS25" s="22">
        <v>2.8</v>
      </c>
      <c r="AT25" s="23">
        <f>IF(ISERROR(VLOOKUP($B25,[1]Hedef!$A$4:$ES$45409,57,0)),0,VLOOKUP($B25,[1]Hedef!$A$4:$ES$45409,57,0))</f>
        <v>0.67250000000000021</v>
      </c>
      <c r="AU25" s="23">
        <f t="shared" si="95"/>
        <v>2.1274999999999995</v>
      </c>
      <c r="AV25" s="80">
        <f t="shared" si="74"/>
        <v>0.24</v>
      </c>
      <c r="AW25" s="24"/>
      <c r="AX25" s="32">
        <v>1.9769999999999999</v>
      </c>
      <c r="AY25" s="59">
        <f t="shared" si="96"/>
        <v>-0.65983813859382889</v>
      </c>
      <c r="AZ25" s="92"/>
      <c r="BA25" s="22">
        <v>12.4</v>
      </c>
      <c r="BB25" s="23">
        <f>IF(ISERROR(VLOOKUP($B25,[1]Hedef!$A$4:$ES$45409,99,0)),0,VLOOKUP($B25,[1]Hedef!$A$4:$ES$45409,99,0))</f>
        <v>1.5569999999999997</v>
      </c>
      <c r="BC25" s="23">
        <f t="shared" si="97"/>
        <v>10.843</v>
      </c>
      <c r="BD25" s="80">
        <f t="shared" si="75"/>
        <v>0.12</v>
      </c>
      <c r="BE25" s="24"/>
      <c r="BF25" s="32">
        <v>8.7080000000000002</v>
      </c>
      <c r="BG25" s="59">
        <f t="shared" si="98"/>
        <v>-0.82119889756545716</v>
      </c>
      <c r="BH25" s="24"/>
      <c r="BI25" s="22">
        <v>4.5</v>
      </c>
      <c r="BJ25" s="23">
        <f>IF(ISERROR(VLOOKUP($B25,[1]Hedef!$A$4:$ES$45409,117,0)),0,VLOOKUP($B25,[1]Hedef!$A$4:$ES$45409,117,0))</f>
        <v>0.75600000000000012</v>
      </c>
      <c r="BK25" s="23">
        <f t="shared" si="99"/>
        <v>3.7439999999999998</v>
      </c>
      <c r="BL25" s="80">
        <f t="shared" si="76"/>
        <v>0.16</v>
      </c>
      <c r="BM25" s="24"/>
      <c r="BN25" s="32">
        <v>3.2435000000000005</v>
      </c>
      <c r="BO25" s="59">
        <f t="shared" si="100"/>
        <v>-0.76691845228919375</v>
      </c>
      <c r="BP25" s="99"/>
      <c r="BQ25" s="22">
        <v>31.7</v>
      </c>
      <c r="BR25" s="23">
        <f t="shared" si="101"/>
        <v>2.9855</v>
      </c>
      <c r="BS25" s="23">
        <f t="shared" si="102"/>
        <v>28.714500000000001</v>
      </c>
      <c r="BT25" s="80">
        <f t="shared" si="77"/>
        <v>0.09</v>
      </c>
      <c r="BU25" s="22">
        <f t="shared" si="103"/>
        <v>0</v>
      </c>
      <c r="BV25" s="22">
        <f t="shared" si="104"/>
        <v>22.366</v>
      </c>
      <c r="BW25" s="59">
        <f t="shared" si="105"/>
        <v>-0.86651614057050874</v>
      </c>
      <c r="BX25" s="183"/>
      <c r="BY25" s="22">
        <v>9.32</v>
      </c>
      <c r="BZ25" s="23">
        <f>IF(ISERROR(VLOOKUP($B25,[1]Hedef!$A$4:$ES$45409,71,0)),0,VLOOKUP($B25,[1]Hedef!$A$4:$ES$45409,71,0))</f>
        <v>1.5355000000000001</v>
      </c>
      <c r="CA25" s="23">
        <f t="shared" si="106"/>
        <v>7.7845000000000004</v>
      </c>
      <c r="CB25" s="80">
        <f t="shared" si="78"/>
        <v>0.16</v>
      </c>
      <c r="CC25" s="32">
        <v>6.4615</v>
      </c>
      <c r="CD25" s="59">
        <f t="shared" si="107"/>
        <v>-0.76236168072429</v>
      </c>
      <c r="CE25" s="99"/>
      <c r="CF25" s="22">
        <v>23.98</v>
      </c>
      <c r="CG25" s="23">
        <f>IF(ISERROR(VLOOKUP($B25,[1]Hedef!$A$4:$ES$45409,87,0)),0,VLOOKUP($B25,[1]Hedef!$A$4:$ES$45409,87,0))</f>
        <v>1.0649999999999999</v>
      </c>
      <c r="CH25" s="23">
        <f t="shared" si="108"/>
        <v>22.914999999999999</v>
      </c>
      <c r="CI25" s="80">
        <f t="shared" si="79"/>
        <v>0.04</v>
      </c>
      <c r="CJ25" s="32">
        <v>16.894000000000002</v>
      </c>
      <c r="CK25" s="59">
        <f t="shared" si="109"/>
        <v>-0.93695986740854742</v>
      </c>
      <c r="CL25" s="99"/>
      <c r="CM25" s="22">
        <v>33.299999999999997</v>
      </c>
      <c r="CN25" s="23">
        <f t="shared" si="110"/>
        <v>2.6005000000000003</v>
      </c>
      <c r="CO25" s="23">
        <f t="shared" si="111"/>
        <v>30.699499999999997</v>
      </c>
      <c r="CP25" s="80">
        <f t="shared" si="80"/>
        <v>7.0000000000000007E-2</v>
      </c>
      <c r="CQ25" s="123">
        <f t="shared" si="112"/>
        <v>0</v>
      </c>
      <c r="CR25" s="23">
        <f t="shared" si="113"/>
        <v>23.355500000000003</v>
      </c>
      <c r="CS25" s="59">
        <f t="shared" si="114"/>
        <v>-0.88865577701183873</v>
      </c>
      <c r="CT25" s="82"/>
      <c r="CU25" s="22">
        <f t="shared" si="115"/>
        <v>80</v>
      </c>
      <c r="CV25" s="23">
        <f>IF(ISERROR(VLOOKUP($B25,[1]Hedef!$A$4:$ES$45409,127,0)),0,VLOOKUP($B25,[1]Hedef!$A$4:$ES$45409,127,0))</f>
        <v>7.3755000000000006</v>
      </c>
      <c r="CW25" s="159">
        <f>IF(ISERROR(VLOOKUP($B25,[1]Hedef!$A$4:$ES$45409,47,0)),0,VLOOKUP($B25,[1]Hedef!$A$4:$ES$45409,47,0))</f>
        <v>7.3755000000000006</v>
      </c>
      <c r="CX25" s="23">
        <f t="shared" si="116"/>
        <v>72.624499999999998</v>
      </c>
      <c r="CY25" s="80">
        <f t="shared" si="81"/>
        <v>0.09</v>
      </c>
      <c r="CZ25" s="26"/>
      <c r="DA25" s="32">
        <v>56.230899999999991</v>
      </c>
      <c r="DB25" s="131">
        <f t="shared" si="117"/>
        <v>56.179000000000002</v>
      </c>
      <c r="DC25" s="59">
        <f t="shared" si="118"/>
        <v>-0.86883546235254983</v>
      </c>
      <c r="DD25" s="24"/>
      <c r="DE25" s="22">
        <v>80</v>
      </c>
      <c r="DF25" s="15">
        <f t="shared" si="119"/>
        <v>0</v>
      </c>
      <c r="DG25" s="99"/>
      <c r="DH25" s="92"/>
      <c r="DI25" s="24"/>
    </row>
    <row r="26" spans="1:113" ht="12.75" customHeight="1" x14ac:dyDescent="0.2">
      <c r="A26" s="24"/>
      <c r="B26" s="31">
        <v>12</v>
      </c>
      <c r="C26" s="194" t="s">
        <v>18</v>
      </c>
      <c r="D26" s="102"/>
      <c r="E26" s="193">
        <v>2.2000000000000002</v>
      </c>
      <c r="F26" s="23">
        <f>IF(ISERROR(VLOOKUP($B26,[1]Hedef!$A$4:$ES$45409,25,0)),0,VLOOKUP($B26,[1]Hedef!$A$4:$ES$45409,25,0))+IF(ISERROR(VLOOKUP($B26,[1]Hedef!$A$4:$ES$45409,15,0)),0,VLOOKUP($B26,[1]Hedef!$A$4:$ES$45409,15,0))</f>
        <v>0.59550000000000003</v>
      </c>
      <c r="G26" s="23">
        <f t="shared" si="120"/>
        <v>1.6045000000000003</v>
      </c>
      <c r="H26" s="80">
        <f t="shared" si="69"/>
        <v>0.27</v>
      </c>
      <c r="I26" s="24"/>
      <c r="J26" s="32">
        <v>1.1445000000000001</v>
      </c>
      <c r="K26" s="59">
        <f t="shared" si="121"/>
        <v>-0.4796854521625164</v>
      </c>
      <c r="L26" s="24"/>
      <c r="M26" s="44">
        <v>0.85</v>
      </c>
      <c r="N26" s="23">
        <f>IF(ISERROR(VLOOKUP($B26,[1]Hedef!$A$4:$ES$45409,41,0)),0,VLOOKUP($B26,[1]Hedef!$A$4:$ES$45409,41,0))</f>
        <v>6.8449999999999997E-2</v>
      </c>
      <c r="O26" s="23">
        <f t="shared" si="84"/>
        <v>0.78154999999999997</v>
      </c>
      <c r="P26" s="80">
        <f t="shared" si="70"/>
        <v>0.08</v>
      </c>
      <c r="Q26" s="92"/>
      <c r="R26" s="32">
        <v>0.51855000000000007</v>
      </c>
      <c r="S26" s="59">
        <f t="shared" si="85"/>
        <v>-0.86799730016391863</v>
      </c>
      <c r="T26" s="102"/>
      <c r="U26" s="22">
        <v>0.4</v>
      </c>
      <c r="V26" s="23">
        <f>IF(ISERROR(VLOOKUP($B26,[1]Hedef!$A$4:$ES$45409,45,0)),0,VLOOKUP($B26,[1]Hedef!$A$4:$ES$45409,45,0))+IF(ISERROR(VLOOKUP($B26,[1]Hedef!$A$4:$ES$45409,109,0)),0,VLOOKUP($B26,[1]Hedef!$A$4:$ES$45409,109,0))</f>
        <v>0.18029999999999999</v>
      </c>
      <c r="W26" s="23">
        <f t="shared" si="86"/>
        <v>0.21970000000000003</v>
      </c>
      <c r="X26" s="80">
        <f t="shared" si="71"/>
        <v>0.45</v>
      </c>
      <c r="Y26" s="24"/>
      <c r="Z26" s="32">
        <v>0.15810000000000002</v>
      </c>
      <c r="AA26" s="59">
        <f t="shared" si="87"/>
        <v>0.14041745730550265</v>
      </c>
      <c r="AB26" s="99"/>
      <c r="AC26" s="164">
        <v>3.45</v>
      </c>
      <c r="AD26" s="23">
        <f t="shared" si="88"/>
        <v>0.84424999999999994</v>
      </c>
      <c r="AE26" s="23">
        <f t="shared" si="89"/>
        <v>2.6057500000000005</v>
      </c>
      <c r="AF26" s="80">
        <f t="shared" si="72"/>
        <v>0.24</v>
      </c>
      <c r="AG26" s="22">
        <f t="shared" si="90"/>
        <v>0</v>
      </c>
      <c r="AH26" s="44">
        <f t="shared" si="91"/>
        <v>1.8211500000000003</v>
      </c>
      <c r="AI26" s="59">
        <f t="shared" si="92"/>
        <v>-0.53641929550009615</v>
      </c>
      <c r="AJ26" s="24"/>
      <c r="AK26" s="22">
        <v>2</v>
      </c>
      <c r="AL26" s="23">
        <f>IF(ISERROR(VLOOKUP($B26,[1]Hedef!$A$4:$ES$45409,97,0)),0,VLOOKUP($B26,[1]Hedef!$A$4:$ES$45409,97,0))</f>
        <v>0</v>
      </c>
      <c r="AM26" s="23">
        <f t="shared" si="122"/>
        <v>2</v>
      </c>
      <c r="AN26" s="80">
        <f t="shared" si="73"/>
        <v>0</v>
      </c>
      <c r="AO26" s="24"/>
      <c r="AP26" s="32">
        <v>1.0125</v>
      </c>
      <c r="AQ26" s="59">
        <f t="shared" si="123"/>
        <v>-1</v>
      </c>
      <c r="AR26" s="24"/>
      <c r="AS26" s="22">
        <v>0.9</v>
      </c>
      <c r="AT26" s="23">
        <f>IF(ISERROR(VLOOKUP($B26,[1]Hedef!$A$4:$ES$45409,57,0)),0,VLOOKUP($B26,[1]Hedef!$A$4:$ES$45409,57,0))</f>
        <v>7.2550000000000003E-2</v>
      </c>
      <c r="AU26" s="23">
        <f t="shared" si="95"/>
        <v>0.82745000000000002</v>
      </c>
      <c r="AV26" s="80">
        <f t="shared" si="74"/>
        <v>0.08</v>
      </c>
      <c r="AW26" s="24"/>
      <c r="AX26" s="32">
        <v>0.46890000000000004</v>
      </c>
      <c r="AY26" s="59">
        <f t="shared" si="96"/>
        <v>-0.84527617828961399</v>
      </c>
      <c r="AZ26" s="92"/>
      <c r="BA26" s="22">
        <v>0.6</v>
      </c>
      <c r="BB26" s="23">
        <f>IF(ISERROR(VLOOKUP($B26,[1]Hedef!$A$4:$ES$45409,99,0)),0,VLOOKUP($B26,[1]Hedef!$A$4:$ES$45409,99,0))</f>
        <v>7.7399999999999997E-2</v>
      </c>
      <c r="BC26" s="23">
        <f t="shared" si="97"/>
        <v>0.52259999999999995</v>
      </c>
      <c r="BD26" s="80">
        <f t="shared" si="75"/>
        <v>0.12</v>
      </c>
      <c r="BE26" s="24"/>
      <c r="BF26" s="32">
        <v>0.31884999999999997</v>
      </c>
      <c r="BG26" s="59">
        <f t="shared" si="98"/>
        <v>-0.75725262662694059</v>
      </c>
      <c r="BH26" s="24"/>
      <c r="BI26" s="22">
        <v>0.6</v>
      </c>
      <c r="BJ26" s="23">
        <f>IF(ISERROR(VLOOKUP($B26,[1]Hedef!$A$4:$ES$45409,117,0)),0,VLOOKUP($B26,[1]Hedef!$A$4:$ES$45409,117,0))</f>
        <v>3.2250000000000001E-2</v>
      </c>
      <c r="BK26" s="23">
        <f t="shared" si="99"/>
        <v>0.56774999999999998</v>
      </c>
      <c r="BL26" s="80">
        <f t="shared" si="76"/>
        <v>0.05</v>
      </c>
      <c r="BM26" s="24"/>
      <c r="BN26" s="32">
        <v>0.36509999999999998</v>
      </c>
      <c r="BO26" s="59">
        <f t="shared" si="100"/>
        <v>-0.91166803615447822</v>
      </c>
      <c r="BP26" s="99"/>
      <c r="BQ26" s="22">
        <v>4.0999999999999996</v>
      </c>
      <c r="BR26" s="23">
        <f t="shared" si="101"/>
        <v>0.1822</v>
      </c>
      <c r="BS26" s="23">
        <f t="shared" si="102"/>
        <v>3.9177999999999997</v>
      </c>
      <c r="BT26" s="80">
        <f t="shared" si="77"/>
        <v>0.04</v>
      </c>
      <c r="BU26" s="22">
        <f t="shared" si="103"/>
        <v>0</v>
      </c>
      <c r="BV26" s="22">
        <f t="shared" si="104"/>
        <v>2.1653500000000001</v>
      </c>
      <c r="BW26" s="59">
        <f t="shared" si="105"/>
        <v>-0.91585655898584528</v>
      </c>
      <c r="BX26" s="183"/>
      <c r="BY26" s="22">
        <v>0.48</v>
      </c>
      <c r="BZ26" s="23">
        <f>IF(ISERROR(VLOOKUP($B26,[1]Hedef!$A$4:$ES$45409,71,0)),0,VLOOKUP($B26,[1]Hedef!$A$4:$ES$45409,71,0))</f>
        <v>8.660000000000001E-2</v>
      </c>
      <c r="CA26" s="23">
        <f t="shared" si="106"/>
        <v>0.39339999999999997</v>
      </c>
      <c r="CB26" s="80">
        <f t="shared" si="78"/>
        <v>0.18</v>
      </c>
      <c r="CC26" s="32">
        <v>0.25795000000000001</v>
      </c>
      <c r="CD26" s="59">
        <f t="shared" si="107"/>
        <v>-0.66427602248497764</v>
      </c>
      <c r="CE26" s="99"/>
      <c r="CF26" s="22">
        <v>2.97</v>
      </c>
      <c r="CG26" s="23">
        <f>IF(ISERROR(VLOOKUP($B26,[1]Hedef!$A$4:$ES$45409,87,0)),0,VLOOKUP($B26,[1]Hedef!$A$4:$ES$45409,87,0))</f>
        <v>0.12664999999999998</v>
      </c>
      <c r="CH26" s="23">
        <f t="shared" si="108"/>
        <v>2.84335</v>
      </c>
      <c r="CI26" s="80">
        <f t="shared" si="79"/>
        <v>0.04</v>
      </c>
      <c r="CJ26" s="32">
        <v>1.5626499999999997</v>
      </c>
      <c r="CK26" s="59">
        <f t="shared" si="109"/>
        <v>-0.91895178062905969</v>
      </c>
      <c r="CL26" s="99"/>
      <c r="CM26" s="22">
        <v>3.45</v>
      </c>
      <c r="CN26" s="23">
        <f t="shared" si="110"/>
        <v>0.21325</v>
      </c>
      <c r="CO26" s="23">
        <f t="shared" si="111"/>
        <v>3.2367500000000002</v>
      </c>
      <c r="CP26" s="80">
        <f t="shared" si="80"/>
        <v>0.06</v>
      </c>
      <c r="CQ26" s="123">
        <f t="shared" si="112"/>
        <v>0</v>
      </c>
      <c r="CR26" s="23">
        <f t="shared" si="113"/>
        <v>1.8205999999999998</v>
      </c>
      <c r="CS26" s="59">
        <f t="shared" si="114"/>
        <v>-0.8828682851807097</v>
      </c>
      <c r="CT26" s="82"/>
      <c r="CU26" s="22">
        <f t="shared" si="115"/>
        <v>11</v>
      </c>
      <c r="CV26" s="23">
        <f>IF(ISERROR(VLOOKUP($B26,[1]Hedef!$A$4:$ES$45409,127,0)),0,VLOOKUP($B26,[1]Hedef!$A$4:$ES$45409,127,0))</f>
        <v>1.2397000000000002</v>
      </c>
      <c r="CW26" s="159">
        <f>IF(ISERROR(VLOOKUP($B26,[1]Hedef!$A$4:$ES$45409,47,0)),0,VLOOKUP($B26,[1]Hedef!$A$4:$ES$45409,47,0))</f>
        <v>1.2397000000000002</v>
      </c>
      <c r="CX26" s="23">
        <f t="shared" si="116"/>
        <v>9.7602999999999991</v>
      </c>
      <c r="CY26" s="80">
        <f t="shared" si="81"/>
        <v>0.11</v>
      </c>
      <c r="CZ26" s="26"/>
      <c r="DA26" s="32">
        <v>5.8074500000000002</v>
      </c>
      <c r="DB26" s="131">
        <f t="shared" si="117"/>
        <v>5.8071000000000002</v>
      </c>
      <c r="DC26" s="59">
        <f t="shared" si="118"/>
        <v>-0.78653281560753863</v>
      </c>
      <c r="DD26" s="24"/>
      <c r="DE26" s="22">
        <v>11</v>
      </c>
      <c r="DF26" s="15">
        <f t="shared" si="119"/>
        <v>0</v>
      </c>
      <c r="DG26" s="99"/>
      <c r="DH26" s="92"/>
      <c r="DI26" s="24"/>
    </row>
    <row r="27" spans="1:113" ht="12.75" customHeight="1" x14ac:dyDescent="0.2">
      <c r="A27" s="24"/>
      <c r="B27" s="31">
        <v>13</v>
      </c>
      <c r="C27" s="194" t="s">
        <v>106</v>
      </c>
      <c r="D27" s="102"/>
      <c r="E27" s="193">
        <v>13.8</v>
      </c>
      <c r="F27" s="23">
        <f>IF(ISERROR(VLOOKUP($B27,[1]Hedef!$A$4:$ES$45409,25,0)),0,VLOOKUP($B27,[1]Hedef!$A$4:$ES$45409,25,0))+IF(ISERROR(VLOOKUP($B27,[1]Hedef!$A$4:$ES$45409,15,0)),0,VLOOKUP($B27,[1]Hedef!$A$4:$ES$45409,15,0))</f>
        <v>0.53749999999999998</v>
      </c>
      <c r="G27" s="23">
        <f t="shared" si="120"/>
        <v>13.262500000000001</v>
      </c>
      <c r="H27" s="80">
        <f t="shared" si="69"/>
        <v>0.03</v>
      </c>
      <c r="I27" s="24"/>
      <c r="J27" s="32">
        <v>27.574629999999999</v>
      </c>
      <c r="K27" s="59">
        <f t="shared" si="121"/>
        <v>-0.98050744470551365</v>
      </c>
      <c r="L27" s="24"/>
      <c r="M27" s="44">
        <v>10.9</v>
      </c>
      <c r="N27" s="23">
        <f>IF(ISERROR(VLOOKUP($B27,[1]Hedef!$A$4:$ES$45409,41,0)),0,VLOOKUP($B27,[1]Hedef!$A$4:$ES$45409,41,0))</f>
        <v>0.56506000000000012</v>
      </c>
      <c r="O27" s="23">
        <f t="shared" si="84"/>
        <v>10.33494</v>
      </c>
      <c r="P27" s="80">
        <f t="shared" si="70"/>
        <v>0.05</v>
      </c>
      <c r="Q27" s="92"/>
      <c r="R27" s="32">
        <v>21.616730000000004</v>
      </c>
      <c r="S27" s="59">
        <f t="shared" si="85"/>
        <v>-0.97386006116558799</v>
      </c>
      <c r="T27" s="102"/>
      <c r="U27" s="22">
        <v>49.3</v>
      </c>
      <c r="V27" s="23">
        <f>IF(ISERROR(VLOOKUP($B27,[1]Hedef!$A$4:$ES$45409,45,0)),0,VLOOKUP($B27,[1]Hedef!$A$4:$ES$45409,45,0))+IF(ISERROR(VLOOKUP($B27,[1]Hedef!$A$4:$ES$45409,109,0)),0,VLOOKUP($B27,[1]Hedef!$A$4:$ES$45409,109,0))</f>
        <v>0.76694000000000007</v>
      </c>
      <c r="W27" s="23">
        <f t="shared" si="86"/>
        <v>48.533059999999999</v>
      </c>
      <c r="X27" s="80">
        <f t="shared" si="71"/>
        <v>0.01</v>
      </c>
      <c r="Y27" s="24"/>
      <c r="Z27" s="32">
        <v>98.787129999999991</v>
      </c>
      <c r="AA27" s="59">
        <f t="shared" si="87"/>
        <v>-0.9922364380866211</v>
      </c>
      <c r="AB27" s="99"/>
      <c r="AC27" s="164">
        <v>74</v>
      </c>
      <c r="AD27" s="23">
        <f t="shared" si="88"/>
        <v>1.8695000000000004</v>
      </c>
      <c r="AE27" s="23">
        <f t="shared" si="89"/>
        <v>72.130499999999998</v>
      </c>
      <c r="AF27" s="80">
        <f t="shared" si="72"/>
        <v>0.02</v>
      </c>
      <c r="AG27" s="22">
        <f t="shared" si="90"/>
        <v>0</v>
      </c>
      <c r="AH27" s="44">
        <f t="shared" si="91"/>
        <v>147.97848999999999</v>
      </c>
      <c r="AI27" s="59">
        <f t="shared" si="92"/>
        <v>-0.98736640710416768</v>
      </c>
      <c r="AJ27" s="24"/>
      <c r="AK27" s="22">
        <v>41</v>
      </c>
      <c r="AL27" s="23">
        <f>IF(ISERROR(VLOOKUP($B27,[1]Hedef!$A$4:$ES$45409,97,0)),0,VLOOKUP($B27,[1]Hedef!$A$4:$ES$45409,97,0))</f>
        <v>0</v>
      </c>
      <c r="AM27" s="23">
        <f t="shared" si="122"/>
        <v>41</v>
      </c>
      <c r="AN27" s="80">
        <f t="shared" si="73"/>
        <v>0</v>
      </c>
      <c r="AO27" s="24"/>
      <c r="AP27" s="32">
        <v>82.077000000000012</v>
      </c>
      <c r="AQ27" s="59">
        <f t="shared" si="123"/>
        <v>-1</v>
      </c>
      <c r="AR27" s="24"/>
      <c r="AS27" s="22">
        <v>4.8</v>
      </c>
      <c r="AT27" s="23">
        <f>IF(ISERROR(VLOOKUP($B27,[1]Hedef!$A$4:$ES$45409,57,0)),0,VLOOKUP($B27,[1]Hedef!$A$4:$ES$45409,57,0))</f>
        <v>0.22058</v>
      </c>
      <c r="AU27" s="23">
        <f t="shared" si="95"/>
        <v>4.5794199999999998</v>
      </c>
      <c r="AV27" s="80">
        <f t="shared" si="74"/>
        <v>0.04</v>
      </c>
      <c r="AW27" s="24"/>
      <c r="AX27" s="32">
        <v>9.8435100000000002</v>
      </c>
      <c r="AY27" s="59">
        <f t="shared" si="96"/>
        <v>-0.97759132667107562</v>
      </c>
      <c r="AZ27" s="92"/>
      <c r="BA27" s="22">
        <v>7.7</v>
      </c>
      <c r="BB27" s="23">
        <f>IF(ISERROR(VLOOKUP($B27,[1]Hedef!$A$4:$ES$45409,99,0)),0,VLOOKUP($B27,[1]Hedef!$A$4:$ES$45409,99,0))</f>
        <v>1.52695</v>
      </c>
      <c r="BC27" s="23">
        <f t="shared" si="97"/>
        <v>6.1730499999999999</v>
      </c>
      <c r="BD27" s="80">
        <f t="shared" si="75"/>
        <v>0.19</v>
      </c>
      <c r="BE27" s="24"/>
      <c r="BF27" s="32">
        <v>15.64631</v>
      </c>
      <c r="BG27" s="59">
        <f t="shared" si="98"/>
        <v>-0.9024082994648579</v>
      </c>
      <c r="BH27" s="24"/>
      <c r="BI27" s="22">
        <v>12.5</v>
      </c>
      <c r="BJ27" s="23">
        <f>IF(ISERROR(VLOOKUP($B27,[1]Hedef!$A$4:$ES$45409,117,0)),0,VLOOKUP($B27,[1]Hedef!$A$4:$ES$45409,117,0))</f>
        <v>0.72144999999999992</v>
      </c>
      <c r="BK27" s="23">
        <f t="shared" si="99"/>
        <v>11.778549999999999</v>
      </c>
      <c r="BL27" s="80">
        <f t="shared" si="76"/>
        <v>0.05</v>
      </c>
      <c r="BM27" s="24"/>
      <c r="BN27" s="32">
        <v>25.93993</v>
      </c>
      <c r="BO27" s="59">
        <f t="shared" si="100"/>
        <v>-0.97218766588807293</v>
      </c>
      <c r="BP27" s="99"/>
      <c r="BQ27" s="22">
        <v>66</v>
      </c>
      <c r="BR27" s="23">
        <f t="shared" si="101"/>
        <v>2.4689800000000002</v>
      </c>
      <c r="BS27" s="23">
        <f t="shared" si="102"/>
        <v>63.531019999999998</v>
      </c>
      <c r="BT27" s="80">
        <f t="shared" si="77"/>
        <v>0.03</v>
      </c>
      <c r="BU27" s="22">
        <f t="shared" si="103"/>
        <v>0</v>
      </c>
      <c r="BV27" s="22">
        <f t="shared" si="104"/>
        <v>133.50675000000001</v>
      </c>
      <c r="BW27" s="59">
        <f t="shared" si="105"/>
        <v>-0.98150670284461283</v>
      </c>
      <c r="BX27" s="183"/>
      <c r="BY27" s="22">
        <v>10.6</v>
      </c>
      <c r="BZ27" s="23">
        <f>IF(ISERROR(VLOOKUP($B27,[1]Hedef!$A$4:$ES$45409,71,0)),0,VLOOKUP($B27,[1]Hedef!$A$4:$ES$45409,71,0))</f>
        <v>1.6817399999999998</v>
      </c>
      <c r="CA27" s="23">
        <f t="shared" si="106"/>
        <v>8.9182600000000001</v>
      </c>
      <c r="CB27" s="80">
        <f t="shared" si="78"/>
        <v>0.15</v>
      </c>
      <c r="CC27" s="32">
        <v>21.133229999999994</v>
      </c>
      <c r="CD27" s="59">
        <f t="shared" si="107"/>
        <v>-0.92042200837259602</v>
      </c>
      <c r="CE27" s="99"/>
      <c r="CF27" s="22">
        <v>9.4</v>
      </c>
      <c r="CG27" s="23">
        <f>IF(ISERROR(VLOOKUP($B27,[1]Hedef!$A$4:$ES$45409,87,0)),0,VLOOKUP($B27,[1]Hedef!$A$4:$ES$45409,87,0))</f>
        <v>1.6271499999999999</v>
      </c>
      <c r="CH27" s="23">
        <f t="shared" si="108"/>
        <v>7.77285</v>
      </c>
      <c r="CI27" s="80">
        <f t="shared" si="79"/>
        <v>0.17</v>
      </c>
      <c r="CJ27" s="32">
        <v>19.215049999999998</v>
      </c>
      <c r="CK27" s="59">
        <f t="shared" si="109"/>
        <v>-0.91531898173567072</v>
      </c>
      <c r="CL27" s="99"/>
      <c r="CM27" s="22">
        <v>20</v>
      </c>
      <c r="CN27" s="23">
        <f t="shared" si="110"/>
        <v>3.3088899999999999</v>
      </c>
      <c r="CO27" s="23">
        <f t="shared" si="111"/>
        <v>16.691110000000002</v>
      </c>
      <c r="CP27" s="80">
        <f t="shared" si="80"/>
        <v>0.16</v>
      </c>
      <c r="CQ27" s="123">
        <f t="shared" si="112"/>
        <v>0</v>
      </c>
      <c r="CR27" s="23">
        <f t="shared" si="113"/>
        <v>40.348279999999988</v>
      </c>
      <c r="CS27" s="59">
        <f t="shared" si="114"/>
        <v>-0.91799179543712894</v>
      </c>
      <c r="CT27" s="82"/>
      <c r="CU27" s="22">
        <f t="shared" si="115"/>
        <v>160</v>
      </c>
      <c r="CV27" s="23">
        <f>IF(ISERROR(VLOOKUP($B27,[1]Hedef!$A$4:$ES$45409,127,0)),0,VLOOKUP($B27,[1]Hedef!$A$4:$ES$45409,127,0))</f>
        <v>7.6473700000000004</v>
      </c>
      <c r="CW27" s="159">
        <f>IF(ISERROR(VLOOKUP($B27,[1]Hedef!$A$4:$ES$45409,47,0)),0,VLOOKUP($B27,[1]Hedef!$A$4:$ES$45409,47,0))</f>
        <v>27.807369999999999</v>
      </c>
      <c r="CX27" s="23">
        <f t="shared" si="116"/>
        <v>152.35263</v>
      </c>
      <c r="CY27" s="80">
        <f t="shared" si="81"/>
        <v>0.04</v>
      </c>
      <c r="CZ27" s="26"/>
      <c r="DA27" s="32">
        <v>321.86047000000008</v>
      </c>
      <c r="DB27" s="131">
        <f t="shared" si="117"/>
        <v>321.83352000000002</v>
      </c>
      <c r="DC27" s="59">
        <f t="shared" si="118"/>
        <v>-0.97624010801947803</v>
      </c>
      <c r="DD27" s="24"/>
      <c r="DE27" s="22">
        <v>160</v>
      </c>
      <c r="DF27" s="15">
        <f t="shared" si="119"/>
        <v>0</v>
      </c>
      <c r="DG27" s="99"/>
      <c r="DH27" s="92"/>
      <c r="DI27" s="24"/>
    </row>
    <row r="28" spans="1:113" ht="12.75" customHeight="1" x14ac:dyDescent="0.2">
      <c r="A28" s="24"/>
      <c r="B28" s="31">
        <v>21</v>
      </c>
      <c r="C28" s="194" t="s">
        <v>70</v>
      </c>
      <c r="D28" s="102"/>
      <c r="E28" s="193">
        <v>102</v>
      </c>
      <c r="F28" s="23">
        <f>IF(ISERROR(VLOOKUP($B28,[1]Hedef!$A$4:$ES$45409,25,0)),0,VLOOKUP($B28,[1]Hedef!$A$4:$ES$45409,25,0))+IF(ISERROR(VLOOKUP($B28,[1]Hedef!$A$4:$ES$45409,15,0)),0,VLOOKUP($B28,[1]Hedef!$A$4:$ES$45409,15,0))</f>
        <v>31.475000000000001</v>
      </c>
      <c r="G28" s="23">
        <f>IF((E28-F28)&lt;0, "-", (E28-F28))</f>
        <v>70.525000000000006</v>
      </c>
      <c r="H28" s="80">
        <f t="shared" si="69"/>
        <v>0.3</v>
      </c>
      <c r="I28" s="24"/>
      <c r="J28" s="32">
        <v>221.10000000000002</v>
      </c>
      <c r="K28" s="59">
        <f>IF(ISERROR((F28-J28)/J28),0,(F28-J28)/J28)</f>
        <v>-0.85764360018091368</v>
      </c>
      <c r="L28" s="24"/>
      <c r="M28" s="44">
        <v>7.55</v>
      </c>
      <c r="N28" s="23">
        <f>IF(ISERROR(VLOOKUP($B28,[1]Hedef!$A$4:$ES$45409,41,0)),0,VLOOKUP($B28,[1]Hedef!$A$4:$ES$45409,41,0))</f>
        <v>2.5000000000000001E-2</v>
      </c>
      <c r="O28" s="23">
        <f>IF((M28-N28)&lt;0, "-", (M28-N28))</f>
        <v>7.5249999999999995</v>
      </c>
      <c r="P28" s="80">
        <f t="shared" si="70"/>
        <v>0</v>
      </c>
      <c r="Q28" s="92"/>
      <c r="R28" s="32">
        <v>16.350000000000001</v>
      </c>
      <c r="S28" s="59">
        <f>IF(ISERROR((N28-R28)/R28),0,(N28-R28)/R28)</f>
        <v>-0.99847094801223246</v>
      </c>
      <c r="T28" s="102"/>
      <c r="U28" s="22">
        <v>0.45</v>
      </c>
      <c r="V28" s="23">
        <f>IF(ISERROR(VLOOKUP($B28,[1]Hedef!$A$4:$ES$45409,45,0)),0,VLOOKUP($B28,[1]Hedef!$A$4:$ES$45409,45,0))+IF(ISERROR(VLOOKUP($B28,[1]Hedef!$A$4:$ES$45409,109,0)),0,VLOOKUP($B28,[1]Hedef!$A$4:$ES$45409,109,0))</f>
        <v>0</v>
      </c>
      <c r="W28" s="23">
        <f>IF((U28-V28)&lt;0, "-", (U28-V28))</f>
        <v>0.45</v>
      </c>
      <c r="X28" s="80">
        <f t="shared" si="71"/>
        <v>0</v>
      </c>
      <c r="Y28" s="24"/>
      <c r="Z28" s="32">
        <v>0.7</v>
      </c>
      <c r="AA28" s="59">
        <f>IF(ISERROR((V28-Z28)/Z28),0,(V28-Z28)/Z28)</f>
        <v>-1</v>
      </c>
      <c r="AB28" s="99"/>
      <c r="AC28" s="164">
        <v>110</v>
      </c>
      <c r="AD28" s="23">
        <f t="shared" si="88"/>
        <v>31.5</v>
      </c>
      <c r="AE28" s="23">
        <f t="shared" si="89"/>
        <v>78.5</v>
      </c>
      <c r="AF28" s="80">
        <f t="shared" si="72"/>
        <v>0.28000000000000003</v>
      </c>
      <c r="AG28" s="22">
        <f t="shared" si="90"/>
        <v>0</v>
      </c>
      <c r="AH28" s="44">
        <f t="shared" si="91"/>
        <v>238.15000000000003</v>
      </c>
      <c r="AI28" s="59">
        <f t="shared" si="92"/>
        <v>-0.86773042200293937</v>
      </c>
      <c r="AJ28" s="92"/>
      <c r="AK28" s="22">
        <v>25</v>
      </c>
      <c r="AL28" s="23">
        <f>IF(ISERROR(VLOOKUP($B28,[1]Hedef!$A$4:$ES$45409,97,0)),0,VLOOKUP($B28,[1]Hedef!$A$4:$ES$45409,97,0))</f>
        <v>0</v>
      </c>
      <c r="AM28" s="23">
        <f>IF((AK28-AL28)&lt;0, "-", (AK28-AL28))</f>
        <v>25</v>
      </c>
      <c r="AN28" s="80">
        <f t="shared" si="73"/>
        <v>0</v>
      </c>
      <c r="AO28" s="24"/>
      <c r="AP28" s="32">
        <v>41</v>
      </c>
      <c r="AQ28" s="59">
        <f>IF(ISERROR((AL28-AP28)/AP28),0,(AL28-AP28)/AP28)</f>
        <v>-1</v>
      </c>
      <c r="AR28" s="24"/>
      <c r="AS28" s="22">
        <v>32.299999999999997</v>
      </c>
      <c r="AT28" s="23">
        <f>IF(ISERROR(VLOOKUP($B28,[1]Hedef!$A$4:$ES$45409,57,0)),0,VLOOKUP($B28,[1]Hedef!$A$4:$ES$45409,57,0))</f>
        <v>7.4999999999999997E-2</v>
      </c>
      <c r="AU28" s="23">
        <f>IF((AS28-AT28)&lt;0, "-", (AS28-AT28))</f>
        <v>32.224999999999994</v>
      </c>
      <c r="AV28" s="80">
        <f t="shared" si="74"/>
        <v>0</v>
      </c>
      <c r="AW28" s="24"/>
      <c r="AX28" s="32">
        <v>70.650000000000006</v>
      </c>
      <c r="AY28" s="59">
        <f>IF(ISERROR((AT28-AX28)/AX28),0,(AT28-AX28)/AX28)</f>
        <v>-0.99893842887473461</v>
      </c>
      <c r="AZ28" s="92"/>
      <c r="BA28" s="22">
        <v>13.5</v>
      </c>
      <c r="BB28" s="23">
        <f>IF(ISERROR(VLOOKUP($B28,[1]Hedef!$A$4:$ES$45409,99,0)),0,VLOOKUP($B28,[1]Hedef!$A$4:$ES$45409,99,0))</f>
        <v>0.15</v>
      </c>
      <c r="BC28" s="23">
        <f t="shared" si="97"/>
        <v>13.35</v>
      </c>
      <c r="BD28" s="80">
        <f t="shared" si="75"/>
        <v>0.01</v>
      </c>
      <c r="BE28" s="24"/>
      <c r="BF28" s="32">
        <v>29.5</v>
      </c>
      <c r="BG28" s="59">
        <f t="shared" si="98"/>
        <v>-0.99491525423728822</v>
      </c>
      <c r="BH28" s="24"/>
      <c r="BI28" s="22">
        <v>35.200000000000003</v>
      </c>
      <c r="BJ28" s="23">
        <f>IF(ISERROR(VLOOKUP($B28,[1]Hedef!$A$4:$ES$45409,117,0)),0,VLOOKUP($B28,[1]Hedef!$A$4:$ES$45409,117,0))</f>
        <v>0.05</v>
      </c>
      <c r="BK28" s="23">
        <f>IF((BI28-BJ28)&lt;0, "-", (BI28-BJ28))</f>
        <v>35.150000000000006</v>
      </c>
      <c r="BL28" s="80">
        <f t="shared" si="76"/>
        <v>0</v>
      </c>
      <c r="BM28" s="24"/>
      <c r="BN28" s="32">
        <v>77.550000000000011</v>
      </c>
      <c r="BO28" s="59">
        <f>IF(ISERROR((BJ28-BN28)/BN28),0,(BJ28-BN28)/BN28)</f>
        <v>-0.99935525467440367</v>
      </c>
      <c r="BP28" s="99"/>
      <c r="BQ28" s="22">
        <v>100</v>
      </c>
      <c r="BR28" s="23">
        <f t="shared" si="101"/>
        <v>0.27500000000000002</v>
      </c>
      <c r="BS28" s="23">
        <f>IF((BQ28-BR28)&lt;0, "-", (BQ28-BR28))</f>
        <v>99.724999999999994</v>
      </c>
      <c r="BT28" s="80">
        <f t="shared" si="77"/>
        <v>0</v>
      </c>
      <c r="BU28" s="22">
        <f t="shared" si="103"/>
        <v>-6</v>
      </c>
      <c r="BV28" s="22">
        <f t="shared" si="104"/>
        <v>218.70000000000002</v>
      </c>
      <c r="BW28" s="59">
        <f>IF(ISERROR((BR28-BV28)/BV28),0,(BR28-BV28)/BV28)</f>
        <v>-0.99874256973022402</v>
      </c>
      <c r="BX28" s="183"/>
      <c r="BY28" s="22">
        <v>7.5</v>
      </c>
      <c r="BZ28" s="23">
        <f>IF(ISERROR(VLOOKUP($B28,[1]Hedef!$A$4:$ES$45409,71,0)),0,VLOOKUP($B28,[1]Hedef!$A$4:$ES$45409,71,0))</f>
        <v>6.1000000000000005</v>
      </c>
      <c r="CA28" s="23">
        <f t="shared" si="106"/>
        <v>1.3999999999999995</v>
      </c>
      <c r="CB28" s="80">
        <f t="shared" si="78"/>
        <v>0.81</v>
      </c>
      <c r="CC28" s="32">
        <v>8.9250000000000007</v>
      </c>
      <c r="CD28" s="59">
        <f t="shared" si="107"/>
        <v>-0.31652661064425769</v>
      </c>
      <c r="CE28" s="99"/>
      <c r="CF28" s="22">
        <v>2.5</v>
      </c>
      <c r="CG28" s="23">
        <f>IF(ISERROR(VLOOKUP($B28,[1]Hedef!$A$4:$ES$45409,87,0)),0,VLOOKUP($B28,[1]Hedef!$A$4:$ES$45409,87,0))</f>
        <v>1.3499999999999999</v>
      </c>
      <c r="CH28" s="23">
        <f t="shared" si="108"/>
        <v>1.1500000000000001</v>
      </c>
      <c r="CI28" s="80">
        <f t="shared" si="79"/>
        <v>0.54</v>
      </c>
      <c r="CJ28" s="32">
        <v>13.775</v>
      </c>
      <c r="CK28" s="59">
        <f t="shared" si="109"/>
        <v>-0.90199637023593471</v>
      </c>
      <c r="CL28" s="99"/>
      <c r="CM28" s="22">
        <v>10</v>
      </c>
      <c r="CN28" s="23">
        <f t="shared" si="110"/>
        <v>7.45</v>
      </c>
      <c r="CO28" s="23">
        <f t="shared" si="111"/>
        <v>2.5499999999999998</v>
      </c>
      <c r="CP28" s="80">
        <f t="shared" si="80"/>
        <v>0.74</v>
      </c>
      <c r="CQ28" s="134">
        <f t="shared" si="112"/>
        <v>0</v>
      </c>
      <c r="CR28" s="23">
        <f t="shared" si="113"/>
        <v>22.700000000000003</v>
      </c>
      <c r="CS28" s="59">
        <f t="shared" si="114"/>
        <v>-0.67180616740088117</v>
      </c>
      <c r="CT28" s="82"/>
      <c r="CU28" s="22">
        <f t="shared" si="115"/>
        <v>220</v>
      </c>
      <c r="CV28" s="23">
        <f>IF(ISERROR(VLOOKUP($B28,[1]Hedef!$A$4:$ES$45409,127,0)),0,VLOOKUP($B28,[1]Hedef!$A$4:$ES$45409,127,0))</f>
        <v>39.225000000000001</v>
      </c>
      <c r="CW28" s="159">
        <f>IF(ISERROR(VLOOKUP($B28,[1]Hedef!$A$4:$ES$45409,47,0)),0,VLOOKUP($B28,[1]Hedef!$A$4:$ES$45409,47,0))</f>
        <v>39.225000000000001</v>
      </c>
      <c r="CX28" s="23">
        <f t="shared" si="116"/>
        <v>180.77500000000001</v>
      </c>
      <c r="CY28" s="80">
        <f t="shared" si="81"/>
        <v>0.17</v>
      </c>
      <c r="CZ28" s="26"/>
      <c r="DA28" s="32">
        <v>489.17500000000001</v>
      </c>
      <c r="DB28" s="131">
        <f t="shared" si="117"/>
        <v>479.55000000000007</v>
      </c>
      <c r="DC28" s="59">
        <f>IF(ISERROR((CV28-DA28)/DA28),0,(CV28-DA28)/DA28)</f>
        <v>-0.9198139725047273</v>
      </c>
      <c r="DD28" s="24"/>
      <c r="DE28" s="22">
        <v>220</v>
      </c>
      <c r="DF28" s="154">
        <f t="shared" si="119"/>
        <v>0</v>
      </c>
      <c r="DG28" s="99"/>
      <c r="DH28" s="92"/>
      <c r="DI28" s="24"/>
    </row>
    <row r="29" spans="1:113" ht="12.75" customHeight="1" thickBot="1" x14ac:dyDescent="0.25">
      <c r="A29" s="24"/>
      <c r="B29" s="31">
        <v>40</v>
      </c>
      <c r="C29" s="194" t="s">
        <v>19</v>
      </c>
      <c r="D29" s="102"/>
      <c r="E29" s="193">
        <v>17.2</v>
      </c>
      <c r="F29" s="23">
        <f>IF(ISERROR(VLOOKUP($B29,[1]Hedef!$A$4:$ES$45409,25,0)),0,VLOOKUP($B29,[1]Hedef!$A$4:$ES$45409,25,0))+IF(ISERROR(VLOOKUP($B29,[1]Hedef!$A$4:$ES$45409,15,0)),0,VLOOKUP($B29,[1]Hedef!$A$4:$ES$45409,15,0))</f>
        <v>1.0550000000000002</v>
      </c>
      <c r="G29" s="23">
        <f t="shared" ref="G29" si="124">IF((E29-F29)&lt;0, "-", (E29-F29))</f>
        <v>16.145</v>
      </c>
      <c r="H29" s="80">
        <f t="shared" si="69"/>
        <v>0.06</v>
      </c>
      <c r="I29" s="24"/>
      <c r="J29" s="32">
        <v>17.009999999999998</v>
      </c>
      <c r="K29" s="59">
        <f t="shared" ref="K29" si="125">IF(ISERROR((F29-J29)/J29),0,(F29-J29)/J29)</f>
        <v>-0.93797766019988238</v>
      </c>
      <c r="L29" s="24"/>
      <c r="M29" s="44">
        <v>1</v>
      </c>
      <c r="N29" s="23">
        <f>IF(ISERROR(VLOOKUP($B29,[1]Hedef!$A$4:$ES$45409,41,0)),0,VLOOKUP($B29,[1]Hedef!$A$4:$ES$45409,41,0))</f>
        <v>0</v>
      </c>
      <c r="O29" s="23">
        <f t="shared" si="84"/>
        <v>1</v>
      </c>
      <c r="P29" s="80">
        <f t="shared" si="70"/>
        <v>0</v>
      </c>
      <c r="Q29" s="92"/>
      <c r="R29" s="32">
        <v>0.93000000000000016</v>
      </c>
      <c r="S29" s="59">
        <f t="shared" si="85"/>
        <v>-1</v>
      </c>
      <c r="T29" s="102"/>
      <c r="U29" s="22">
        <v>1</v>
      </c>
      <c r="V29" s="23">
        <f>IF(ISERROR(VLOOKUP($B29,[1]Hedef!$A$4:$ES$45409,45,0)),0,VLOOKUP($B29,[1]Hedef!$A$4:$ES$45409,45,0))+IF(ISERROR(VLOOKUP($B29,[1]Hedef!$A$4:$ES$45409,109,0)),0,VLOOKUP($B29,[1]Hedef!$A$4:$ES$45409,109,0))</f>
        <v>0</v>
      </c>
      <c r="W29" s="23">
        <f t="shared" si="86"/>
        <v>1</v>
      </c>
      <c r="X29" s="80">
        <f t="shared" si="71"/>
        <v>0</v>
      </c>
      <c r="Y29" s="24"/>
      <c r="Z29" s="32">
        <v>1.0249999999999999</v>
      </c>
      <c r="AA29" s="59">
        <f t="shared" si="87"/>
        <v>-1</v>
      </c>
      <c r="AB29" s="99"/>
      <c r="AC29" s="164">
        <v>19.2</v>
      </c>
      <c r="AD29" s="23">
        <f t="shared" si="88"/>
        <v>1.0550000000000002</v>
      </c>
      <c r="AE29" s="23">
        <f t="shared" si="89"/>
        <v>18.145</v>
      </c>
      <c r="AF29" s="80">
        <f t="shared" si="72"/>
        <v>0.05</v>
      </c>
      <c r="AG29" s="22">
        <f t="shared" si="90"/>
        <v>0</v>
      </c>
      <c r="AH29" s="44">
        <f t="shared" si="91"/>
        <v>18.964999999999996</v>
      </c>
      <c r="AI29" s="59">
        <f t="shared" si="92"/>
        <v>-0.94437121012391245</v>
      </c>
      <c r="AJ29" s="24"/>
      <c r="AK29" s="22">
        <v>1.6</v>
      </c>
      <c r="AL29" s="23">
        <f>IF(ISERROR(VLOOKUP($B29,[1]Hedef!$A$4:$ES$45409,97,0)),0,VLOOKUP($B29,[1]Hedef!$A$4:$ES$45409,97,0))</f>
        <v>0</v>
      </c>
      <c r="AM29" s="23">
        <f t="shared" ref="AM29" si="126">IF((AK29-AL29)&lt;0, "-", (AK29-AL29))</f>
        <v>1.6</v>
      </c>
      <c r="AN29" s="80">
        <f t="shared" si="73"/>
        <v>0</v>
      </c>
      <c r="AO29" s="24"/>
      <c r="AP29" s="32">
        <v>1.55</v>
      </c>
      <c r="AQ29" s="59">
        <f t="shared" ref="AQ29" si="127">IF(ISERROR((AL29-AP29)/AP29),0,(AL29-AP29)/AP29)</f>
        <v>-1</v>
      </c>
      <c r="AR29" s="24"/>
      <c r="AS29" s="22">
        <v>1.7</v>
      </c>
      <c r="AT29" s="23">
        <f>IF(ISERROR(VLOOKUP($B29,[1]Hedef!$A$4:$ES$45409,57,0)),0,VLOOKUP($B29,[1]Hedef!$A$4:$ES$45409,57,0))</f>
        <v>0.13500000000000001</v>
      </c>
      <c r="AU29" s="23">
        <f t="shared" si="95"/>
        <v>1.5649999999999999</v>
      </c>
      <c r="AV29" s="80">
        <f t="shared" si="74"/>
        <v>7.0000000000000007E-2</v>
      </c>
      <c r="AW29" s="24"/>
      <c r="AX29" s="32">
        <v>1.7000000000000002</v>
      </c>
      <c r="AY29" s="59">
        <f t="shared" si="96"/>
        <v>-0.9205882352941176</v>
      </c>
      <c r="AZ29" s="92"/>
      <c r="BA29" s="22">
        <v>0.8</v>
      </c>
      <c r="BB29" s="23">
        <f>IF(ISERROR(VLOOKUP($B29,[1]Hedef!$A$4:$ES$45409,99,0)),0,VLOOKUP($B29,[1]Hedef!$A$4:$ES$45409,99,0))</f>
        <v>0.125</v>
      </c>
      <c r="BC29" s="23">
        <f t="shared" si="97"/>
        <v>0.67500000000000004</v>
      </c>
      <c r="BD29" s="80">
        <f t="shared" si="75"/>
        <v>0.15</v>
      </c>
      <c r="BE29" s="24"/>
      <c r="BF29" s="32">
        <v>0.8</v>
      </c>
      <c r="BG29" s="59">
        <f t="shared" si="98"/>
        <v>-0.84375</v>
      </c>
      <c r="BH29" s="24"/>
      <c r="BI29" s="22">
        <v>4.8499999999999996</v>
      </c>
      <c r="BJ29" s="23">
        <f>IF(ISERROR(VLOOKUP($B29,[1]Hedef!$A$4:$ES$45409,117,0)),0,VLOOKUP($B29,[1]Hedef!$A$4:$ES$45409,117,0))</f>
        <v>0.45</v>
      </c>
      <c r="BK29" s="23">
        <f t="shared" si="99"/>
        <v>4.3999999999999995</v>
      </c>
      <c r="BL29" s="80">
        <f t="shared" si="76"/>
        <v>0.09</v>
      </c>
      <c r="BM29" s="24"/>
      <c r="BN29" s="32">
        <v>4.79</v>
      </c>
      <c r="BO29" s="59">
        <f t="shared" si="100"/>
        <v>-0.90605427974947805</v>
      </c>
      <c r="BP29" s="99"/>
      <c r="BQ29" s="22">
        <v>8.9499999999999993</v>
      </c>
      <c r="BR29" s="23">
        <f t="shared" si="101"/>
        <v>0.71</v>
      </c>
      <c r="BS29" s="23">
        <f t="shared" si="102"/>
        <v>8.2399999999999984</v>
      </c>
      <c r="BT29" s="80">
        <f t="shared" si="77"/>
        <v>7.0000000000000007E-2</v>
      </c>
      <c r="BU29" s="22">
        <f t="shared" si="103"/>
        <v>0</v>
      </c>
      <c r="BV29" s="22">
        <f t="shared" si="104"/>
        <v>8.84</v>
      </c>
      <c r="BW29" s="59">
        <f t="shared" si="105"/>
        <v>-0.91968325791855199</v>
      </c>
      <c r="BX29" s="183"/>
      <c r="BY29" s="22">
        <v>3.63</v>
      </c>
      <c r="BZ29" s="23">
        <f>IF(ISERROR(VLOOKUP($B29,[1]Hedef!$A$4:$ES$45409,71,0)),0,VLOOKUP($B29,[1]Hedef!$A$4:$ES$45409,71,0))</f>
        <v>0.255</v>
      </c>
      <c r="CA29" s="23">
        <f t="shared" si="106"/>
        <v>3.375</v>
      </c>
      <c r="CB29" s="80">
        <f t="shared" si="78"/>
        <v>7.0000000000000007E-2</v>
      </c>
      <c r="CC29" s="32">
        <v>3.55</v>
      </c>
      <c r="CD29" s="59">
        <f t="shared" si="107"/>
        <v>-0.92816901408450703</v>
      </c>
      <c r="CE29" s="99"/>
      <c r="CF29" s="22">
        <v>3.22</v>
      </c>
      <c r="CG29" s="23">
        <f>IF(ISERROR(VLOOKUP($B29,[1]Hedef!$A$4:$ES$45409,87,0)),0,VLOOKUP($B29,[1]Hedef!$A$4:$ES$45409,87,0))</f>
        <v>0.2</v>
      </c>
      <c r="CH29" s="23">
        <f t="shared" si="108"/>
        <v>3.02</v>
      </c>
      <c r="CI29" s="80">
        <f t="shared" si="79"/>
        <v>0.06</v>
      </c>
      <c r="CJ29" s="32">
        <v>3.2</v>
      </c>
      <c r="CK29" s="59">
        <f t="shared" si="109"/>
        <v>-0.9375</v>
      </c>
      <c r="CL29" s="99"/>
      <c r="CM29" s="22">
        <v>6.85</v>
      </c>
      <c r="CN29" s="23">
        <f t="shared" si="110"/>
        <v>0.45500000000000002</v>
      </c>
      <c r="CO29" s="23">
        <f t="shared" si="111"/>
        <v>6.3949999999999996</v>
      </c>
      <c r="CP29" s="80">
        <f t="shared" si="80"/>
        <v>0.06</v>
      </c>
      <c r="CQ29" s="123">
        <f t="shared" si="112"/>
        <v>0</v>
      </c>
      <c r="CR29" s="23">
        <f t="shared" si="113"/>
        <v>6.75</v>
      </c>
      <c r="CS29" s="59">
        <f t="shared" si="114"/>
        <v>-0.93259259259259253</v>
      </c>
      <c r="CT29" s="82"/>
      <c r="CU29" s="22">
        <f t="shared" si="115"/>
        <v>35</v>
      </c>
      <c r="CV29" s="23">
        <f>IF(ISERROR(VLOOKUP($B29,[1]Hedef!$A$4:$ES$45409,127,0)),0,VLOOKUP($B29,[1]Hedef!$A$4:$ES$45409,127,0))</f>
        <v>2.2199999999999998</v>
      </c>
      <c r="CW29" s="159">
        <f>IF(ISERROR(VLOOKUP($B29,[1]Hedef!$A$4:$ES$45409,47,0)),0,VLOOKUP($B29,[1]Hedef!$A$4:$ES$45409,47,0))</f>
        <v>2.2199999999999998</v>
      </c>
      <c r="CX29" s="23">
        <f t="shared" si="116"/>
        <v>32.78</v>
      </c>
      <c r="CY29" s="80">
        <f t="shared" si="81"/>
        <v>0.06</v>
      </c>
      <c r="CZ29" s="26"/>
      <c r="DA29" s="32">
        <v>34.555</v>
      </c>
      <c r="DB29" s="131">
        <f t="shared" si="117"/>
        <v>34.554999999999993</v>
      </c>
      <c r="DC29" s="59">
        <f t="shared" si="118"/>
        <v>-0.93575459412530748</v>
      </c>
      <c r="DD29" s="24"/>
      <c r="DE29" s="22">
        <v>35</v>
      </c>
      <c r="DF29" s="15">
        <f t="shared" si="119"/>
        <v>0</v>
      </c>
      <c r="DG29" s="99"/>
      <c r="DH29" s="92"/>
      <c r="DI29" s="24"/>
    </row>
    <row r="30" spans="1:113" ht="12.75" customHeight="1" thickTop="1" thickBot="1" x14ac:dyDescent="0.25">
      <c r="A30" s="42"/>
      <c r="B30" s="71" t="s">
        <v>51</v>
      </c>
      <c r="C30" s="195" t="s">
        <v>20</v>
      </c>
      <c r="D30" s="102"/>
      <c r="E30" s="188">
        <f>SUM(E22:E29)</f>
        <v>155.42999999999998</v>
      </c>
      <c r="F30" s="67">
        <f>SUM(F22:F29)</f>
        <v>37.179400000000001</v>
      </c>
      <c r="G30" s="67">
        <f>SUM(G22:G29)</f>
        <v>118.25060000000001</v>
      </c>
      <c r="H30" s="39">
        <f>TRUNC(IF((F30/E30)&gt;1.2,"120%",(F30/E30)),2)</f>
        <v>0.23</v>
      </c>
      <c r="I30" s="42"/>
      <c r="J30" s="67"/>
      <c r="K30" s="60"/>
      <c r="L30" s="24"/>
      <c r="M30" s="67">
        <f>SUM(M22:M29)</f>
        <v>66.87</v>
      </c>
      <c r="N30" s="67">
        <f>SUM(N22:N29)</f>
        <v>2.9965899999999999</v>
      </c>
      <c r="O30" s="67">
        <f>SUM(O22:O29)</f>
        <v>63.87341</v>
      </c>
      <c r="P30" s="39">
        <f>TRUNC(IF((N30/M30)&gt;1.2,"120%",(N30/M30)),2)</f>
        <v>0.04</v>
      </c>
      <c r="Q30" s="42"/>
      <c r="R30" s="115"/>
      <c r="S30" s="60"/>
      <c r="T30" s="116"/>
      <c r="U30" s="67">
        <f>SUM(U22:U29)</f>
        <v>128.35000000000002</v>
      </c>
      <c r="V30" s="67">
        <f>SUM(V22:V29)</f>
        <v>6.9042399999999997</v>
      </c>
      <c r="W30" s="67">
        <f>SUM(W22:W29)</f>
        <v>121.44575999999999</v>
      </c>
      <c r="X30" s="39">
        <f>TRUNC(IF((V30/U30)&gt;1.2,"120%",(V30/U30)),2)</f>
        <v>0.05</v>
      </c>
      <c r="Y30" s="42"/>
      <c r="Z30" s="67"/>
      <c r="AA30" s="60"/>
      <c r="AB30" s="99"/>
      <c r="AC30" s="67">
        <f>SUM(AC22:AC29)</f>
        <v>350.65</v>
      </c>
      <c r="AD30" s="67">
        <f>SUM(AD22:AD29)</f>
        <v>47.08023</v>
      </c>
      <c r="AE30" s="67">
        <f>SUM(AE22:AE29)</f>
        <v>303.56977000000001</v>
      </c>
      <c r="AF30" s="39">
        <f>TRUNC(IF((AD30/AC30)&gt;1.2,"120%",(AD30/AC30)),2)</f>
        <v>0.13</v>
      </c>
      <c r="AG30" s="67"/>
      <c r="AH30" s="67"/>
      <c r="AI30" s="60"/>
      <c r="AJ30" s="24"/>
      <c r="AK30" s="67">
        <f>SUM(AK22:AK29)</f>
        <v>111.39999999999999</v>
      </c>
      <c r="AL30" s="67">
        <f>SUM(AL22:AL29)</f>
        <v>0</v>
      </c>
      <c r="AM30" s="67">
        <f>SUM(AM22:AM29)</f>
        <v>111.39999999999999</v>
      </c>
      <c r="AN30" s="39">
        <f>TRUNC(IF((AL30/AK30)&gt;1.2,"120%",(AL30/AK30)),2)</f>
        <v>0</v>
      </c>
      <c r="AO30" s="42"/>
      <c r="AP30" s="67"/>
      <c r="AQ30" s="60"/>
      <c r="AR30" s="24"/>
      <c r="AS30" s="67">
        <f>SUM(AS22:AS29)</f>
        <v>51</v>
      </c>
      <c r="AT30" s="67">
        <f>SUM(AT22:AT29)</f>
        <v>2.0167900000000003</v>
      </c>
      <c r="AU30" s="67">
        <f>SUM(AU22:AU29)</f>
        <v>48.983209999999993</v>
      </c>
      <c r="AV30" s="39">
        <f>TRUNC(IF((AT30/AS30)&gt;1.2,"120%",(AT30/AS30)),2)</f>
        <v>0.03</v>
      </c>
      <c r="AW30" s="42"/>
      <c r="AX30" s="67"/>
      <c r="AY30" s="60"/>
      <c r="AZ30" s="24"/>
      <c r="BA30" s="67">
        <f>SUM(BA22:BA29)</f>
        <v>50.550000000000004</v>
      </c>
      <c r="BB30" s="67">
        <f>SUM(BB22:BB29)</f>
        <v>5.5076499999999999</v>
      </c>
      <c r="BC30" s="67">
        <f>SUM(BC22:BC29)</f>
        <v>45.042349999999999</v>
      </c>
      <c r="BD30" s="39">
        <f>TRUNC(IF((BB30/BA30)&gt;1.2,"120%",(BB30/BA30)),2)</f>
        <v>0.1</v>
      </c>
      <c r="BE30" s="42"/>
      <c r="BF30" s="67"/>
      <c r="BG30" s="60"/>
      <c r="BH30" s="24"/>
      <c r="BI30" s="67">
        <f>SUM(BI22:BI29)</f>
        <v>66.75</v>
      </c>
      <c r="BJ30" s="67">
        <f>SUM(BJ22:BJ29)</f>
        <v>3.0722999999999998</v>
      </c>
      <c r="BK30" s="67">
        <f>SUM(BK22:BK29)</f>
        <v>63.677700000000002</v>
      </c>
      <c r="BL30" s="39">
        <f>TRUNC(IF((BJ30/BI30)&gt;1.2,"120%",(BJ30/BI30)),2)</f>
        <v>0.04</v>
      </c>
      <c r="BM30" s="42"/>
      <c r="BN30" s="67"/>
      <c r="BO30" s="60"/>
      <c r="BP30" s="99"/>
      <c r="BQ30" s="67">
        <f>SUM(BQ22:BQ29)</f>
        <v>273.7</v>
      </c>
      <c r="BR30" s="67">
        <f>SUM(BR22:BR29)</f>
        <v>10.59674</v>
      </c>
      <c r="BS30" s="67">
        <f>SUM(BS22:BS29)</f>
        <v>263.10325999999998</v>
      </c>
      <c r="BT30" s="39">
        <f>TRUNC(IF((BR30/BQ30)&gt;1.2,"120%",(BR30/BQ30)),2)</f>
        <v>0.03</v>
      </c>
      <c r="BU30" s="67"/>
      <c r="BV30" s="67"/>
      <c r="BW30" s="60"/>
      <c r="BX30" s="183"/>
      <c r="BY30" s="67">
        <f>SUM(BY22:BY29)</f>
        <v>53.02</v>
      </c>
      <c r="BZ30" s="67">
        <f>SUM(BZ22:BZ29)</f>
        <v>11.629440000000001</v>
      </c>
      <c r="CA30" s="67">
        <f>SUM(CA22:CA29)</f>
        <v>41.390560000000001</v>
      </c>
      <c r="CB30" s="39">
        <f>TRUNC(IF((BZ30/BY30)&gt;1.2,"120%",(BZ30/BY30)),2)</f>
        <v>0.21</v>
      </c>
      <c r="CC30" s="67"/>
      <c r="CD30" s="60"/>
      <c r="CE30" s="99"/>
      <c r="CF30" s="67">
        <f>SUM(CF22:CF29)</f>
        <v>76.63</v>
      </c>
      <c r="CG30" s="67">
        <f>SUM(CG22:CG29)</f>
        <v>6.7725999999999997</v>
      </c>
      <c r="CH30" s="67">
        <f>SUM(CH22:CH29)</f>
        <v>69.857399999999998</v>
      </c>
      <c r="CI30" s="39">
        <f>TRUNC(IF((CG30/CF30)&gt;1.2,"120%",(CG30/CF30)),2)</f>
        <v>0.08</v>
      </c>
      <c r="CJ30" s="67"/>
      <c r="CK30" s="60"/>
      <c r="CL30" s="99"/>
      <c r="CM30" s="67">
        <f>SUM(CM22:CM29)</f>
        <v>129.65</v>
      </c>
      <c r="CN30" s="67">
        <f>SUM(CN22:CN29)</f>
        <v>18.40204</v>
      </c>
      <c r="CO30" s="67">
        <f>SUM(CO22:CO29)</f>
        <v>111.24796000000001</v>
      </c>
      <c r="CP30" s="39">
        <f>TRUNC(IF((CN30/CM30)&gt;1.2,"120%",(CN30/CM30)),2)</f>
        <v>0.14000000000000001</v>
      </c>
      <c r="CQ30" s="67"/>
      <c r="CR30" s="67"/>
      <c r="CS30" s="60"/>
      <c r="CT30" s="83"/>
      <c r="CU30" s="67">
        <f>SUM(CU22:CU29)</f>
        <v>754</v>
      </c>
      <c r="CV30" s="67">
        <f>SUM(CV22:CV29)</f>
        <v>76.079010000000011</v>
      </c>
      <c r="CW30" s="160">
        <f>SUM(CW22:CW29)</f>
        <v>96.239010000000007</v>
      </c>
      <c r="CX30" s="67">
        <f>SUM(CX22:CX29)</f>
        <v>677.92098999999996</v>
      </c>
      <c r="CY30" s="39">
        <f>TRUNC(IF((CV30/CU30)&gt;1.2,"120%",(CV30/CU30)),2)</f>
        <v>0.1</v>
      </c>
      <c r="CZ30" s="43"/>
      <c r="DA30" s="67"/>
      <c r="DB30" s="67"/>
      <c r="DC30" s="60"/>
      <c r="DD30" s="42"/>
      <c r="DE30" s="67">
        <f>SUM(DE22:DE29)</f>
        <v>754</v>
      </c>
      <c r="DF30" s="8"/>
      <c r="DG30" s="99"/>
      <c r="DH30" s="92"/>
      <c r="DI30" s="42"/>
    </row>
    <row r="31" spans="1:113" ht="12.75" customHeight="1" thickTop="1" x14ac:dyDescent="0.2">
      <c r="A31" s="24"/>
      <c r="B31" s="31">
        <v>15</v>
      </c>
      <c r="C31" s="194" t="s">
        <v>21</v>
      </c>
      <c r="D31" s="102"/>
      <c r="E31" s="193">
        <v>3.25</v>
      </c>
      <c r="F31" s="23">
        <f>IF(ISERROR(VLOOKUP($B31,[1]Hedef!$A$4:$ES$45409,25,0)),0,VLOOKUP($B31,[1]Hedef!$A$4:$ES$45409,25,0))+IF(ISERROR(VLOOKUP($B31,[1]Hedef!$A$4:$ES$45409,15,0)),0,VLOOKUP($B31,[1]Hedef!$A$4:$ES$45409,15,0))</f>
        <v>0.40059999999999996</v>
      </c>
      <c r="G31" s="23">
        <f t="shared" ref="G31" si="128">IF((E31-F31)&lt;0, "-", (E31-F31))</f>
        <v>2.8494000000000002</v>
      </c>
      <c r="H31" s="80">
        <f t="shared" ref="H31:H38" si="129">TRUNC(IF((F31/E31)&gt;1.2,"120%",(F31/E31)),2)</f>
        <v>0.12</v>
      </c>
      <c r="I31" s="24"/>
      <c r="J31" s="32">
        <v>3.0300900000000004</v>
      </c>
      <c r="K31" s="59">
        <f t="shared" ref="K31:K38" si="130">IF(ISERROR((F31-J31)/J31),0,(F31-J31)/J31)</f>
        <v>-0.86779270582721968</v>
      </c>
      <c r="L31" s="24"/>
      <c r="M31" s="44">
        <v>2.0499999999999998</v>
      </c>
      <c r="N31" s="23">
        <f>IF(ISERROR(VLOOKUP($B31,[1]Hedef!$A$4:$ES$45409,41,0)),0,VLOOKUP($B31,[1]Hedef!$A$4:$ES$45409,41,0))</f>
        <v>0.10020999999999999</v>
      </c>
      <c r="O31" s="23">
        <f t="shared" ref="O31:O38" si="131">IF((M31-N31)&lt;0, "-", (M31-N31))</f>
        <v>1.9497899999999999</v>
      </c>
      <c r="P31" s="80">
        <f t="shared" ref="P31:P38" si="132">TRUNC(IF((N31/M31)&gt;1.2,"120%",(N31/M31)),2)</f>
        <v>0.04</v>
      </c>
      <c r="Q31" s="92"/>
      <c r="R31" s="32">
        <v>1.941165</v>
      </c>
      <c r="S31" s="59">
        <f t="shared" si="85"/>
        <v>-0.9483763616178944</v>
      </c>
      <c r="T31" s="102"/>
      <c r="U31" s="22">
        <v>2.95</v>
      </c>
      <c r="V31" s="23">
        <f>IF(ISERROR(VLOOKUP($B31,[1]Hedef!$A$4:$ES$45409,45,0)),0,VLOOKUP($B31,[1]Hedef!$A$4:$ES$45409,45,0))+IF(ISERROR(VLOOKUP($B31,[1]Hedef!$A$4:$ES$45409,109,0)),0,VLOOKUP($B31,[1]Hedef!$A$4:$ES$45409,109,0))</f>
        <v>0.23688499999999998</v>
      </c>
      <c r="W31" s="23">
        <f t="shared" ref="W31:W38" si="133">IF((U31-V31)&lt;0, "-", (U31-V31))</f>
        <v>2.7131150000000002</v>
      </c>
      <c r="X31" s="80">
        <f t="shared" ref="X31:X38" si="134">TRUNC(IF((V31/U31)&gt;1.2,"120%",(V31/U31)),2)</f>
        <v>0.08</v>
      </c>
      <c r="Y31" s="24"/>
      <c r="Z31" s="32">
        <v>2.8077749999999999</v>
      </c>
      <c r="AA31" s="59">
        <f t="shared" si="87"/>
        <v>-0.91563248479668069</v>
      </c>
      <c r="AB31" s="99"/>
      <c r="AC31" s="164">
        <v>8.25</v>
      </c>
      <c r="AD31" s="23">
        <f t="shared" ref="AD31:AD38" si="135">+N31+V31+F31</f>
        <v>0.73769499999999999</v>
      </c>
      <c r="AE31" s="23">
        <f t="shared" ref="AE31:AE38" si="136">IF((AC31-AD31)&lt;0, "-", (AC31-AD31))</f>
        <v>7.5123049999999996</v>
      </c>
      <c r="AF31" s="80">
        <f t="shared" ref="AF31:AF38" si="137">TRUNC(IF((AD31/AC31)&gt;1.2,"120%",(AD31/AC31)),2)</f>
        <v>0.08</v>
      </c>
      <c r="AG31" s="22">
        <f t="shared" ref="AG31:AG38" si="138">AC31-U31-M31-E31</f>
        <v>0</v>
      </c>
      <c r="AH31" s="44">
        <f t="shared" si="91"/>
        <v>7.7790300000000006</v>
      </c>
      <c r="AI31" s="59">
        <f t="shared" ref="AI31:AI38" si="139">IF(ISERROR((AD31-AH31)/AH31),0,(AD31-AH31)/AH31)</f>
        <v>-0.90516876782837963</v>
      </c>
      <c r="AJ31" s="24"/>
      <c r="AK31" s="22">
        <v>6.2</v>
      </c>
      <c r="AL31" s="23">
        <f>IF(ISERROR(VLOOKUP($B31,[1]Hedef!$A$4:$ES$45409,97,0)),0,VLOOKUP($B31,[1]Hedef!$A$4:$ES$45409,97,0))</f>
        <v>0</v>
      </c>
      <c r="AM31" s="23">
        <f t="shared" ref="AM31" si="140">IF((AK31-AL31)&lt;0, "-", (AK31-AL31))</f>
        <v>6.2</v>
      </c>
      <c r="AN31" s="80">
        <f t="shared" ref="AN31:AN38" si="141">TRUNC(IF((AL31/AK31)&gt;1.2,"120%",(AL31/AK31)),2)</f>
        <v>0</v>
      </c>
      <c r="AO31" s="24"/>
      <c r="AP31" s="32">
        <v>5.8460999999999999</v>
      </c>
      <c r="AQ31" s="59">
        <f t="shared" ref="AQ31:AQ38" si="142">IF(ISERROR((AL31-AP31)/AP31),0,(AL31-AP31)/AP31)</f>
        <v>-1</v>
      </c>
      <c r="AR31" s="24"/>
      <c r="AS31" s="22">
        <v>3</v>
      </c>
      <c r="AT31" s="23">
        <f>IF(ISERROR(VLOOKUP($B31,[1]Hedef!$A$4:$ES$45409,57,0)),0,VLOOKUP($B31,[1]Hedef!$A$4:$ES$45409,57,0))</f>
        <v>0.13017500000000001</v>
      </c>
      <c r="AU31" s="23">
        <f t="shared" ref="AU31:AU38" si="143">IF((AS31-AT31)&lt;0, "-", (AS31-AT31))</f>
        <v>2.8698250000000001</v>
      </c>
      <c r="AV31" s="80">
        <f t="shared" ref="AV31:AV38" si="144">TRUNC(IF((AT31/AS31)&gt;1.2,"120%",(AT31/AS31)),2)</f>
        <v>0.04</v>
      </c>
      <c r="AW31" s="24"/>
      <c r="AX31" s="32">
        <v>2.8569</v>
      </c>
      <c r="AY31" s="59">
        <f t="shared" si="96"/>
        <v>-0.95443487696454199</v>
      </c>
      <c r="AZ31" s="92"/>
      <c r="BA31" s="22">
        <v>4.2</v>
      </c>
      <c r="BB31" s="23">
        <f>IF(ISERROR(VLOOKUP($B31,[1]Hedef!$A$4:$ES$45409,99,0)),0,VLOOKUP($B31,[1]Hedef!$A$4:$ES$45409,99,0))</f>
        <v>0.92496999999999996</v>
      </c>
      <c r="BC31" s="23">
        <f t="shared" ref="BC31:BC38" si="145">IF((BA31-BB31)&lt;0, "-", (BA31-BB31))</f>
        <v>3.2750300000000001</v>
      </c>
      <c r="BD31" s="80">
        <f t="shared" ref="BD31:BD38" si="146">TRUNC(IF((BB31/BA31)&gt;1.2,"120%",(BB31/BA31)),2)</f>
        <v>0.22</v>
      </c>
      <c r="BE31" s="24"/>
      <c r="BF31" s="32">
        <v>3.9563999999999999</v>
      </c>
      <c r="BG31" s="59">
        <f>IF(ISERROR((BB31-BF31)/BF31),0,(BB31-BF31)/BF31)</f>
        <v>-0.76620918006268324</v>
      </c>
      <c r="BH31" s="24"/>
      <c r="BI31" s="22">
        <v>2.5499999999999998</v>
      </c>
      <c r="BJ31" s="23">
        <f>IF(ISERROR(VLOOKUP($B31,[1]Hedef!$A$4:$ES$45409,117,0)),0,VLOOKUP($B31,[1]Hedef!$A$4:$ES$45409,117,0))</f>
        <v>0.16441</v>
      </c>
      <c r="BK31" s="23">
        <f t="shared" ref="BK31:BK38" si="147">IF((BI31-BJ31)&lt;0, "-", (BI31-BJ31))</f>
        <v>2.3855899999999997</v>
      </c>
      <c r="BL31" s="80">
        <f t="shared" ref="BL31:BL38" si="148">TRUNC(IF((BJ31/BI31)&gt;1.2,"120%",(BJ31/BI31)),2)</f>
        <v>0.06</v>
      </c>
      <c r="BM31" s="24"/>
      <c r="BN31" s="32">
        <v>2.3920249999999998</v>
      </c>
      <c r="BO31" s="59">
        <f t="shared" si="100"/>
        <v>-0.93126744076671431</v>
      </c>
      <c r="BP31" s="99"/>
      <c r="BQ31" s="22">
        <v>15.95</v>
      </c>
      <c r="BR31" s="23">
        <f t="shared" ref="BR31:BR38" si="149">+BJ31+BB31+AT31+AL31</f>
        <v>1.2195549999999999</v>
      </c>
      <c r="BS31" s="23">
        <f t="shared" ref="BS31:BS38" si="150">IF((BQ31-BR31)&lt;0, "-", (BQ31-BR31))</f>
        <v>14.730445</v>
      </c>
      <c r="BT31" s="80">
        <f t="shared" ref="BT31:BT38" si="151">TRUNC(IF((BR31/BQ31)&gt;1.2,"120%",(BR31/BQ31)),2)</f>
        <v>7.0000000000000007E-2</v>
      </c>
      <c r="BU31" s="22">
        <f t="shared" ref="BU31:BU38" si="152">BQ31-BI31-BA31-AS31-AK31</f>
        <v>0</v>
      </c>
      <c r="BV31" s="22">
        <f t="shared" si="104"/>
        <v>15.051425</v>
      </c>
      <c r="BW31" s="59">
        <f t="shared" si="105"/>
        <v>-0.91897411706864962</v>
      </c>
      <c r="BX31" s="183"/>
      <c r="BY31" s="22">
        <v>2.5499999999999998</v>
      </c>
      <c r="BZ31" s="23">
        <f>IF(ISERROR(VLOOKUP($B31,[1]Hedef!$A$4:$ES$45409,71,0)),0,VLOOKUP($B31,[1]Hedef!$A$4:$ES$45409,71,0))</f>
        <v>0.58438025999999998</v>
      </c>
      <c r="CA31" s="23">
        <f t="shared" ref="CA31:CA38" si="153">IF((BY31-BZ31)&lt;0, "-", (BY31-BZ31))</f>
        <v>1.9656197399999997</v>
      </c>
      <c r="CB31" s="80">
        <f t="shared" ref="CB31:CB38" si="154">TRUNC(IF((BZ31/BY31)&gt;1.2,"120%",(BZ31/BY31)),2)</f>
        <v>0.22</v>
      </c>
      <c r="CC31" s="32">
        <v>2.3907349999999998</v>
      </c>
      <c r="CD31" s="59">
        <f t="shared" ref="CD31:CD38" si="155">IF(ISERROR((BZ31-CC31)/CC31),0,(BZ31-CC31)/CC31)</f>
        <v>-0.75556460251763569</v>
      </c>
      <c r="CE31" s="99"/>
      <c r="CF31" s="22">
        <v>3.25</v>
      </c>
      <c r="CG31" s="23">
        <f>IF(ISERROR(VLOOKUP($B31,[1]Hedef!$A$4:$ES$45409,87,0)),0,VLOOKUP($B31,[1]Hedef!$A$4:$ES$45409,87,0))</f>
        <v>0.13761999999999999</v>
      </c>
      <c r="CH31" s="23">
        <f t="shared" ref="CH31:CH38" si="156">IF((CF31-CG31)&lt;0, "-", (CF31-CG31))</f>
        <v>3.1123799999999999</v>
      </c>
      <c r="CI31" s="80">
        <f t="shared" ref="CI31:CI38" si="157">TRUNC(IF((CG31/CF31)&gt;1.2,"120%",(CG31/CF31)),2)</f>
        <v>0.04</v>
      </c>
      <c r="CJ31" s="32">
        <v>3.1099700000000001</v>
      </c>
      <c r="CK31" s="59">
        <f t="shared" ref="CK31:CK38" si="158">IF(ISERROR((CG31-CJ31)/CJ31),0,(CG31-CJ31)/CJ31)</f>
        <v>-0.9557487692807326</v>
      </c>
      <c r="CL31" s="99"/>
      <c r="CM31" s="22">
        <v>5.8</v>
      </c>
      <c r="CN31" s="23">
        <f t="shared" ref="CN31:CN38" si="159">CG31+BZ31</f>
        <v>0.72200025999999995</v>
      </c>
      <c r="CO31" s="23">
        <f t="shared" ref="CO31:CO38" si="160">IF((CM31-CN31)&lt;0, "-", (CM31-CN31))</f>
        <v>5.0779997400000001</v>
      </c>
      <c r="CP31" s="80">
        <f t="shared" ref="CP31:CP38" si="161">TRUNC(IF((CN31/CM31)&gt;1.2,"120%",(CN31/CM31)),2)</f>
        <v>0.12</v>
      </c>
      <c r="CQ31" s="123">
        <f t="shared" ref="CQ31:CQ38" si="162">CM31-CF31-BY31</f>
        <v>0</v>
      </c>
      <c r="CR31" s="23">
        <f t="shared" ref="CR31:CR38" si="163">+CJ31+CC31</f>
        <v>5.500705</v>
      </c>
      <c r="CS31" s="59">
        <f t="shared" ref="CS31:CS38" si="164">IF(ISERROR((CN31-CR31)/CR31),0,(CN31-CR31)/CR31)</f>
        <v>-0.86874405008085331</v>
      </c>
      <c r="CT31" s="82"/>
      <c r="CU31" s="22">
        <f t="shared" ref="CU31:CU38" si="165">CM31+AC31+BQ31</f>
        <v>30</v>
      </c>
      <c r="CV31" s="23">
        <f>IF(ISERROR(VLOOKUP($B31,[1]Hedef!$A$4:$ES$45409,127,0)),0,VLOOKUP($B31,[1]Hedef!$A$4:$ES$45409,127,0))</f>
        <v>2.6792502599999999</v>
      </c>
      <c r="CW31" s="159">
        <f>IF(ISERROR(VLOOKUP($B31,[1]Hedef!$A$4:$ES$45409,47,0)),0,VLOOKUP($B31,[1]Hedef!$A$4:$ES$45409,47,0))</f>
        <v>2.6792502600000012</v>
      </c>
      <c r="CX31" s="23">
        <f t="shared" ref="CX31:CX38" si="166">IF((CU31-CV31)&lt;0, "-", (CU31-CV31))</f>
        <v>27.32074974</v>
      </c>
      <c r="CY31" s="80">
        <f t="shared" ref="CY31:CY38" si="167">TRUNC(IF((CV31/CU31)&gt;1.2,"120%",(CV31/CU31)),2)</f>
        <v>0.08</v>
      </c>
      <c r="CZ31" s="26"/>
      <c r="DA31" s="32">
        <v>28.331880000000055</v>
      </c>
      <c r="DB31" s="131">
        <f t="shared" ref="DB31:DB38" si="168">+CR31+BV31+AH31</f>
        <v>28.331159999999997</v>
      </c>
      <c r="DC31" s="59">
        <f t="shared" ref="DC31:DC38" si="169">IF(ISERROR((CV31-DA31)/DA31),0,(CV31-DA31)/DA31)</f>
        <v>-0.90543337540607982</v>
      </c>
      <c r="DD31" s="24"/>
      <c r="DE31" s="22">
        <v>30</v>
      </c>
      <c r="DF31" s="15">
        <f t="shared" ref="DF31:DF38" si="170">DE31-CU31</f>
        <v>0</v>
      </c>
      <c r="DG31" s="99"/>
      <c r="DH31" s="92"/>
      <c r="DI31" s="24"/>
    </row>
    <row r="32" spans="1:113" ht="12.75" customHeight="1" x14ac:dyDescent="0.2">
      <c r="A32" s="24"/>
      <c r="B32" s="31">
        <v>57</v>
      </c>
      <c r="C32" s="194" t="s">
        <v>45</v>
      </c>
      <c r="D32" s="102"/>
      <c r="E32" s="193">
        <v>0.75</v>
      </c>
      <c r="F32" s="23">
        <f>IF(ISERROR(VLOOKUP($B32,[1]Hedef!$A$4:$ES$45409,25,0)),0,VLOOKUP($B32,[1]Hedef!$A$4:$ES$45409,25,0))+IF(ISERROR(VLOOKUP($B32,[1]Hedef!$A$4:$ES$45409,15,0)),0,VLOOKUP($B32,[1]Hedef!$A$4:$ES$45409,15,0))</f>
        <v>3.7720000000000004E-2</v>
      </c>
      <c r="G32" s="23">
        <f>IF((E32-F32)&lt;0, "-", (E32-F32))</f>
        <v>0.71228000000000002</v>
      </c>
      <c r="H32" s="80">
        <f t="shared" si="129"/>
        <v>0.05</v>
      </c>
      <c r="I32" s="24"/>
      <c r="J32" s="32">
        <v>0.70389999999999997</v>
      </c>
      <c r="K32" s="59">
        <f t="shared" si="130"/>
        <v>-0.94641284273334281</v>
      </c>
      <c r="L32" s="24"/>
      <c r="M32" s="44">
        <v>0.65</v>
      </c>
      <c r="N32" s="23">
        <f>IF(ISERROR(VLOOKUP($B32,[1]Hedef!$A$4:$ES$45409,41,0)),0,VLOOKUP($B32,[1]Hedef!$A$4:$ES$45409,41,0))</f>
        <v>1.7219999999999999E-2</v>
      </c>
      <c r="O32" s="23">
        <f>IF((M32-N32)&lt;0, "-", (M32-N32))</f>
        <v>0.63278000000000001</v>
      </c>
      <c r="P32" s="80">
        <f t="shared" si="132"/>
        <v>0.02</v>
      </c>
      <c r="Q32" s="92"/>
      <c r="R32" s="32">
        <v>0.61893999999999993</v>
      </c>
      <c r="S32" s="59">
        <f t="shared" si="85"/>
        <v>-0.97217824021714538</v>
      </c>
      <c r="T32" s="102"/>
      <c r="U32" s="22">
        <v>1.3</v>
      </c>
      <c r="V32" s="23">
        <f>IF(ISERROR(VLOOKUP($B32,[1]Hedef!$A$4:$ES$45409,45,0)),0,VLOOKUP($B32,[1]Hedef!$A$4:$ES$45409,45,0))+IF(ISERROR(VLOOKUP($B32,[1]Hedef!$A$4:$ES$45409,109,0)),0,VLOOKUP($B32,[1]Hedef!$A$4:$ES$45409,109,0))</f>
        <v>0.20551000000000003</v>
      </c>
      <c r="W32" s="23">
        <f>IF((U32-V32)&lt;0, "-", (U32-V32))</f>
        <v>1.09449</v>
      </c>
      <c r="X32" s="80">
        <f t="shared" si="134"/>
        <v>0.15</v>
      </c>
      <c r="Y32" s="24"/>
      <c r="Z32" s="32">
        <v>1.2576299999999998</v>
      </c>
      <c r="AA32" s="59">
        <f t="shared" si="87"/>
        <v>-0.83658945794868111</v>
      </c>
      <c r="AB32" s="99"/>
      <c r="AC32" s="164">
        <v>2.7</v>
      </c>
      <c r="AD32" s="23">
        <f t="shared" si="135"/>
        <v>0.26045000000000007</v>
      </c>
      <c r="AE32" s="23">
        <f t="shared" si="136"/>
        <v>2.4395500000000001</v>
      </c>
      <c r="AF32" s="80">
        <f t="shared" si="137"/>
        <v>0.09</v>
      </c>
      <c r="AG32" s="22">
        <f t="shared" si="138"/>
        <v>0</v>
      </c>
      <c r="AH32" s="44">
        <f t="shared" si="91"/>
        <v>2.5804699999999996</v>
      </c>
      <c r="AI32" s="59">
        <f t="shared" si="139"/>
        <v>-0.8990687742930551</v>
      </c>
      <c r="AJ32" s="24"/>
      <c r="AK32" s="22">
        <v>0.4</v>
      </c>
      <c r="AL32" s="23">
        <f>IF(ISERROR(VLOOKUP($B32,[1]Hedef!$A$4:$ES$45409,97,0)),0,VLOOKUP($B32,[1]Hedef!$A$4:$ES$45409,97,0))</f>
        <v>0</v>
      </c>
      <c r="AM32" s="23">
        <f>IF((AK32-AL32)&lt;0, "-", (AK32-AL32))</f>
        <v>0.4</v>
      </c>
      <c r="AN32" s="80">
        <f t="shared" si="141"/>
        <v>0</v>
      </c>
      <c r="AO32" s="24"/>
      <c r="AP32" s="32">
        <v>0.373</v>
      </c>
      <c r="AQ32" s="59">
        <f t="shared" si="142"/>
        <v>-1</v>
      </c>
      <c r="AR32" s="24"/>
      <c r="AS32" s="22">
        <v>0.44</v>
      </c>
      <c r="AT32" s="23">
        <f>IF(ISERROR(VLOOKUP($B32,[1]Hedef!$A$4:$ES$45409,57,0)),0,VLOOKUP($B32,[1]Hedef!$A$4:$ES$45409,57,0))</f>
        <v>8.072E-2</v>
      </c>
      <c r="AU32" s="23">
        <f>IF((AS32-AT32)&lt;0, "-", (AS32-AT32))</f>
        <v>0.35927999999999999</v>
      </c>
      <c r="AV32" s="80">
        <f t="shared" si="144"/>
        <v>0.18</v>
      </c>
      <c r="AW32" s="24"/>
      <c r="AX32" s="32">
        <v>0.42621000000000003</v>
      </c>
      <c r="AY32" s="59">
        <f t="shared" si="96"/>
        <v>-0.81060979329438543</v>
      </c>
      <c r="AZ32" s="92"/>
      <c r="BA32" s="22">
        <v>0.25</v>
      </c>
      <c r="BB32" s="23">
        <f>IF(ISERROR(VLOOKUP($B32,[1]Hedef!$A$4:$ES$45409,99,0)),0,VLOOKUP($B32,[1]Hedef!$A$4:$ES$45409,99,0))</f>
        <v>4.2939999999999999E-2</v>
      </c>
      <c r="BC32" s="23">
        <f t="shared" si="145"/>
        <v>0.20705999999999999</v>
      </c>
      <c r="BD32" s="80">
        <f t="shared" si="146"/>
        <v>0.17</v>
      </c>
      <c r="BE32" s="24"/>
      <c r="BF32" s="32">
        <v>0.23942000000000002</v>
      </c>
      <c r="BG32" s="59">
        <f>IF(ISERROR((BB32-BF32)/BF32),0,(BB32-BF32)/BF32)</f>
        <v>-0.82064990393450843</v>
      </c>
      <c r="BH32" s="24"/>
      <c r="BI32" s="22">
        <v>0.16</v>
      </c>
      <c r="BJ32" s="23">
        <f>IF(ISERROR(VLOOKUP($B32,[1]Hedef!$A$4:$ES$45409,117,0)),0,VLOOKUP($B32,[1]Hedef!$A$4:$ES$45409,117,0))</f>
        <v>3.2499999999999999E-3</v>
      </c>
      <c r="BK32" s="23">
        <f>IF((BI32-BJ32)&lt;0, "-", (BI32-BJ32))</f>
        <v>0.15675</v>
      </c>
      <c r="BL32" s="80">
        <f t="shared" si="148"/>
        <v>0.02</v>
      </c>
      <c r="BM32" s="24"/>
      <c r="BN32" s="32">
        <v>0.16489000000000001</v>
      </c>
      <c r="BO32" s="59">
        <f t="shared" si="100"/>
        <v>-0.98028989022985014</v>
      </c>
      <c r="BP32" s="99"/>
      <c r="BQ32" s="22">
        <v>1.25</v>
      </c>
      <c r="BR32" s="23">
        <f t="shared" si="149"/>
        <v>0.12691</v>
      </c>
      <c r="BS32" s="23">
        <f>IF((BQ32-BR32)&lt;0, "-", (BQ32-BR32))</f>
        <v>1.1230899999999999</v>
      </c>
      <c r="BT32" s="80">
        <f t="shared" si="151"/>
        <v>0.1</v>
      </c>
      <c r="BU32" s="22">
        <f t="shared" si="152"/>
        <v>0</v>
      </c>
      <c r="BV32" s="22">
        <f t="shared" si="104"/>
        <v>1.2035200000000001</v>
      </c>
      <c r="BW32" s="59">
        <f t="shared" si="105"/>
        <v>-0.89455098378090925</v>
      </c>
      <c r="BX32" s="183"/>
      <c r="BY32" s="22">
        <v>0.28999999999999998</v>
      </c>
      <c r="BZ32" s="23">
        <f>IF(ISERROR(VLOOKUP($B32,[1]Hedef!$A$4:$ES$45409,71,0)),0,VLOOKUP($B32,[1]Hedef!$A$4:$ES$45409,71,0))</f>
        <v>5.7660000000000003E-2</v>
      </c>
      <c r="CA32" s="23">
        <f t="shared" si="153"/>
        <v>0.23233999999999999</v>
      </c>
      <c r="CB32" s="80">
        <f t="shared" si="154"/>
        <v>0.19</v>
      </c>
      <c r="CC32" s="32">
        <v>0.25853999999999999</v>
      </c>
      <c r="CD32" s="59">
        <f t="shared" si="155"/>
        <v>-0.7769784172661871</v>
      </c>
      <c r="CE32" s="99"/>
      <c r="CF32" s="22">
        <v>1.36</v>
      </c>
      <c r="CG32" s="23">
        <f>IF(ISERROR(VLOOKUP($B32,[1]Hedef!$A$4:$ES$45409,87,0)),0,VLOOKUP($B32,[1]Hedef!$A$4:$ES$45409,87,0))</f>
        <v>4.4959999999999993E-2</v>
      </c>
      <c r="CH32" s="23">
        <f t="shared" si="156"/>
        <v>1.3150400000000002</v>
      </c>
      <c r="CI32" s="80">
        <f t="shared" si="157"/>
        <v>0.03</v>
      </c>
      <c r="CJ32" s="32">
        <v>1.3064900000000002</v>
      </c>
      <c r="CK32" s="59">
        <f t="shared" si="158"/>
        <v>-0.96558718398150778</v>
      </c>
      <c r="CL32" s="99"/>
      <c r="CM32" s="22">
        <v>1.65</v>
      </c>
      <c r="CN32" s="23">
        <f t="shared" si="159"/>
        <v>0.10261999999999999</v>
      </c>
      <c r="CO32" s="23">
        <f t="shared" si="160"/>
        <v>1.54738</v>
      </c>
      <c r="CP32" s="80">
        <f t="shared" si="161"/>
        <v>0.06</v>
      </c>
      <c r="CQ32" s="123">
        <f t="shared" si="162"/>
        <v>0</v>
      </c>
      <c r="CR32" s="23">
        <f t="shared" si="163"/>
        <v>1.5650300000000001</v>
      </c>
      <c r="CS32" s="59">
        <f t="shared" si="164"/>
        <v>-0.93442937196092091</v>
      </c>
      <c r="CT32" s="82"/>
      <c r="CU32" s="22">
        <f t="shared" si="165"/>
        <v>5.6</v>
      </c>
      <c r="CV32" s="23">
        <f>IF(ISERROR(VLOOKUP($B32,[1]Hedef!$A$4:$ES$45409,127,0)),0,VLOOKUP($B32,[1]Hedef!$A$4:$ES$45409,127,0))</f>
        <v>0.48998000000000003</v>
      </c>
      <c r="CW32" s="159">
        <f>IF(ISERROR(VLOOKUP($B32,[1]Hedef!$A$4:$ES$45409,47,0)),0,VLOOKUP($B32,[1]Hedef!$A$4:$ES$45409,47,0))</f>
        <v>0.48998000000000003</v>
      </c>
      <c r="CX32" s="23">
        <f t="shared" si="166"/>
        <v>5.1100199999999996</v>
      </c>
      <c r="CY32" s="80">
        <f t="shared" si="167"/>
        <v>0.08</v>
      </c>
      <c r="CZ32" s="26"/>
      <c r="DA32" s="32">
        <v>5.352380000000001</v>
      </c>
      <c r="DB32" s="131">
        <f t="shared" si="168"/>
        <v>5.3490199999999994</v>
      </c>
      <c r="DC32" s="59">
        <f t="shared" si="169"/>
        <v>-0.90845567766115265</v>
      </c>
      <c r="DD32" s="24"/>
      <c r="DE32" s="22">
        <v>5.6</v>
      </c>
      <c r="DF32" s="15">
        <f t="shared" si="170"/>
        <v>0</v>
      </c>
      <c r="DG32" s="99"/>
      <c r="DH32" s="92"/>
      <c r="DI32" s="24"/>
    </row>
    <row r="33" spans="1:113" ht="12.75" customHeight="1" x14ac:dyDescent="0.2">
      <c r="A33" s="24"/>
      <c r="B33" s="31">
        <v>16</v>
      </c>
      <c r="C33" s="194" t="s">
        <v>22</v>
      </c>
      <c r="D33" s="102"/>
      <c r="E33" s="193">
        <v>0.85</v>
      </c>
      <c r="F33" s="23">
        <f>IF(ISERROR(VLOOKUP($B33,[1]Hedef!$A$4:$ES$45409,25,0)),0,VLOOKUP($B33,[1]Hedef!$A$4:$ES$45409,25,0))+IF(ISERROR(VLOOKUP($B33,[1]Hedef!$A$4:$ES$45409,15,0)),0,VLOOKUP($B33,[1]Hedef!$A$4:$ES$45409,15,0))</f>
        <v>7.6619999999999994E-2</v>
      </c>
      <c r="G33" s="23">
        <f t="shared" ref="G33:G38" si="171">IF((E33-F33)&lt;0, "-", (E33-F33))</f>
        <v>0.77337999999999996</v>
      </c>
      <c r="H33" s="80">
        <f t="shared" si="129"/>
        <v>0.09</v>
      </c>
      <c r="I33" s="24"/>
      <c r="J33" s="32">
        <v>0.57081000000000004</v>
      </c>
      <c r="K33" s="59">
        <f t="shared" si="130"/>
        <v>-0.86576969569559048</v>
      </c>
      <c r="L33" s="24"/>
      <c r="M33" s="44">
        <v>0.68</v>
      </c>
      <c r="N33" s="23">
        <f>IF(ISERROR(VLOOKUP($B33,[1]Hedef!$A$4:$ES$45409,41,0)),0,VLOOKUP($B33,[1]Hedef!$A$4:$ES$45409,41,0))</f>
        <v>3.5500000000000004E-2</v>
      </c>
      <c r="O33" s="23">
        <f t="shared" si="131"/>
        <v>0.64450000000000007</v>
      </c>
      <c r="P33" s="80">
        <f t="shared" si="132"/>
        <v>0.05</v>
      </c>
      <c r="Q33" s="92"/>
      <c r="R33" s="32">
        <v>0.45557999999999998</v>
      </c>
      <c r="S33" s="59">
        <f t="shared" si="85"/>
        <v>-0.92207735194696872</v>
      </c>
      <c r="T33" s="102"/>
      <c r="U33" s="22">
        <v>0.27</v>
      </c>
      <c r="V33" s="23">
        <f>IF(ISERROR(VLOOKUP($B33,[1]Hedef!$A$4:$ES$45409,45,0)),0,VLOOKUP($B33,[1]Hedef!$A$4:$ES$45409,45,0))+IF(ISERROR(VLOOKUP($B33,[1]Hedef!$A$4:$ES$45409,109,0)),0,VLOOKUP($B33,[1]Hedef!$A$4:$ES$45409,109,0))</f>
        <v>5.0099999999999999E-2</v>
      </c>
      <c r="W33" s="23">
        <f t="shared" si="133"/>
        <v>0.21990000000000001</v>
      </c>
      <c r="X33" s="80">
        <f t="shared" si="134"/>
        <v>0.18</v>
      </c>
      <c r="Y33" s="24"/>
      <c r="Z33" s="32">
        <v>0.17910000000000001</v>
      </c>
      <c r="AA33" s="59">
        <f t="shared" si="87"/>
        <v>-0.72026800670016744</v>
      </c>
      <c r="AB33" s="99"/>
      <c r="AC33" s="164">
        <v>1.8</v>
      </c>
      <c r="AD33" s="23">
        <f t="shared" si="135"/>
        <v>0.16222</v>
      </c>
      <c r="AE33" s="23">
        <f t="shared" si="136"/>
        <v>1.63778</v>
      </c>
      <c r="AF33" s="80">
        <f t="shared" si="137"/>
        <v>0.09</v>
      </c>
      <c r="AG33" s="22">
        <f t="shared" si="138"/>
        <v>0</v>
      </c>
      <c r="AH33" s="44">
        <f t="shared" si="91"/>
        <v>1.2054900000000002</v>
      </c>
      <c r="AI33" s="59">
        <f t="shared" si="139"/>
        <v>-0.86543231383089037</v>
      </c>
      <c r="AJ33" s="92"/>
      <c r="AK33" s="22">
        <v>1.5</v>
      </c>
      <c r="AL33" s="23">
        <f>IF(ISERROR(VLOOKUP($B33,[1]Hedef!$A$4:$ES$45409,97,0)),0,VLOOKUP($B33,[1]Hedef!$A$4:$ES$45409,97,0))</f>
        <v>0</v>
      </c>
      <c r="AM33" s="23">
        <f t="shared" ref="AM33:AM38" si="172">IF((AK33-AL33)&lt;0, "-", (AK33-AL33))</f>
        <v>1.5</v>
      </c>
      <c r="AN33" s="80">
        <f t="shared" si="141"/>
        <v>0</v>
      </c>
      <c r="AO33" s="24"/>
      <c r="AP33" s="32">
        <v>1.0316000000000001</v>
      </c>
      <c r="AQ33" s="59">
        <f t="shared" si="142"/>
        <v>-1</v>
      </c>
      <c r="AR33" s="24"/>
      <c r="AS33" s="22">
        <v>0.8</v>
      </c>
      <c r="AT33" s="23">
        <f>IF(ISERROR(VLOOKUP($B33,[1]Hedef!$A$4:$ES$45409,57,0)),0,VLOOKUP($B33,[1]Hedef!$A$4:$ES$45409,57,0))</f>
        <v>5.4960000000000002E-2</v>
      </c>
      <c r="AU33" s="23">
        <f t="shared" si="143"/>
        <v>0.74504000000000004</v>
      </c>
      <c r="AV33" s="80">
        <f t="shared" si="144"/>
        <v>0.06</v>
      </c>
      <c r="AW33" s="24"/>
      <c r="AX33" s="32">
        <v>0.54860999999999993</v>
      </c>
      <c r="AY33" s="59">
        <f t="shared" si="96"/>
        <v>-0.89981954393831676</v>
      </c>
      <c r="AZ33" s="92"/>
      <c r="BA33" s="22">
        <v>1.8</v>
      </c>
      <c r="BB33" s="23">
        <f>IF(ISERROR(VLOOKUP($B33,[1]Hedef!$A$4:$ES$45409,99,0)),0,VLOOKUP($B33,[1]Hedef!$A$4:$ES$45409,99,0))</f>
        <v>0.13662000000000002</v>
      </c>
      <c r="BC33" s="23">
        <f t="shared" si="145"/>
        <v>1.6633800000000001</v>
      </c>
      <c r="BD33" s="80">
        <f t="shared" si="146"/>
        <v>7.0000000000000007E-2</v>
      </c>
      <c r="BE33" s="24"/>
      <c r="BF33" s="32">
        <v>1.2117749999999998</v>
      </c>
      <c r="BG33" s="59">
        <f t="shared" ref="BG33:BG38" si="173">IF(ISERROR((BB33-BF33)/BF33),0,(BB33-BF33)/BF33)</f>
        <v>-0.88725629757999624</v>
      </c>
      <c r="BH33" s="24"/>
      <c r="BI33" s="22">
        <v>0.9</v>
      </c>
      <c r="BJ33" s="23">
        <f>IF(ISERROR(VLOOKUP($B33,[1]Hedef!$A$4:$ES$45409,117,0)),0,VLOOKUP($B33,[1]Hedef!$A$4:$ES$45409,117,0))</f>
        <v>0.14515</v>
      </c>
      <c r="BK33" s="23">
        <f t="shared" si="147"/>
        <v>0.75485000000000002</v>
      </c>
      <c r="BL33" s="80">
        <f t="shared" si="148"/>
        <v>0.16</v>
      </c>
      <c r="BM33" s="24"/>
      <c r="BN33" s="32">
        <v>0.60667500000000008</v>
      </c>
      <c r="BO33" s="59">
        <f t="shared" si="100"/>
        <v>-0.7607450447109243</v>
      </c>
      <c r="BP33" s="99"/>
      <c r="BQ33" s="22">
        <v>5</v>
      </c>
      <c r="BR33" s="23">
        <f t="shared" si="149"/>
        <v>0.33673000000000003</v>
      </c>
      <c r="BS33" s="23">
        <f t="shared" si="150"/>
        <v>4.6632699999999998</v>
      </c>
      <c r="BT33" s="80">
        <f t="shared" si="151"/>
        <v>0.06</v>
      </c>
      <c r="BU33" s="22">
        <f t="shared" si="152"/>
        <v>0</v>
      </c>
      <c r="BV33" s="22">
        <f t="shared" si="104"/>
        <v>3.39866</v>
      </c>
      <c r="BW33" s="59">
        <f t="shared" si="105"/>
        <v>-0.90092271660007173</v>
      </c>
      <c r="BX33" s="183"/>
      <c r="BY33" s="22">
        <v>0.42</v>
      </c>
      <c r="BZ33" s="23">
        <f>IF(ISERROR(VLOOKUP($B33,[1]Hedef!$A$4:$ES$45409,71,0)),0,VLOOKUP($B33,[1]Hedef!$A$4:$ES$45409,71,0))</f>
        <v>7.2349999999999998E-2</v>
      </c>
      <c r="CA33" s="23">
        <f t="shared" si="153"/>
        <v>0.34765000000000001</v>
      </c>
      <c r="CB33" s="80">
        <f t="shared" si="154"/>
        <v>0.17</v>
      </c>
      <c r="CC33" s="32">
        <v>0.28537000000000001</v>
      </c>
      <c r="CD33" s="59">
        <f t="shared" si="155"/>
        <v>-0.74646949574236954</v>
      </c>
      <c r="CE33" s="99"/>
      <c r="CF33" s="22">
        <v>1.78</v>
      </c>
      <c r="CG33" s="23">
        <f>IF(ISERROR(VLOOKUP($B33,[1]Hedef!$A$4:$ES$45409,87,0)),0,VLOOKUP($B33,[1]Hedef!$A$4:$ES$45409,87,0))</f>
        <v>0.15454499999999999</v>
      </c>
      <c r="CH33" s="23">
        <f t="shared" si="156"/>
        <v>1.6254550000000001</v>
      </c>
      <c r="CI33" s="80">
        <f t="shared" si="157"/>
        <v>0.08</v>
      </c>
      <c r="CJ33" s="32">
        <v>1.185365</v>
      </c>
      <c r="CK33" s="59">
        <f t="shared" si="158"/>
        <v>-0.86962243697089092</v>
      </c>
      <c r="CL33" s="99"/>
      <c r="CM33" s="22">
        <v>2.2000000000000002</v>
      </c>
      <c r="CN33" s="23">
        <f t="shared" si="159"/>
        <v>0.22689499999999999</v>
      </c>
      <c r="CO33" s="23">
        <f t="shared" si="160"/>
        <v>1.9731050000000001</v>
      </c>
      <c r="CP33" s="80">
        <f t="shared" si="161"/>
        <v>0.1</v>
      </c>
      <c r="CQ33" s="123">
        <f t="shared" si="162"/>
        <v>0</v>
      </c>
      <c r="CR33" s="23">
        <f t="shared" si="163"/>
        <v>1.4707349999999999</v>
      </c>
      <c r="CS33" s="59">
        <f t="shared" si="164"/>
        <v>-0.84572679646571269</v>
      </c>
      <c r="CT33" s="82"/>
      <c r="CU33" s="22">
        <f t="shared" si="165"/>
        <v>9</v>
      </c>
      <c r="CV33" s="23">
        <f>IF(ISERROR(VLOOKUP($B33,[1]Hedef!$A$4:$ES$45409,127,0)),0,VLOOKUP($B33,[1]Hedef!$A$4:$ES$45409,127,0))</f>
        <v>0.72584499999999996</v>
      </c>
      <c r="CW33" s="159">
        <f>IF(ISERROR(VLOOKUP($B33,[1]Hedef!$A$4:$ES$45409,47,0)),0,VLOOKUP($B33,[1]Hedef!$A$4:$ES$45409,47,0))</f>
        <v>0.72584500000000007</v>
      </c>
      <c r="CX33" s="23">
        <f t="shared" si="166"/>
        <v>8.2741550000000004</v>
      </c>
      <c r="CY33" s="80">
        <f t="shared" si="167"/>
        <v>0.08</v>
      </c>
      <c r="CZ33" s="26"/>
      <c r="DA33" s="32">
        <v>6.0768399999999998</v>
      </c>
      <c r="DB33" s="131">
        <f t="shared" si="168"/>
        <v>6.0748850000000001</v>
      </c>
      <c r="DC33" s="59">
        <f t="shared" si="169"/>
        <v>-0.88055551898684192</v>
      </c>
      <c r="DD33" s="24"/>
      <c r="DE33" s="22">
        <v>9</v>
      </c>
      <c r="DF33" s="15">
        <f t="shared" si="170"/>
        <v>0</v>
      </c>
      <c r="DG33" s="99"/>
      <c r="DH33" s="92"/>
      <c r="DI33" s="24"/>
    </row>
    <row r="34" spans="1:113" ht="12.75" customHeight="1" x14ac:dyDescent="0.2">
      <c r="A34" s="24"/>
      <c r="B34" s="31">
        <v>43</v>
      </c>
      <c r="C34" s="194" t="s">
        <v>23</v>
      </c>
      <c r="D34" s="102"/>
      <c r="E34" s="193">
        <v>0.12</v>
      </c>
      <c r="F34" s="23">
        <f>IF(ISERROR(VLOOKUP($B34,[1]Hedef!$A$4:$ES$45409,25,0)),0,VLOOKUP($B34,[1]Hedef!$A$4:$ES$45409,25,0))+IF(ISERROR(VLOOKUP($B34,[1]Hedef!$A$4:$ES$45409,15,0)),0,VLOOKUP($B34,[1]Hedef!$A$4:$ES$45409,15,0))</f>
        <v>8.652E-2</v>
      </c>
      <c r="G34" s="23">
        <f t="shared" si="171"/>
        <v>3.3479999999999996E-2</v>
      </c>
      <c r="H34" s="80">
        <f t="shared" si="129"/>
        <v>0.72</v>
      </c>
      <c r="I34" s="24"/>
      <c r="J34" s="32">
        <v>6.3700000000000007E-2</v>
      </c>
      <c r="K34" s="59">
        <f t="shared" si="130"/>
        <v>0.35824175824175808</v>
      </c>
      <c r="L34" s="24"/>
      <c r="M34" s="44">
        <v>1.55</v>
      </c>
      <c r="N34" s="23">
        <f>IF(ISERROR(VLOOKUP($B34,[1]Hedef!$A$4:$ES$45409,41,0)),0,VLOOKUP($B34,[1]Hedef!$A$4:$ES$45409,41,0))</f>
        <v>7.8195000000000001E-2</v>
      </c>
      <c r="O34" s="23">
        <f t="shared" si="131"/>
        <v>1.471805</v>
      </c>
      <c r="P34" s="80">
        <f t="shared" si="132"/>
        <v>0.05</v>
      </c>
      <c r="Q34" s="92"/>
      <c r="R34" s="32">
        <v>0.83210500000000009</v>
      </c>
      <c r="S34" s="59">
        <f t="shared" si="85"/>
        <v>-0.90602748451217097</v>
      </c>
      <c r="T34" s="102"/>
      <c r="U34" s="22">
        <v>1.78</v>
      </c>
      <c r="V34" s="23">
        <f>IF(ISERROR(VLOOKUP($B34,[1]Hedef!$A$4:$ES$45409,45,0)),0,VLOOKUP($B34,[1]Hedef!$A$4:$ES$45409,45,0))+IF(ISERROR(VLOOKUP($B34,[1]Hedef!$A$4:$ES$45409,109,0)),0,VLOOKUP($B34,[1]Hedef!$A$4:$ES$45409,109,0))</f>
        <v>0.15701999999999999</v>
      </c>
      <c r="W34" s="23">
        <f t="shared" si="133"/>
        <v>1.6229800000000001</v>
      </c>
      <c r="X34" s="80">
        <f t="shared" si="134"/>
        <v>0.08</v>
      </c>
      <c r="Y34" s="24"/>
      <c r="Z34" s="32">
        <v>0.95799500000000015</v>
      </c>
      <c r="AA34" s="59">
        <f t="shared" si="87"/>
        <v>-0.83609517794978061</v>
      </c>
      <c r="AB34" s="99"/>
      <c r="AC34" s="164">
        <v>3.45</v>
      </c>
      <c r="AD34" s="23">
        <f t="shared" si="135"/>
        <v>0.32173499999999999</v>
      </c>
      <c r="AE34" s="23">
        <f t="shared" si="136"/>
        <v>3.1282650000000003</v>
      </c>
      <c r="AF34" s="80">
        <f t="shared" si="137"/>
        <v>0.09</v>
      </c>
      <c r="AG34" s="22">
        <f t="shared" si="138"/>
        <v>1.1102230246251565E-16</v>
      </c>
      <c r="AH34" s="44">
        <f t="shared" si="91"/>
        <v>1.8538000000000003</v>
      </c>
      <c r="AI34" s="59">
        <f t="shared" si="139"/>
        <v>-0.8264456791455389</v>
      </c>
      <c r="AJ34" s="24"/>
      <c r="AK34" s="22">
        <v>0.52</v>
      </c>
      <c r="AL34" s="23">
        <f>IF(ISERROR(VLOOKUP($B34,[1]Hedef!$A$4:$ES$45409,97,0)),0,VLOOKUP($B34,[1]Hedef!$A$4:$ES$45409,97,0))</f>
        <v>0</v>
      </c>
      <c r="AM34" s="23">
        <f t="shared" si="172"/>
        <v>0.52</v>
      </c>
      <c r="AN34" s="80">
        <f t="shared" si="141"/>
        <v>0</v>
      </c>
      <c r="AO34" s="24"/>
      <c r="AP34" s="32">
        <v>0.27381499999999998</v>
      </c>
      <c r="AQ34" s="59">
        <f t="shared" si="142"/>
        <v>-1</v>
      </c>
      <c r="AR34" s="24"/>
      <c r="AS34" s="22">
        <v>0.3</v>
      </c>
      <c r="AT34" s="23">
        <f>IF(ISERROR(VLOOKUP($B34,[1]Hedef!$A$4:$ES$45409,57,0)),0,VLOOKUP($B34,[1]Hedef!$A$4:$ES$45409,57,0))</f>
        <v>3.6075000000000003E-2</v>
      </c>
      <c r="AU34" s="23">
        <f t="shared" si="143"/>
        <v>0.26392499999999997</v>
      </c>
      <c r="AV34" s="80">
        <f t="shared" si="144"/>
        <v>0.12</v>
      </c>
      <c r="AW34" s="24"/>
      <c r="AX34" s="32">
        <v>0.15244999999999997</v>
      </c>
      <c r="AY34" s="59">
        <f t="shared" si="96"/>
        <v>-0.76336503771728437</v>
      </c>
      <c r="AZ34" s="92"/>
      <c r="BA34" s="22">
        <v>0.36</v>
      </c>
      <c r="BB34" s="23">
        <f>IF(ISERROR(VLOOKUP($B34,[1]Hedef!$A$4:$ES$45409,99,0)),0,VLOOKUP($B34,[1]Hedef!$A$4:$ES$45409,99,0))</f>
        <v>6.7065E-2</v>
      </c>
      <c r="BC34" s="23">
        <f t="shared" si="145"/>
        <v>0.292935</v>
      </c>
      <c r="BD34" s="80">
        <f t="shared" si="146"/>
        <v>0.18</v>
      </c>
      <c r="BE34" s="24"/>
      <c r="BF34" s="32">
        <v>0.18934500000000001</v>
      </c>
      <c r="BG34" s="59">
        <f t="shared" si="173"/>
        <v>-0.64580527608333993</v>
      </c>
      <c r="BH34" s="24"/>
      <c r="BI34" s="22">
        <v>0.12</v>
      </c>
      <c r="BJ34" s="23">
        <f>IF(ISERROR(VLOOKUP($B34,[1]Hedef!$A$4:$ES$45409,117,0)),0,VLOOKUP($B34,[1]Hedef!$A$4:$ES$45409,117,0))</f>
        <v>3.1855000000000001E-2</v>
      </c>
      <c r="BK34" s="23">
        <f t="shared" si="147"/>
        <v>8.8145000000000001E-2</v>
      </c>
      <c r="BL34" s="80">
        <f t="shared" si="148"/>
        <v>0.26</v>
      </c>
      <c r="BM34" s="24"/>
      <c r="BN34" s="32">
        <v>6.6220000000000001E-2</v>
      </c>
      <c r="BO34" s="59">
        <f t="shared" si="100"/>
        <v>-0.51895197825430384</v>
      </c>
      <c r="BP34" s="99"/>
      <c r="BQ34" s="22">
        <v>1.3</v>
      </c>
      <c r="BR34" s="23">
        <f t="shared" si="149"/>
        <v>0.134995</v>
      </c>
      <c r="BS34" s="23">
        <f t="shared" si="150"/>
        <v>1.1650050000000001</v>
      </c>
      <c r="BT34" s="80">
        <f t="shared" si="151"/>
        <v>0.1</v>
      </c>
      <c r="BU34" s="22">
        <f t="shared" si="152"/>
        <v>0</v>
      </c>
      <c r="BV34" s="22">
        <f t="shared" si="104"/>
        <v>0.68182999999999994</v>
      </c>
      <c r="BW34" s="59">
        <f t="shared" si="105"/>
        <v>-0.80201076514673753</v>
      </c>
      <c r="BX34" s="183"/>
      <c r="BY34" s="22">
        <v>0.66</v>
      </c>
      <c r="BZ34" s="23">
        <f>IF(ISERROR(VLOOKUP($B34,[1]Hedef!$A$4:$ES$45409,71,0)),0,VLOOKUP($B34,[1]Hedef!$A$4:$ES$45409,71,0))</f>
        <v>1.0879999999999997E-2</v>
      </c>
      <c r="CA34" s="23">
        <f t="shared" si="153"/>
        <v>0.64912000000000003</v>
      </c>
      <c r="CB34" s="80">
        <f t="shared" si="154"/>
        <v>0.01</v>
      </c>
      <c r="CC34" s="32">
        <v>0.36009999999999998</v>
      </c>
      <c r="CD34" s="59">
        <f t="shared" si="155"/>
        <v>-0.96978617050819216</v>
      </c>
      <c r="CE34" s="99"/>
      <c r="CF34" s="22">
        <v>2.09</v>
      </c>
      <c r="CG34" s="23">
        <f>IF(ISERROR(VLOOKUP($B34,[1]Hedef!$A$4:$ES$45409,87,0)),0,VLOOKUP($B34,[1]Hedef!$A$4:$ES$45409,87,0))</f>
        <v>6.0819999999999999E-2</v>
      </c>
      <c r="CH34" s="23">
        <f t="shared" si="156"/>
        <v>2.0291799999999998</v>
      </c>
      <c r="CI34" s="80">
        <f t="shared" si="157"/>
        <v>0.02</v>
      </c>
      <c r="CJ34" s="32">
        <v>1.123545</v>
      </c>
      <c r="CK34" s="59">
        <f t="shared" si="158"/>
        <v>-0.94586776675611561</v>
      </c>
      <c r="CL34" s="99"/>
      <c r="CM34" s="22">
        <v>2.75</v>
      </c>
      <c r="CN34" s="23">
        <f t="shared" si="159"/>
        <v>7.17E-2</v>
      </c>
      <c r="CO34" s="23">
        <f t="shared" si="160"/>
        <v>2.6783000000000001</v>
      </c>
      <c r="CP34" s="80">
        <f t="shared" si="161"/>
        <v>0.02</v>
      </c>
      <c r="CQ34" s="123">
        <f t="shared" si="162"/>
        <v>0</v>
      </c>
      <c r="CR34" s="23">
        <f t="shared" si="163"/>
        <v>1.4836450000000001</v>
      </c>
      <c r="CS34" s="59">
        <f t="shared" si="164"/>
        <v>-0.95167307543246527</v>
      </c>
      <c r="CT34" s="82"/>
      <c r="CU34" s="22">
        <f t="shared" si="165"/>
        <v>7.5</v>
      </c>
      <c r="CV34" s="23">
        <f>IF(ISERROR(VLOOKUP($B34,[1]Hedef!$A$4:$ES$45409,127,0)),0,VLOOKUP($B34,[1]Hedef!$A$4:$ES$45409,127,0))</f>
        <v>0.52842999999999996</v>
      </c>
      <c r="CW34" s="159">
        <f>IF(ISERROR(VLOOKUP($B34,[1]Hedef!$A$4:$ES$45409,47,0)),0,VLOOKUP($B34,[1]Hedef!$A$4:$ES$45409,47,0))</f>
        <v>0.53082999999999991</v>
      </c>
      <c r="CX34" s="23">
        <f t="shared" si="166"/>
        <v>6.9715699999999998</v>
      </c>
      <c r="CY34" s="80">
        <f t="shared" si="167"/>
        <v>7.0000000000000007E-2</v>
      </c>
      <c r="CZ34" s="26"/>
      <c r="DA34" s="32">
        <v>4.0228500000000009</v>
      </c>
      <c r="DB34" s="131">
        <f t="shared" si="168"/>
        <v>4.0192750000000004</v>
      </c>
      <c r="DC34" s="59">
        <f t="shared" si="169"/>
        <v>-0.86864287756192748</v>
      </c>
      <c r="DD34" s="24"/>
      <c r="DE34" s="22">
        <v>7.5</v>
      </c>
      <c r="DF34" s="15">
        <f t="shared" si="170"/>
        <v>0</v>
      </c>
      <c r="DG34" s="99"/>
      <c r="DH34" s="92"/>
      <c r="DI34" s="24"/>
    </row>
    <row r="35" spans="1:113" ht="12.75" customHeight="1" x14ac:dyDescent="0.2">
      <c r="A35" s="24"/>
      <c r="B35" s="31">
        <v>18</v>
      </c>
      <c r="C35" s="194" t="s">
        <v>67</v>
      </c>
      <c r="D35" s="102"/>
      <c r="E35" s="193">
        <v>24</v>
      </c>
      <c r="F35" s="23">
        <f>IF(ISERROR(VLOOKUP($B35,[1]Hedef!$A$4:$ES$45409,25,0)),0,VLOOKUP($B35,[1]Hedef!$A$4:$ES$45409,25,0))+IF(ISERROR(VLOOKUP($B35,[1]Hedef!$A$4:$ES$45409,15,0)),0,VLOOKUP($B35,[1]Hedef!$A$4:$ES$45409,15,0))</f>
        <v>0.84400000000000008</v>
      </c>
      <c r="G35" s="23">
        <f t="shared" si="171"/>
        <v>23.155999999999999</v>
      </c>
      <c r="H35" s="80">
        <f t="shared" si="129"/>
        <v>0.03</v>
      </c>
      <c r="I35" s="24"/>
      <c r="J35" s="32">
        <v>17.633600000000001</v>
      </c>
      <c r="K35" s="59">
        <f t="shared" si="130"/>
        <v>-0.95213682968877589</v>
      </c>
      <c r="L35" s="24"/>
      <c r="M35" s="44">
        <v>0.62</v>
      </c>
      <c r="N35" s="23">
        <f>IF(ISERROR(VLOOKUP($B35,[1]Hedef!$A$4:$ES$45409,41,0)),0,VLOOKUP($B35,[1]Hedef!$A$4:$ES$45409,41,0))</f>
        <v>5.6399999999999999E-2</v>
      </c>
      <c r="O35" s="23">
        <f t="shared" si="131"/>
        <v>0.56359999999999999</v>
      </c>
      <c r="P35" s="80">
        <f t="shared" si="132"/>
        <v>0.09</v>
      </c>
      <c r="Q35" s="92"/>
      <c r="R35" s="32">
        <v>0.45293999999999995</v>
      </c>
      <c r="S35" s="59">
        <f t="shared" si="85"/>
        <v>-0.8754801960524573</v>
      </c>
      <c r="T35" s="102"/>
      <c r="U35" s="22">
        <v>0.38</v>
      </c>
      <c r="V35" s="23">
        <f>IF(ISERROR(VLOOKUP($B35,[1]Hedef!$A$4:$ES$45409,45,0)),0,VLOOKUP($B35,[1]Hedef!$A$4:$ES$45409,45,0))+IF(ISERROR(VLOOKUP($B35,[1]Hedef!$A$4:$ES$45409,109,0)),0,VLOOKUP($B35,[1]Hedef!$A$4:$ES$45409,109,0))</f>
        <v>7.8E-2</v>
      </c>
      <c r="W35" s="23">
        <f t="shared" si="133"/>
        <v>0.30199999999999999</v>
      </c>
      <c r="X35" s="80">
        <f t="shared" si="134"/>
        <v>0.2</v>
      </c>
      <c r="Y35" s="24"/>
      <c r="Z35" s="32">
        <v>0.32320000000000004</v>
      </c>
      <c r="AA35" s="59">
        <f t="shared" si="87"/>
        <v>-0.75866336633663367</v>
      </c>
      <c r="AB35" s="99"/>
      <c r="AC35" s="164">
        <v>25</v>
      </c>
      <c r="AD35" s="23">
        <f t="shared" si="135"/>
        <v>0.97840000000000005</v>
      </c>
      <c r="AE35" s="23">
        <f t="shared" si="136"/>
        <v>24.021599999999999</v>
      </c>
      <c r="AF35" s="80">
        <f t="shared" si="137"/>
        <v>0.03</v>
      </c>
      <c r="AG35" s="22">
        <f t="shared" si="138"/>
        <v>0</v>
      </c>
      <c r="AH35" s="44">
        <f t="shared" si="91"/>
        <v>18.409740000000003</v>
      </c>
      <c r="AI35" s="59">
        <f t="shared" si="139"/>
        <v>-0.94685421955986337</v>
      </c>
      <c r="AJ35" s="92"/>
      <c r="AK35" s="22">
        <v>1</v>
      </c>
      <c r="AL35" s="23">
        <f>IF(ISERROR(VLOOKUP($B35,[1]Hedef!$A$4:$ES$45409,97,0)),0,VLOOKUP($B35,[1]Hedef!$A$4:$ES$45409,97,0))</f>
        <v>0</v>
      </c>
      <c r="AM35" s="23">
        <f t="shared" si="172"/>
        <v>1</v>
      </c>
      <c r="AN35" s="80">
        <f t="shared" si="141"/>
        <v>0</v>
      </c>
      <c r="AO35" s="24"/>
      <c r="AP35" s="32">
        <v>0.72</v>
      </c>
      <c r="AQ35" s="59">
        <f t="shared" si="142"/>
        <v>-1</v>
      </c>
      <c r="AR35" s="24"/>
      <c r="AS35" s="22">
        <v>0.46</v>
      </c>
      <c r="AT35" s="23">
        <f>IF(ISERROR(VLOOKUP($B35,[1]Hedef!$A$4:$ES$45409,57,0)),0,VLOOKUP($B35,[1]Hedef!$A$4:$ES$45409,57,0))</f>
        <v>4.7599999999999996E-2</v>
      </c>
      <c r="AU35" s="23">
        <f t="shared" si="143"/>
        <v>0.41240000000000004</v>
      </c>
      <c r="AV35" s="80">
        <f t="shared" si="144"/>
        <v>0.1</v>
      </c>
      <c r="AW35" s="24"/>
      <c r="AX35" s="32">
        <v>0.33520000000000005</v>
      </c>
      <c r="AY35" s="59">
        <f t="shared" si="96"/>
        <v>-0.85799522673031037</v>
      </c>
      <c r="AZ35" s="92"/>
      <c r="BA35" s="22">
        <v>1</v>
      </c>
      <c r="BB35" s="23">
        <f>IF(ISERROR(VLOOKUP($B35,[1]Hedef!$A$4:$ES$45409,99,0)),0,VLOOKUP($B35,[1]Hedef!$A$4:$ES$45409,99,0))</f>
        <v>0.08</v>
      </c>
      <c r="BC35" s="23">
        <f t="shared" si="145"/>
        <v>0.92</v>
      </c>
      <c r="BD35" s="80">
        <f t="shared" si="146"/>
        <v>0.08</v>
      </c>
      <c r="BE35" s="24"/>
      <c r="BF35" s="32">
        <v>0.7155999999999999</v>
      </c>
      <c r="BG35" s="59">
        <f t="shared" si="173"/>
        <v>-0.88820570150922307</v>
      </c>
      <c r="BH35" s="24"/>
      <c r="BI35" s="22">
        <v>0.39</v>
      </c>
      <c r="BJ35" s="23">
        <f>IF(ISERROR(VLOOKUP($B35,[1]Hedef!$A$4:$ES$45409,117,0)),0,VLOOKUP($B35,[1]Hedef!$A$4:$ES$45409,117,0))</f>
        <v>2.0400000000000001E-2</v>
      </c>
      <c r="BK35" s="23">
        <f t="shared" si="147"/>
        <v>0.36960000000000004</v>
      </c>
      <c r="BL35" s="80">
        <f t="shared" si="148"/>
        <v>0.05</v>
      </c>
      <c r="BM35" s="24"/>
      <c r="BN35" s="32">
        <v>0.31680000000000003</v>
      </c>
      <c r="BO35" s="59">
        <f t="shared" si="100"/>
        <v>-0.93560606060606055</v>
      </c>
      <c r="BP35" s="99"/>
      <c r="BQ35" s="22">
        <v>2.85</v>
      </c>
      <c r="BR35" s="23">
        <f t="shared" si="149"/>
        <v>0.14799999999999999</v>
      </c>
      <c r="BS35" s="23">
        <f t="shared" si="150"/>
        <v>2.702</v>
      </c>
      <c r="BT35" s="80">
        <f t="shared" si="151"/>
        <v>0.05</v>
      </c>
      <c r="BU35" s="22">
        <f t="shared" si="152"/>
        <v>0</v>
      </c>
      <c r="BV35" s="22">
        <f t="shared" si="104"/>
        <v>2.0876000000000001</v>
      </c>
      <c r="BW35" s="59">
        <f t="shared" si="105"/>
        <v>-0.92910519256562563</v>
      </c>
      <c r="BX35" s="183"/>
      <c r="BY35" s="22">
        <v>4.51</v>
      </c>
      <c r="BZ35" s="23">
        <f>IF(ISERROR(VLOOKUP($B35,[1]Hedef!$A$4:$ES$45409,71,0)),0,VLOOKUP($B35,[1]Hedef!$A$4:$ES$45409,71,0))</f>
        <v>1.0616000000000001</v>
      </c>
      <c r="CA35" s="23">
        <f t="shared" si="153"/>
        <v>3.4483999999999995</v>
      </c>
      <c r="CB35" s="80">
        <f t="shared" si="154"/>
        <v>0.23</v>
      </c>
      <c r="CC35" s="32">
        <v>3.3075999999999999</v>
      </c>
      <c r="CD35" s="59">
        <f t="shared" si="155"/>
        <v>-0.67904220582899977</v>
      </c>
      <c r="CE35" s="99"/>
      <c r="CF35" s="22">
        <v>2.64</v>
      </c>
      <c r="CG35" s="23">
        <f>IF(ISERROR(VLOOKUP($B35,[1]Hedef!$A$4:$ES$45409,87,0)),0,VLOOKUP($B35,[1]Hedef!$A$4:$ES$45409,87,0))</f>
        <v>0.1832</v>
      </c>
      <c r="CH35" s="23">
        <f t="shared" si="156"/>
        <v>2.4568000000000003</v>
      </c>
      <c r="CI35" s="80">
        <f t="shared" si="157"/>
        <v>0.06</v>
      </c>
      <c r="CJ35" s="32">
        <v>1.9568000000000001</v>
      </c>
      <c r="CK35" s="59">
        <f t="shared" si="158"/>
        <v>-0.90637775960752243</v>
      </c>
      <c r="CL35" s="99"/>
      <c r="CM35" s="22">
        <v>7.15</v>
      </c>
      <c r="CN35" s="23">
        <f t="shared" si="159"/>
        <v>1.2448000000000001</v>
      </c>
      <c r="CO35" s="23">
        <f t="shared" si="160"/>
        <v>5.9052000000000007</v>
      </c>
      <c r="CP35" s="80">
        <f t="shared" si="161"/>
        <v>0.17</v>
      </c>
      <c r="CQ35" s="123">
        <f t="shared" si="162"/>
        <v>0</v>
      </c>
      <c r="CR35" s="23">
        <f t="shared" si="163"/>
        <v>5.2644000000000002</v>
      </c>
      <c r="CS35" s="59">
        <f t="shared" si="164"/>
        <v>-0.76354380366233576</v>
      </c>
      <c r="CT35" s="82"/>
      <c r="CU35" s="22">
        <f t="shared" si="165"/>
        <v>35</v>
      </c>
      <c r="CV35" s="23">
        <f>IF(ISERROR(VLOOKUP($B35,[1]Hedef!$A$4:$ES$45409,127,0)),0,VLOOKUP($B35,[1]Hedef!$A$4:$ES$45409,127,0))</f>
        <v>2.3712</v>
      </c>
      <c r="CW35" s="159">
        <f>IF(ISERROR(VLOOKUP($B35,[1]Hedef!$A$4:$ES$45409,47,0)),0,VLOOKUP($B35,[1]Hedef!$A$4:$ES$45409,47,0))</f>
        <v>2.3712</v>
      </c>
      <c r="CX35" s="23">
        <f t="shared" si="166"/>
        <v>32.628799999999998</v>
      </c>
      <c r="CY35" s="80">
        <f t="shared" si="167"/>
        <v>0.06</v>
      </c>
      <c r="CZ35" s="26"/>
      <c r="DA35" s="32">
        <v>34.66854</v>
      </c>
      <c r="DB35" s="131">
        <f t="shared" si="168"/>
        <v>25.761740000000003</v>
      </c>
      <c r="DC35" s="59">
        <f t="shared" si="169"/>
        <v>-0.93160369603104132</v>
      </c>
      <c r="DD35" s="24"/>
      <c r="DE35" s="22">
        <v>35</v>
      </c>
      <c r="DF35" s="15">
        <f t="shared" si="170"/>
        <v>0</v>
      </c>
      <c r="DG35" s="99"/>
      <c r="DH35" s="92"/>
      <c r="DI35" s="24"/>
    </row>
    <row r="36" spans="1:113" ht="12.75" customHeight="1" x14ac:dyDescent="0.2">
      <c r="A36" s="24"/>
      <c r="B36" s="31">
        <v>51</v>
      </c>
      <c r="C36" s="194" t="s">
        <v>24</v>
      </c>
      <c r="D36" s="102"/>
      <c r="E36" s="193">
        <v>1.35</v>
      </c>
      <c r="F36" s="23">
        <f>IF(ISERROR(VLOOKUP($B36,[1]Hedef!$A$4:$ES$45409,25,0)),0,VLOOKUP($B36,[1]Hedef!$A$4:$ES$45409,25,0))+IF(ISERROR(VLOOKUP($B36,[1]Hedef!$A$4:$ES$45409,15,0)),0,VLOOKUP($B36,[1]Hedef!$A$4:$ES$45409,15,0))</f>
        <v>6.0719999999999996E-2</v>
      </c>
      <c r="G36" s="23">
        <f t="shared" si="171"/>
        <v>1.2892800000000002</v>
      </c>
      <c r="H36" s="80">
        <f t="shared" si="129"/>
        <v>0.04</v>
      </c>
      <c r="I36" s="24"/>
      <c r="J36" s="32">
        <v>1.3142499999999999</v>
      </c>
      <c r="K36" s="59">
        <f t="shared" si="130"/>
        <v>-0.95379874453110147</v>
      </c>
      <c r="L36" s="24"/>
      <c r="M36" s="44">
        <v>2</v>
      </c>
      <c r="N36" s="23">
        <f>IF(ISERROR(VLOOKUP($B36,[1]Hedef!$A$4:$ES$45409,41,0)),0,VLOOKUP($B36,[1]Hedef!$A$4:$ES$45409,41,0))</f>
        <v>9.2990000000000003E-2</v>
      </c>
      <c r="O36" s="23">
        <f t="shared" si="131"/>
        <v>1.9070100000000001</v>
      </c>
      <c r="P36" s="80">
        <f t="shared" si="132"/>
        <v>0.04</v>
      </c>
      <c r="Q36" s="92"/>
      <c r="R36" s="32">
        <v>1.9594199999999997</v>
      </c>
      <c r="S36" s="59">
        <f t="shared" si="85"/>
        <v>-0.95254207877841401</v>
      </c>
      <c r="T36" s="102"/>
      <c r="U36" s="22">
        <v>3</v>
      </c>
      <c r="V36" s="23">
        <f>IF(ISERROR(VLOOKUP($B36,[1]Hedef!$A$4:$ES$45409,45,0)),0,VLOOKUP($B36,[1]Hedef!$A$4:$ES$45409,45,0))+IF(ISERROR(VLOOKUP($B36,[1]Hedef!$A$4:$ES$45409,109,0)),0,VLOOKUP($B36,[1]Hedef!$A$4:$ES$45409,109,0))</f>
        <v>0.12251000000000001</v>
      </c>
      <c r="W36" s="23">
        <f t="shared" si="133"/>
        <v>2.8774899999999999</v>
      </c>
      <c r="X36" s="80">
        <f t="shared" si="134"/>
        <v>0.04</v>
      </c>
      <c r="Y36" s="24"/>
      <c r="Z36" s="32">
        <v>3.0152499999999991</v>
      </c>
      <c r="AA36" s="59">
        <f t="shared" si="87"/>
        <v>-0.95936986982837236</v>
      </c>
      <c r="AB36" s="99"/>
      <c r="AC36" s="164">
        <v>6.35</v>
      </c>
      <c r="AD36" s="23">
        <f t="shared" si="135"/>
        <v>0.27622000000000002</v>
      </c>
      <c r="AE36" s="23">
        <f t="shared" si="136"/>
        <v>6.0737799999999993</v>
      </c>
      <c r="AF36" s="80">
        <f t="shared" si="137"/>
        <v>0.04</v>
      </c>
      <c r="AG36" s="22">
        <f t="shared" si="138"/>
        <v>0</v>
      </c>
      <c r="AH36" s="44">
        <f t="shared" si="91"/>
        <v>6.2889199999999992</v>
      </c>
      <c r="AI36" s="59">
        <f t="shared" si="139"/>
        <v>-0.95607830915324088</v>
      </c>
      <c r="AJ36" s="24"/>
      <c r="AK36" s="22">
        <v>1.2</v>
      </c>
      <c r="AL36" s="23">
        <f>IF(ISERROR(VLOOKUP($B36,[1]Hedef!$A$4:$ES$45409,97,0)),0,VLOOKUP($B36,[1]Hedef!$A$4:$ES$45409,97,0))</f>
        <v>0</v>
      </c>
      <c r="AM36" s="23">
        <f t="shared" si="172"/>
        <v>1.2</v>
      </c>
      <c r="AN36" s="80">
        <f t="shared" si="141"/>
        <v>0</v>
      </c>
      <c r="AO36" s="24"/>
      <c r="AP36" s="32">
        <v>1.224</v>
      </c>
      <c r="AQ36" s="59">
        <f t="shared" si="142"/>
        <v>-1</v>
      </c>
      <c r="AR36" s="24"/>
      <c r="AS36" s="22">
        <v>1</v>
      </c>
      <c r="AT36" s="23">
        <f>IF(ISERROR(VLOOKUP($B36,[1]Hedef!$A$4:$ES$45409,57,0)),0,VLOOKUP($B36,[1]Hedef!$A$4:$ES$45409,57,0))</f>
        <v>2.164E-2</v>
      </c>
      <c r="AU36" s="23">
        <f t="shared" si="143"/>
        <v>0.97836000000000001</v>
      </c>
      <c r="AV36" s="80">
        <f t="shared" si="144"/>
        <v>0.02</v>
      </c>
      <c r="AW36" s="24"/>
      <c r="AX36" s="32">
        <v>1.0214800000000002</v>
      </c>
      <c r="AY36" s="59">
        <f t="shared" si="96"/>
        <v>-0.97881505266867685</v>
      </c>
      <c r="AZ36" s="92"/>
      <c r="BA36" s="22">
        <v>0.7</v>
      </c>
      <c r="BB36" s="23">
        <f>IF(ISERROR(VLOOKUP($B36,[1]Hedef!$A$4:$ES$45409,99,0)),0,VLOOKUP($B36,[1]Hedef!$A$4:$ES$45409,99,0))</f>
        <v>0.13868</v>
      </c>
      <c r="BC36" s="23">
        <f t="shared" si="145"/>
        <v>0.56131999999999993</v>
      </c>
      <c r="BD36" s="80">
        <f t="shared" si="146"/>
        <v>0.19</v>
      </c>
      <c r="BE36" s="24"/>
      <c r="BF36" s="32">
        <v>0.66437000000000002</v>
      </c>
      <c r="BG36" s="59">
        <f t="shared" si="173"/>
        <v>-0.79126089377906883</v>
      </c>
      <c r="BH36" s="24"/>
      <c r="BI36" s="22">
        <v>1</v>
      </c>
      <c r="BJ36" s="23">
        <f>IF(ISERROR(VLOOKUP($B36,[1]Hedef!$A$4:$ES$45409,117,0)),0,VLOOKUP($B36,[1]Hedef!$A$4:$ES$45409,117,0))</f>
        <v>6.6480000000000011E-2</v>
      </c>
      <c r="BK36" s="23">
        <f t="shared" si="147"/>
        <v>0.93352000000000002</v>
      </c>
      <c r="BL36" s="80">
        <f t="shared" si="148"/>
        <v>0.06</v>
      </c>
      <c r="BM36" s="24"/>
      <c r="BN36" s="32">
        <v>0.94032000000000004</v>
      </c>
      <c r="BO36" s="59">
        <f t="shared" si="100"/>
        <v>-0.92930066360387953</v>
      </c>
      <c r="BP36" s="99"/>
      <c r="BQ36" s="22">
        <v>3.9</v>
      </c>
      <c r="BR36" s="23">
        <f t="shared" si="149"/>
        <v>0.2268</v>
      </c>
      <c r="BS36" s="23">
        <f t="shared" si="150"/>
        <v>3.6732</v>
      </c>
      <c r="BT36" s="80">
        <f t="shared" si="151"/>
        <v>0.05</v>
      </c>
      <c r="BU36" s="22">
        <f t="shared" si="152"/>
        <v>0</v>
      </c>
      <c r="BV36" s="22">
        <f t="shared" si="104"/>
        <v>3.8501700000000003</v>
      </c>
      <c r="BW36" s="59">
        <f t="shared" si="105"/>
        <v>-0.9410935101566944</v>
      </c>
      <c r="BX36" s="183"/>
      <c r="BY36" s="22">
        <v>1.55</v>
      </c>
      <c r="BZ36" s="23">
        <f>IF(ISERROR(VLOOKUP($B36,[1]Hedef!$A$4:$ES$45409,71,0)),0,VLOOKUP($B36,[1]Hedef!$A$4:$ES$45409,71,0))</f>
        <v>0.12211999999999999</v>
      </c>
      <c r="CA36" s="23">
        <f t="shared" si="153"/>
        <v>1.42788</v>
      </c>
      <c r="CB36" s="80">
        <f t="shared" si="154"/>
        <v>7.0000000000000007E-2</v>
      </c>
      <c r="CC36" s="32">
        <v>1.5323099999999998</v>
      </c>
      <c r="CD36" s="59">
        <f t="shared" si="155"/>
        <v>-0.92030333287650667</v>
      </c>
      <c r="CE36" s="99"/>
      <c r="CF36" s="22">
        <v>3.2</v>
      </c>
      <c r="CG36" s="23">
        <f>IF(ISERROR(VLOOKUP($B36,[1]Hedef!$A$4:$ES$45409,87,0)),0,VLOOKUP($B36,[1]Hedef!$A$4:$ES$45409,87,0))</f>
        <v>0.12718000000000002</v>
      </c>
      <c r="CH36" s="23">
        <f t="shared" si="156"/>
        <v>3.0728200000000001</v>
      </c>
      <c r="CI36" s="80">
        <f t="shared" si="157"/>
        <v>0.03</v>
      </c>
      <c r="CJ36" s="32">
        <v>3.1930100000000001</v>
      </c>
      <c r="CK36" s="59">
        <f t="shared" si="158"/>
        <v>-0.96016924469387821</v>
      </c>
      <c r="CL36" s="99"/>
      <c r="CM36" s="22">
        <v>4.75</v>
      </c>
      <c r="CN36" s="23">
        <f t="shared" si="159"/>
        <v>0.24930000000000002</v>
      </c>
      <c r="CO36" s="23">
        <f t="shared" si="160"/>
        <v>4.5007000000000001</v>
      </c>
      <c r="CP36" s="80">
        <f t="shared" si="161"/>
        <v>0.05</v>
      </c>
      <c r="CQ36" s="123">
        <f t="shared" si="162"/>
        <v>0</v>
      </c>
      <c r="CR36" s="23">
        <f t="shared" si="163"/>
        <v>4.72532</v>
      </c>
      <c r="CS36" s="59">
        <f t="shared" si="164"/>
        <v>-0.94724166828913181</v>
      </c>
      <c r="CT36" s="82"/>
      <c r="CU36" s="22">
        <f t="shared" si="165"/>
        <v>15</v>
      </c>
      <c r="CV36" s="23">
        <f>IF(ISERROR(VLOOKUP($B36,[1]Hedef!$A$4:$ES$45409,127,0)),0,VLOOKUP($B36,[1]Hedef!$A$4:$ES$45409,127,0))</f>
        <v>0.7523200000000001</v>
      </c>
      <c r="CW36" s="159">
        <f>IF(ISERROR(VLOOKUP($B36,[1]Hedef!$A$4:$ES$45409,47,0)),0,VLOOKUP($B36,[1]Hedef!$A$4:$ES$45409,47,0))</f>
        <v>0.7523200000000001</v>
      </c>
      <c r="CX36" s="23">
        <f t="shared" si="166"/>
        <v>14.247679999999999</v>
      </c>
      <c r="CY36" s="80">
        <f t="shared" si="167"/>
        <v>0.05</v>
      </c>
      <c r="CZ36" s="26"/>
      <c r="DA36" s="32">
        <v>14.883059999999903</v>
      </c>
      <c r="DB36" s="131">
        <f t="shared" si="168"/>
        <v>14.864409999999999</v>
      </c>
      <c r="DC36" s="59">
        <f t="shared" si="169"/>
        <v>-0.94945125531980623</v>
      </c>
      <c r="DD36" s="24"/>
      <c r="DE36" s="22">
        <v>15</v>
      </c>
      <c r="DF36" s="15">
        <f t="shared" si="170"/>
        <v>0</v>
      </c>
      <c r="DG36" s="99"/>
      <c r="DH36" s="92"/>
      <c r="DI36" s="24"/>
    </row>
    <row r="37" spans="1:113" ht="12.75" customHeight="1" x14ac:dyDescent="0.2">
      <c r="A37" s="24"/>
      <c r="B37" s="31">
        <v>19</v>
      </c>
      <c r="C37" s="194" t="s">
        <v>25</v>
      </c>
      <c r="D37" s="102"/>
      <c r="E37" s="193">
        <v>0.74</v>
      </c>
      <c r="F37" s="23">
        <f>IF(ISERROR(VLOOKUP($B37,[1]Hedef!$A$4:$ES$45409,25,0)),0,VLOOKUP($B37,[1]Hedef!$A$4:$ES$45409,25,0))+IF(ISERROR(VLOOKUP($B37,[1]Hedef!$A$4:$ES$45409,15,0)),0,VLOOKUP($B37,[1]Hedef!$A$4:$ES$45409,15,0))</f>
        <v>0</v>
      </c>
      <c r="G37" s="23">
        <f t="shared" si="171"/>
        <v>0.74</v>
      </c>
      <c r="H37" s="80">
        <f t="shared" si="129"/>
        <v>0</v>
      </c>
      <c r="I37" s="24"/>
      <c r="J37" s="32">
        <v>0.51618999999999993</v>
      </c>
      <c r="K37" s="59">
        <f t="shared" si="130"/>
        <v>-1</v>
      </c>
      <c r="L37" s="24"/>
      <c r="M37" s="44">
        <v>0.55000000000000004</v>
      </c>
      <c r="N37" s="23">
        <f>IF(ISERROR(VLOOKUP($B37,[1]Hedef!$A$4:$ES$45409,41,0)),0,VLOOKUP($B37,[1]Hedef!$A$4:$ES$45409,41,0))</f>
        <v>1.342E-2</v>
      </c>
      <c r="O37" s="23">
        <f t="shared" si="131"/>
        <v>0.53658000000000006</v>
      </c>
      <c r="P37" s="80">
        <f t="shared" si="132"/>
        <v>0.02</v>
      </c>
      <c r="Q37" s="92"/>
      <c r="R37" s="32">
        <v>0.37570500000000001</v>
      </c>
      <c r="S37" s="59">
        <f t="shared" si="85"/>
        <v>-0.96428048601961647</v>
      </c>
      <c r="T37" s="102"/>
      <c r="U37" s="22">
        <v>0.51</v>
      </c>
      <c r="V37" s="23">
        <f>IF(ISERROR(VLOOKUP($B37,[1]Hedef!$A$4:$ES$45409,45,0)),0,VLOOKUP($B37,[1]Hedef!$A$4:$ES$45409,45,0))+IF(ISERROR(VLOOKUP($B37,[1]Hedef!$A$4:$ES$45409,109,0)),0,VLOOKUP($B37,[1]Hedef!$A$4:$ES$45409,109,0))</f>
        <v>1.704E-2</v>
      </c>
      <c r="W37" s="23">
        <f t="shared" si="133"/>
        <v>0.49296000000000001</v>
      </c>
      <c r="X37" s="80">
        <f t="shared" si="134"/>
        <v>0.03</v>
      </c>
      <c r="Y37" s="24"/>
      <c r="Z37" s="32">
        <v>0.37125999999999998</v>
      </c>
      <c r="AA37" s="59">
        <f t="shared" si="87"/>
        <v>-0.95410224640413721</v>
      </c>
      <c r="AB37" s="99"/>
      <c r="AC37" s="164">
        <v>1.8</v>
      </c>
      <c r="AD37" s="23">
        <f t="shared" si="135"/>
        <v>3.0460000000000001E-2</v>
      </c>
      <c r="AE37" s="23">
        <f t="shared" si="136"/>
        <v>1.7695400000000001</v>
      </c>
      <c r="AF37" s="80">
        <f t="shared" si="137"/>
        <v>0.01</v>
      </c>
      <c r="AG37" s="22">
        <f t="shared" si="138"/>
        <v>0</v>
      </c>
      <c r="AH37" s="44">
        <f t="shared" si="91"/>
        <v>1.2631549999999998</v>
      </c>
      <c r="AI37" s="59">
        <f t="shared" si="139"/>
        <v>-0.97588577807157484</v>
      </c>
      <c r="AJ37" s="92"/>
      <c r="AK37" s="22">
        <v>0.6</v>
      </c>
      <c r="AL37" s="23">
        <f>IF(ISERROR(VLOOKUP($B37,[1]Hedef!$A$4:$ES$45409,97,0)),0,VLOOKUP($B37,[1]Hedef!$A$4:$ES$45409,97,0))</f>
        <v>0</v>
      </c>
      <c r="AM37" s="23">
        <f t="shared" si="172"/>
        <v>0.6</v>
      </c>
      <c r="AN37" s="80">
        <f t="shared" si="141"/>
        <v>0</v>
      </c>
      <c r="AO37" s="24"/>
      <c r="AP37" s="32">
        <v>0.41159999999999997</v>
      </c>
      <c r="AQ37" s="59">
        <f t="shared" si="142"/>
        <v>-1</v>
      </c>
      <c r="AR37" s="24"/>
      <c r="AS37" s="22">
        <v>0.24</v>
      </c>
      <c r="AT37" s="23">
        <f>IF(ISERROR(VLOOKUP($B37,[1]Hedef!$A$4:$ES$45409,57,0)),0,VLOOKUP($B37,[1]Hedef!$A$4:$ES$45409,57,0))</f>
        <v>9.7199999999999995E-3</v>
      </c>
      <c r="AU37" s="23">
        <f t="shared" si="143"/>
        <v>0.23027999999999998</v>
      </c>
      <c r="AV37" s="80">
        <f t="shared" si="144"/>
        <v>0.04</v>
      </c>
      <c r="AW37" s="24"/>
      <c r="AX37" s="32">
        <v>0.16527999999999998</v>
      </c>
      <c r="AY37" s="59">
        <f t="shared" si="96"/>
        <v>-0.94119070667957405</v>
      </c>
      <c r="AZ37" s="92"/>
      <c r="BA37" s="22">
        <v>1.7</v>
      </c>
      <c r="BB37" s="23">
        <f>IF(ISERROR(VLOOKUP($B37,[1]Hedef!$A$4:$ES$45409,99,0)),0,VLOOKUP($B37,[1]Hedef!$A$4:$ES$45409,99,0))</f>
        <v>1.7679999999999998E-2</v>
      </c>
      <c r="BC37" s="23">
        <f t="shared" si="145"/>
        <v>1.68232</v>
      </c>
      <c r="BD37" s="80">
        <f t="shared" si="146"/>
        <v>0.01</v>
      </c>
      <c r="BE37" s="24"/>
      <c r="BF37" s="32">
        <v>1.178345</v>
      </c>
      <c r="BG37" s="59">
        <f t="shared" si="173"/>
        <v>-0.98499590527392245</v>
      </c>
      <c r="BH37" s="24"/>
      <c r="BI37" s="22">
        <v>0.51</v>
      </c>
      <c r="BJ37" s="23">
        <f>IF(ISERROR(VLOOKUP($B37,[1]Hedef!$A$4:$ES$45409,117,0)),0,VLOOKUP($B37,[1]Hedef!$A$4:$ES$45409,117,0))</f>
        <v>1.8409999999999999E-2</v>
      </c>
      <c r="BK37" s="23">
        <f t="shared" si="147"/>
        <v>0.49159000000000003</v>
      </c>
      <c r="BL37" s="80">
        <f t="shared" si="148"/>
        <v>0.03</v>
      </c>
      <c r="BM37" s="24"/>
      <c r="BN37" s="32">
        <v>0.36266999999999999</v>
      </c>
      <c r="BO37" s="59">
        <f t="shared" si="100"/>
        <v>-0.94923759891912762</v>
      </c>
      <c r="BP37" s="99"/>
      <c r="BQ37" s="22">
        <v>3.05</v>
      </c>
      <c r="BR37" s="23">
        <f t="shared" si="149"/>
        <v>4.5809999999999997E-2</v>
      </c>
      <c r="BS37" s="23">
        <f t="shared" si="150"/>
        <v>3.0041899999999999</v>
      </c>
      <c r="BT37" s="80">
        <f t="shared" si="151"/>
        <v>0.01</v>
      </c>
      <c r="BU37" s="22">
        <f t="shared" si="152"/>
        <v>0</v>
      </c>
      <c r="BV37" s="22">
        <f t="shared" si="104"/>
        <v>2.1178949999999999</v>
      </c>
      <c r="BW37" s="59">
        <f t="shared" si="105"/>
        <v>-0.97837003250869381</v>
      </c>
      <c r="BX37" s="183"/>
      <c r="BY37" s="22">
        <v>0.51</v>
      </c>
      <c r="BZ37" s="23">
        <f>IF(ISERROR(VLOOKUP($B37,[1]Hedef!$A$4:$ES$45409,71,0)),0,VLOOKUP($B37,[1]Hedef!$A$4:$ES$45409,71,0))</f>
        <v>1.346E-2</v>
      </c>
      <c r="CA37" s="23">
        <f t="shared" si="153"/>
        <v>0.49653999999999998</v>
      </c>
      <c r="CB37" s="80">
        <f t="shared" si="154"/>
        <v>0.02</v>
      </c>
      <c r="CC37" s="32">
        <v>0.345445</v>
      </c>
      <c r="CD37" s="59">
        <f t="shared" si="155"/>
        <v>-0.96103576546194036</v>
      </c>
      <c r="CE37" s="99"/>
      <c r="CF37" s="22">
        <v>1.1399999999999999</v>
      </c>
      <c r="CG37" s="23">
        <f>IF(ISERROR(VLOOKUP($B37,[1]Hedef!$A$4:$ES$45409,87,0)),0,VLOOKUP($B37,[1]Hedef!$A$4:$ES$45409,87,0))</f>
        <v>1.8064999999999998E-2</v>
      </c>
      <c r="CH37" s="23">
        <f t="shared" si="156"/>
        <v>1.1219349999999999</v>
      </c>
      <c r="CI37" s="80">
        <f t="shared" si="157"/>
        <v>0.01</v>
      </c>
      <c r="CJ37" s="32">
        <v>0.78290999999999988</v>
      </c>
      <c r="CK37" s="59">
        <f t="shared" si="158"/>
        <v>-0.97692582800066419</v>
      </c>
      <c r="CL37" s="99"/>
      <c r="CM37" s="22">
        <v>1.65</v>
      </c>
      <c r="CN37" s="23">
        <f t="shared" si="159"/>
        <v>3.1524999999999997E-2</v>
      </c>
      <c r="CO37" s="23">
        <f t="shared" si="160"/>
        <v>1.6184749999999999</v>
      </c>
      <c r="CP37" s="80">
        <f t="shared" si="161"/>
        <v>0.01</v>
      </c>
      <c r="CQ37" s="123">
        <f t="shared" si="162"/>
        <v>0</v>
      </c>
      <c r="CR37" s="23">
        <f t="shared" si="163"/>
        <v>1.128355</v>
      </c>
      <c r="CS37" s="59">
        <f t="shared" si="164"/>
        <v>-0.97206109779280458</v>
      </c>
      <c r="CT37" s="82"/>
      <c r="CU37" s="22">
        <f t="shared" si="165"/>
        <v>6.5</v>
      </c>
      <c r="CV37" s="23">
        <f>IF(ISERROR(VLOOKUP($B37,[1]Hedef!$A$4:$ES$45409,127,0)),0,VLOOKUP($B37,[1]Hedef!$A$4:$ES$45409,127,0))</f>
        <v>0.10779499999999999</v>
      </c>
      <c r="CW37" s="159">
        <f>IF(ISERROR(VLOOKUP($B37,[1]Hedef!$A$4:$ES$45409,47,0)),0,VLOOKUP($B37,[1]Hedef!$A$4:$ES$45409,47,0))</f>
        <v>0.107795</v>
      </c>
      <c r="CX37" s="23">
        <f t="shared" si="166"/>
        <v>6.3922049999999997</v>
      </c>
      <c r="CY37" s="80">
        <f t="shared" si="167"/>
        <v>0.01</v>
      </c>
      <c r="CZ37" s="26"/>
      <c r="DA37" s="32">
        <v>4.5297949999999991</v>
      </c>
      <c r="DB37" s="131">
        <f t="shared" si="168"/>
        <v>4.5094049999999992</v>
      </c>
      <c r="DC37" s="59">
        <f t="shared" si="169"/>
        <v>-0.97620311735961551</v>
      </c>
      <c r="DD37" s="24"/>
      <c r="DE37" s="22">
        <v>6.5</v>
      </c>
      <c r="DF37" s="15">
        <f t="shared" si="170"/>
        <v>0</v>
      </c>
      <c r="DG37" s="99"/>
      <c r="DH37" s="92"/>
      <c r="DI37" s="24"/>
    </row>
    <row r="38" spans="1:113" ht="12.75" customHeight="1" thickBot="1" x14ac:dyDescent="0.25">
      <c r="A38" s="24"/>
      <c r="B38" s="31">
        <v>20</v>
      </c>
      <c r="C38" s="194" t="s">
        <v>63</v>
      </c>
      <c r="D38" s="102"/>
      <c r="E38" s="193">
        <v>0.9</v>
      </c>
      <c r="F38" s="23">
        <f>IF(ISERROR(VLOOKUP($B38,[1]Hedef!$A$4:$ES$45409,25,0)),0,VLOOKUP($B38,[1]Hedef!$A$4:$ES$45409,25,0))+IF(ISERROR(VLOOKUP($B38,[1]Hedef!$A$4:$ES$45409,15,0)),0,VLOOKUP($B38,[1]Hedef!$A$4:$ES$45409,15,0))</f>
        <v>0.06</v>
      </c>
      <c r="G38" s="23">
        <f t="shared" si="171"/>
        <v>0.84000000000000008</v>
      </c>
      <c r="H38" s="80">
        <f t="shared" si="129"/>
        <v>0.06</v>
      </c>
      <c r="I38" s="24"/>
      <c r="J38" s="32">
        <v>0.81</v>
      </c>
      <c r="K38" s="59">
        <f t="shared" si="130"/>
        <v>-0.92592592592592582</v>
      </c>
      <c r="L38" s="24"/>
      <c r="M38" s="44">
        <v>6</v>
      </c>
      <c r="N38" s="23">
        <f>IF(ISERROR(VLOOKUP($B38,[1]Hedef!$A$4:$ES$45409,41,0)),0,VLOOKUP($B38,[1]Hedef!$A$4:$ES$45409,41,0))</f>
        <v>6.6000000000000003E-2</v>
      </c>
      <c r="O38" s="23">
        <f t="shared" si="131"/>
        <v>5.9340000000000002</v>
      </c>
      <c r="P38" s="80">
        <f t="shared" si="132"/>
        <v>0.01</v>
      </c>
      <c r="Q38" s="92"/>
      <c r="R38" s="32">
        <v>5.5619999999999985</v>
      </c>
      <c r="S38" s="59">
        <f t="shared" si="85"/>
        <v>-0.98813376483279403</v>
      </c>
      <c r="T38" s="102"/>
      <c r="U38" s="22">
        <v>3.6</v>
      </c>
      <c r="V38" s="23">
        <f>IF(ISERROR(VLOOKUP($B38,[1]Hedef!$A$4:$ES$45409,45,0)),0,VLOOKUP($B38,[1]Hedef!$A$4:$ES$45409,45,0))+IF(ISERROR(VLOOKUP($B38,[1]Hedef!$A$4:$ES$45409,109,0)),0,VLOOKUP($B38,[1]Hedef!$A$4:$ES$45409,109,0))</f>
        <v>0.23300000000000001</v>
      </c>
      <c r="W38" s="23">
        <f t="shared" si="133"/>
        <v>3.367</v>
      </c>
      <c r="X38" s="80">
        <f t="shared" si="134"/>
        <v>0.06</v>
      </c>
      <c r="Y38" s="24"/>
      <c r="Z38" s="32">
        <v>3.5680000000000001</v>
      </c>
      <c r="AA38" s="59">
        <f t="shared" si="87"/>
        <v>-0.93469730941704032</v>
      </c>
      <c r="AB38" s="99"/>
      <c r="AC38" s="164">
        <v>10.5</v>
      </c>
      <c r="AD38" s="23">
        <f t="shared" si="135"/>
        <v>0.35900000000000004</v>
      </c>
      <c r="AE38" s="23">
        <f t="shared" si="136"/>
        <v>10.141</v>
      </c>
      <c r="AF38" s="80">
        <f t="shared" si="137"/>
        <v>0.03</v>
      </c>
      <c r="AG38" s="22">
        <f t="shared" si="138"/>
        <v>0</v>
      </c>
      <c r="AH38" s="44">
        <f t="shared" si="91"/>
        <v>9.94</v>
      </c>
      <c r="AI38" s="59">
        <f t="shared" si="139"/>
        <v>-0.96388329979879273</v>
      </c>
      <c r="AJ38" s="24"/>
      <c r="AK38" s="22">
        <v>0.3</v>
      </c>
      <c r="AL38" s="23">
        <f>IF(ISERROR(VLOOKUP($B38,[1]Hedef!$A$4:$ES$45409,97,0)),0,VLOOKUP($B38,[1]Hedef!$A$4:$ES$45409,97,0))</f>
        <v>0</v>
      </c>
      <c r="AM38" s="23">
        <f t="shared" si="172"/>
        <v>0.3</v>
      </c>
      <c r="AN38" s="80">
        <f t="shared" si="141"/>
        <v>0</v>
      </c>
      <c r="AO38" s="24"/>
      <c r="AP38" s="32">
        <v>3.5999999999999997E-2</v>
      </c>
      <c r="AQ38" s="59">
        <f t="shared" si="142"/>
        <v>-1</v>
      </c>
      <c r="AR38" s="24"/>
      <c r="AS38" s="22">
        <v>0.3</v>
      </c>
      <c r="AT38" s="23">
        <f>IF(ISERROR(VLOOKUP($B38,[1]Hedef!$A$4:$ES$45409,57,0)),0,VLOOKUP($B38,[1]Hedef!$A$4:$ES$45409,57,0))</f>
        <v>8.0000000000000002E-3</v>
      </c>
      <c r="AU38" s="23">
        <f t="shared" si="143"/>
        <v>0.29199999999999998</v>
      </c>
      <c r="AV38" s="80">
        <f t="shared" si="144"/>
        <v>0.02</v>
      </c>
      <c r="AW38" s="24"/>
      <c r="AX38" s="32">
        <v>0.32300000000000001</v>
      </c>
      <c r="AY38" s="59">
        <f t="shared" si="96"/>
        <v>-0.9752321981424148</v>
      </c>
      <c r="AZ38" s="92"/>
      <c r="BA38" s="22">
        <v>0.2</v>
      </c>
      <c r="BB38" s="23">
        <f>IF(ISERROR(VLOOKUP($B38,[1]Hedef!$A$4:$ES$45409,99,0)),0,VLOOKUP($B38,[1]Hedef!$A$4:$ES$45409,99,0))</f>
        <v>2.7E-2</v>
      </c>
      <c r="BC38" s="23">
        <f t="shared" si="145"/>
        <v>0.17300000000000001</v>
      </c>
      <c r="BD38" s="80">
        <f t="shared" si="146"/>
        <v>0.13</v>
      </c>
      <c r="BE38" s="24"/>
      <c r="BF38" s="32">
        <v>0.26400000000000001</v>
      </c>
      <c r="BG38" s="59">
        <f t="shared" si="173"/>
        <v>-0.89772727272727271</v>
      </c>
      <c r="BH38" s="24"/>
      <c r="BI38" s="22">
        <v>0.15</v>
      </c>
      <c r="BJ38" s="23">
        <f>IF(ISERROR(VLOOKUP($B38,[1]Hedef!$A$4:$ES$45409,117,0)),0,VLOOKUP($B38,[1]Hedef!$A$4:$ES$45409,117,0))</f>
        <v>3.6000000000000004E-2</v>
      </c>
      <c r="BK38" s="23">
        <f t="shared" si="147"/>
        <v>0.11399999999999999</v>
      </c>
      <c r="BL38" s="80">
        <f t="shared" si="148"/>
        <v>0.24</v>
      </c>
      <c r="BM38" s="24"/>
      <c r="BN38" s="32">
        <v>0.23500000000000001</v>
      </c>
      <c r="BO38" s="59">
        <f t="shared" si="100"/>
        <v>-0.84680851063829787</v>
      </c>
      <c r="BP38" s="99"/>
      <c r="BQ38" s="22">
        <v>0.95</v>
      </c>
      <c r="BR38" s="23">
        <f t="shared" si="149"/>
        <v>7.1000000000000008E-2</v>
      </c>
      <c r="BS38" s="23">
        <f t="shared" si="150"/>
        <v>0.879</v>
      </c>
      <c r="BT38" s="80">
        <f t="shared" si="151"/>
        <v>7.0000000000000007E-2</v>
      </c>
      <c r="BU38" s="22">
        <f t="shared" si="152"/>
        <v>0</v>
      </c>
      <c r="BV38" s="22">
        <f t="shared" si="104"/>
        <v>0.8580000000000001</v>
      </c>
      <c r="BW38" s="59">
        <f t="shared" si="105"/>
        <v>-0.91724941724941733</v>
      </c>
      <c r="BX38" s="183"/>
      <c r="BY38" s="22">
        <v>1.23</v>
      </c>
      <c r="BZ38" s="23">
        <f>IF(ISERROR(VLOOKUP($B38,[1]Hedef!$A$4:$ES$45409,71,0)),0,VLOOKUP($B38,[1]Hedef!$A$4:$ES$45409,71,0))</f>
        <v>4.1000000000000002E-2</v>
      </c>
      <c r="CA38" s="23">
        <f t="shared" si="153"/>
        <v>1.1890000000000001</v>
      </c>
      <c r="CB38" s="80">
        <f t="shared" si="154"/>
        <v>0.03</v>
      </c>
      <c r="CC38" s="32">
        <v>1.171</v>
      </c>
      <c r="CD38" s="59">
        <f t="shared" si="155"/>
        <v>-0.96498719043552528</v>
      </c>
      <c r="CE38" s="99"/>
      <c r="CF38" s="22">
        <v>3.32</v>
      </c>
      <c r="CG38" s="23">
        <f>IF(ISERROR(VLOOKUP($B38,[1]Hedef!$A$4:$ES$45409,87,0)),0,VLOOKUP($B38,[1]Hedef!$A$4:$ES$45409,87,0))</f>
        <v>0.15299999999999997</v>
      </c>
      <c r="CH38" s="23">
        <f t="shared" si="156"/>
        <v>3.1669999999999998</v>
      </c>
      <c r="CI38" s="80">
        <f t="shared" si="157"/>
        <v>0.04</v>
      </c>
      <c r="CJ38" s="32">
        <v>3.1480000000000001</v>
      </c>
      <c r="CK38" s="59">
        <f t="shared" si="158"/>
        <v>-0.95139771283354513</v>
      </c>
      <c r="CL38" s="99"/>
      <c r="CM38" s="22">
        <v>4.55</v>
      </c>
      <c r="CN38" s="23">
        <f t="shared" si="159"/>
        <v>0.19399999999999998</v>
      </c>
      <c r="CO38" s="23">
        <f t="shared" si="160"/>
        <v>4.3559999999999999</v>
      </c>
      <c r="CP38" s="80">
        <f t="shared" si="161"/>
        <v>0.04</v>
      </c>
      <c r="CQ38" s="123">
        <f t="shared" si="162"/>
        <v>0</v>
      </c>
      <c r="CR38" s="23">
        <f t="shared" si="163"/>
        <v>4.319</v>
      </c>
      <c r="CS38" s="59">
        <f t="shared" si="164"/>
        <v>-0.95508219495253532</v>
      </c>
      <c r="CT38" s="82"/>
      <c r="CU38" s="22">
        <f t="shared" si="165"/>
        <v>16</v>
      </c>
      <c r="CV38" s="23">
        <f>IF(ISERROR(VLOOKUP($B38,[1]Hedef!$A$4:$ES$45409,127,0)),0,VLOOKUP($B38,[1]Hedef!$A$4:$ES$45409,127,0))</f>
        <v>0.62400000000000011</v>
      </c>
      <c r="CW38" s="159">
        <f>IF(ISERROR(VLOOKUP($B38,[1]Hedef!$A$4:$ES$45409,47,0)),0,VLOOKUP($B38,[1]Hedef!$A$4:$ES$45409,47,0))</f>
        <v>0.62400000000000011</v>
      </c>
      <c r="CX38" s="23">
        <f t="shared" si="166"/>
        <v>15.375999999999999</v>
      </c>
      <c r="CY38" s="80">
        <f t="shared" si="167"/>
        <v>0.03</v>
      </c>
      <c r="CZ38" s="26"/>
      <c r="DA38" s="32">
        <v>15.117000000000003</v>
      </c>
      <c r="DB38" s="131">
        <f t="shared" si="168"/>
        <v>15.116999999999999</v>
      </c>
      <c r="DC38" s="59">
        <f t="shared" si="169"/>
        <v>-0.95872196864457226</v>
      </c>
      <c r="DD38" s="24"/>
      <c r="DE38" s="22">
        <v>16</v>
      </c>
      <c r="DF38" s="15">
        <f t="shared" si="170"/>
        <v>0</v>
      </c>
      <c r="DG38" s="99"/>
      <c r="DH38" s="92"/>
      <c r="DI38" s="24"/>
    </row>
    <row r="39" spans="1:113" ht="12.75" customHeight="1" thickTop="1" thickBot="1" x14ac:dyDescent="0.25">
      <c r="A39" s="42"/>
      <c r="B39" s="71" t="s">
        <v>52</v>
      </c>
      <c r="C39" s="195" t="s">
        <v>26</v>
      </c>
      <c r="D39" s="102"/>
      <c r="E39" s="188">
        <f>SUM(E31:E38)</f>
        <v>31.959999999999997</v>
      </c>
      <c r="F39" s="67">
        <f>SUM(F31:F38)</f>
        <v>1.5661800000000001</v>
      </c>
      <c r="G39" s="67">
        <f>SUM(G31:G38)</f>
        <v>30.393819999999998</v>
      </c>
      <c r="H39" s="39">
        <f>TRUNC(IF((F39/E39)&gt;1.2,"120%",(F39/E39)),2)</f>
        <v>0.04</v>
      </c>
      <c r="I39" s="42"/>
      <c r="J39" s="67"/>
      <c r="K39" s="60"/>
      <c r="L39" s="24"/>
      <c r="M39" s="67">
        <f>SUM(M31:M38)</f>
        <v>14.1</v>
      </c>
      <c r="N39" s="67">
        <f>SUM(N31:N38)</f>
        <v>0.45993500000000004</v>
      </c>
      <c r="O39" s="67">
        <f>SUM(O31:O38)</f>
        <v>13.640065</v>
      </c>
      <c r="P39" s="39">
        <f>TRUNC(IF((N39/M39)&gt;1.2,"120%",(N39/M39)),2)</f>
        <v>0.03</v>
      </c>
      <c r="Q39" s="42"/>
      <c r="R39" s="115"/>
      <c r="S39" s="60"/>
      <c r="T39" s="116"/>
      <c r="U39" s="67">
        <f>SUM(U31:U38)</f>
        <v>13.79</v>
      </c>
      <c r="V39" s="67">
        <f>SUM(V31:V38)</f>
        <v>1.1000650000000001</v>
      </c>
      <c r="W39" s="67">
        <f>SUM(W31:W38)</f>
        <v>12.689935000000002</v>
      </c>
      <c r="X39" s="39">
        <f>TRUNC(IF((V39/U39)&gt;1.2,"120%",(V39/U39)),2)</f>
        <v>7.0000000000000007E-2</v>
      </c>
      <c r="Y39" s="42"/>
      <c r="Z39" s="67"/>
      <c r="AA39" s="60"/>
      <c r="AB39" s="99"/>
      <c r="AC39" s="67">
        <f>SUM(AC31:AC38)</f>
        <v>59.85</v>
      </c>
      <c r="AD39" s="67">
        <f>SUM(AD31:AD38)</f>
        <v>3.1261800000000002</v>
      </c>
      <c r="AE39" s="67">
        <f>SUM(AE31:AE38)</f>
        <v>56.723819999999996</v>
      </c>
      <c r="AF39" s="39">
        <f>TRUNC(IF((AD39/AC39)&gt;1.2,"120%",(AD39/AC39)),2)</f>
        <v>0.05</v>
      </c>
      <c r="AG39" s="67"/>
      <c r="AH39" s="67"/>
      <c r="AI39" s="60"/>
      <c r="AJ39" s="24"/>
      <c r="AK39" s="67">
        <f>SUM(AK31:AK38)</f>
        <v>11.72</v>
      </c>
      <c r="AL39" s="67">
        <f>SUM(AL31:AL38)</f>
        <v>0</v>
      </c>
      <c r="AM39" s="67">
        <f>SUM(AM31:AM38)</f>
        <v>11.72</v>
      </c>
      <c r="AN39" s="39">
        <f>TRUNC(IF((AL39/AK39)&gt;1.2,"120%",(AL39/AK39)),2)</f>
        <v>0</v>
      </c>
      <c r="AO39" s="42"/>
      <c r="AP39" s="67"/>
      <c r="AQ39" s="60"/>
      <c r="AR39" s="24"/>
      <c r="AS39" s="67">
        <f>SUM(AS31:AS38)</f>
        <v>6.54</v>
      </c>
      <c r="AT39" s="67">
        <f>SUM(AT31:AT38)</f>
        <v>0.38889000000000001</v>
      </c>
      <c r="AU39" s="67">
        <f>SUM(AU31:AU38)</f>
        <v>6.1511100000000001</v>
      </c>
      <c r="AV39" s="39">
        <f>TRUNC(IF((AT39/AS39)&gt;1.2,"120%",(AT39/AS39)),2)</f>
        <v>0.05</v>
      </c>
      <c r="AW39" s="42"/>
      <c r="AX39" s="67"/>
      <c r="AY39" s="60"/>
      <c r="AZ39" s="24"/>
      <c r="BA39" s="67">
        <f>SUM(BA31:BA38)</f>
        <v>10.209999999999999</v>
      </c>
      <c r="BB39" s="67">
        <f>SUM(BB31:BB38)</f>
        <v>1.4349549999999998</v>
      </c>
      <c r="BC39" s="67">
        <f>SUM(BC31:BC38)</f>
        <v>8.7750450000000004</v>
      </c>
      <c r="BD39" s="39">
        <f>TRUNC(IF((BB39/BA39)&gt;1.2,"120%",(BB39/BA39)),2)</f>
        <v>0.14000000000000001</v>
      </c>
      <c r="BE39" s="42"/>
      <c r="BF39" s="67"/>
      <c r="BG39" s="60"/>
      <c r="BH39" s="24"/>
      <c r="BI39" s="67">
        <f>SUM(BI31:BI38)</f>
        <v>5.78</v>
      </c>
      <c r="BJ39" s="67">
        <f>SUM(BJ31:BJ38)</f>
        <v>0.48595500000000003</v>
      </c>
      <c r="BK39" s="67">
        <f>SUM(BK31:BK38)</f>
        <v>5.2940449999999997</v>
      </c>
      <c r="BL39" s="39">
        <f>TRUNC(IF((BJ39/BI39)&gt;1.2,"120%",(BJ39/BI39)),2)</f>
        <v>0.08</v>
      </c>
      <c r="BM39" s="42"/>
      <c r="BN39" s="67"/>
      <c r="BO39" s="60"/>
      <c r="BP39" s="99"/>
      <c r="BQ39" s="67">
        <f>SUM(BQ31:BQ38)</f>
        <v>34.25</v>
      </c>
      <c r="BR39" s="67">
        <f>SUM(BR31:BR38)</f>
        <v>2.3098000000000001</v>
      </c>
      <c r="BS39" s="67">
        <f>SUM(BS31:BS38)</f>
        <v>31.940200000000001</v>
      </c>
      <c r="BT39" s="39">
        <f>TRUNC(IF((BR39/BQ39)&gt;1.2,"120%",(BR39/BQ39)),2)</f>
        <v>0.06</v>
      </c>
      <c r="BU39" s="67"/>
      <c r="BV39" s="67"/>
      <c r="BW39" s="60"/>
      <c r="BX39" s="183"/>
      <c r="BY39" s="67">
        <f>SUM(BY31:BY38)</f>
        <v>11.72</v>
      </c>
      <c r="BZ39" s="67">
        <f>SUM(BZ31:BZ38)</f>
        <v>1.9634502600000001</v>
      </c>
      <c r="CA39" s="67">
        <f>SUM(CA31:CA38)</f>
        <v>9.7565497399999987</v>
      </c>
      <c r="CB39" s="39">
        <f>TRUNC(IF((BZ39/BY39)&gt;1.2,"120%",(BZ39/BY39)),2)</f>
        <v>0.16</v>
      </c>
      <c r="CC39" s="67"/>
      <c r="CD39" s="60"/>
      <c r="CE39" s="99"/>
      <c r="CF39" s="67">
        <f>SUM(CF31:CF38)</f>
        <v>18.78</v>
      </c>
      <c r="CG39" s="67">
        <f>SUM(CG31:CG38)</f>
        <v>0.87939000000000012</v>
      </c>
      <c r="CH39" s="67">
        <f>SUM(CH31:CH38)</f>
        <v>17.90061</v>
      </c>
      <c r="CI39" s="39">
        <f>TRUNC(IF((CG39/CF39)&gt;1.2,"120%",(CG39/CF39)),2)</f>
        <v>0.04</v>
      </c>
      <c r="CJ39" s="67"/>
      <c r="CK39" s="60"/>
      <c r="CL39" s="99"/>
      <c r="CM39" s="67">
        <f>SUM(CM31:CM38)</f>
        <v>30.499999999999996</v>
      </c>
      <c r="CN39" s="67">
        <f>SUM(CN31:CN38)</f>
        <v>2.8428402599999996</v>
      </c>
      <c r="CO39" s="67">
        <f>SUM(CO31:CO38)</f>
        <v>27.657159739999997</v>
      </c>
      <c r="CP39" s="39">
        <f>TRUNC(IF((CN39/CM39)&gt;1.2,"120%",(CN39/CM39)),2)</f>
        <v>0.09</v>
      </c>
      <c r="CQ39" s="67"/>
      <c r="CR39" s="67"/>
      <c r="CS39" s="60"/>
      <c r="CT39" s="83"/>
      <c r="CU39" s="67">
        <f>SUM(CU31:CU38)</f>
        <v>124.6</v>
      </c>
      <c r="CV39" s="67">
        <f>SUM(CV31:CV38)</f>
        <v>8.2788202599999998</v>
      </c>
      <c r="CW39" s="160">
        <f>SUM(CW31:CW38)</f>
        <v>8.2812202600000013</v>
      </c>
      <c r="CX39" s="67">
        <f>SUM(CX31:CX38)</f>
        <v>116.32117974000001</v>
      </c>
      <c r="CY39" s="39">
        <f>TRUNC(IF((CV39/CU39)&gt;1.2,"120%",(CV39/CU39)),2)</f>
        <v>0.06</v>
      </c>
      <c r="CZ39" s="43"/>
      <c r="DA39" s="67"/>
      <c r="DB39" s="67"/>
      <c r="DC39" s="60"/>
      <c r="DD39" s="42"/>
      <c r="DE39" s="67">
        <f>SUM(DE31:DE38)</f>
        <v>124.6</v>
      </c>
      <c r="DF39" s="8"/>
      <c r="DG39" s="99"/>
      <c r="DH39" s="92"/>
      <c r="DI39" s="42"/>
    </row>
    <row r="40" spans="1:113" ht="12.75" customHeight="1" thickTop="1" x14ac:dyDescent="0.2">
      <c r="A40" s="24"/>
      <c r="B40" s="31">
        <v>22</v>
      </c>
      <c r="C40" s="194" t="s">
        <v>47</v>
      </c>
      <c r="D40" s="102"/>
      <c r="E40" s="193">
        <v>3150</v>
      </c>
      <c r="F40" s="23">
        <f>IF(ISERROR(VLOOKUP($B40,[1]Hedef!$A$4:$ES$45409,25,0)),0,VLOOKUP($B40,[1]Hedef!$A$4:$ES$45409,25,0))+IF(ISERROR(VLOOKUP($B40,[1]Hedef!$A$4:$ES$45409,15,0)),0,VLOOKUP($B40,[1]Hedef!$A$4:$ES$45409,15,0))</f>
        <v>97</v>
      </c>
      <c r="G40" s="35">
        <f>IF((E40-F40)&lt;0, "-", (E40-F40))</f>
        <v>3053</v>
      </c>
      <c r="H40" s="80">
        <f t="shared" ref="H40:H44" si="174">TRUNC(IF((F40/E40)&gt;1.2,"120%",(F40/E40)),2)</f>
        <v>0.03</v>
      </c>
      <c r="I40" s="24"/>
      <c r="J40" s="32">
        <v>2693</v>
      </c>
      <c r="K40" s="59">
        <f>IF(ISERROR((F40-J40)/J40),0,(F40-J40)/J40)</f>
        <v>-0.96398069067953951</v>
      </c>
      <c r="L40" s="24"/>
      <c r="M40" s="44">
        <v>825</v>
      </c>
      <c r="N40" s="23">
        <f>IF(ISERROR(VLOOKUP($B40,[1]Hedef!$A$4:$ES$45409,41,0)),0,VLOOKUP($B40,[1]Hedef!$A$4:$ES$45409,41,0))</f>
        <v>25</v>
      </c>
      <c r="O40" s="35">
        <f>IF((M40-N40)&lt;0, "-", (M40-N40))</f>
        <v>800</v>
      </c>
      <c r="P40" s="80">
        <f t="shared" ref="P40:P44" si="175">TRUNC(IF((N40/M40)&gt;1.2,"120%",(N40/M40)),2)</f>
        <v>0.03</v>
      </c>
      <c r="Q40" s="92"/>
      <c r="R40" s="32">
        <v>703.91666666666674</v>
      </c>
      <c r="S40" s="59">
        <f>IF(ISERROR((N40-R40)/R40),0,(N40-R40)/R40)</f>
        <v>-0.96448443234284365</v>
      </c>
      <c r="T40" s="102"/>
      <c r="U40" s="22">
        <v>3025</v>
      </c>
      <c r="V40" s="23">
        <f>IF(ISERROR(VLOOKUP($B40,[1]Hedef!$A$4:$ES$45409,45,0)),0,VLOOKUP($B40,[1]Hedef!$A$4:$ES$45409,45,0))+IF(ISERROR(VLOOKUP($B40,[1]Hedef!$A$4:$ES$45409,109,0)),0,VLOOKUP($B40,[1]Hedef!$A$4:$ES$45409,109,0))</f>
        <v>212</v>
      </c>
      <c r="W40" s="35">
        <f>IF((U40-V40)&lt;0, "-", (U40-V40))</f>
        <v>2813</v>
      </c>
      <c r="X40" s="80">
        <f t="shared" ref="X40:X44" si="176">TRUNC(IF((V40/U40)&gt;1.2,"120%",(V40/U40)),2)</f>
        <v>7.0000000000000007E-2</v>
      </c>
      <c r="Y40" s="24"/>
      <c r="Z40" s="32">
        <v>2589.5</v>
      </c>
      <c r="AA40" s="59">
        <f>IF(ISERROR((V40-Z40)/Z40),0,(V40-Z40)/Z40)</f>
        <v>-0.91813091330372654</v>
      </c>
      <c r="AB40" s="99"/>
      <c r="AC40" s="164">
        <v>7000</v>
      </c>
      <c r="AD40" s="23">
        <f t="shared" ref="AD40:AD44" si="177">+N40+V40+F40</f>
        <v>334</v>
      </c>
      <c r="AE40" s="35">
        <f>IF((AC40-AD40)&lt;0, "-", (AC40-AD40))</f>
        <v>6666</v>
      </c>
      <c r="AF40" s="80">
        <f t="shared" ref="AF40:AF44" si="178">TRUNC(IF((AD40/AC40)&gt;1.2,"120%",(AD40/AC40)),2)</f>
        <v>0.04</v>
      </c>
      <c r="AG40" s="22">
        <f>AC40-U40-M40-E40</f>
        <v>0</v>
      </c>
      <c r="AH40" s="44">
        <f t="shared" si="91"/>
        <v>5986.416666666667</v>
      </c>
      <c r="AI40" s="59">
        <f>IF(ISERROR((AD40-AH40)/AH40),0,(AD40-AH40)/AH40)</f>
        <v>-0.94420702423542191</v>
      </c>
      <c r="AJ40" s="24"/>
      <c r="AK40" s="22">
        <v>350</v>
      </c>
      <c r="AL40" s="23">
        <f>IF(ISERROR(VLOOKUP($B40,[1]Hedef!$A$4:$ES$45409,97,0)),0,VLOOKUP($B40,[1]Hedef!$A$4:$ES$45409,97,0))</f>
        <v>0</v>
      </c>
      <c r="AM40" s="35">
        <f>IF((AK40-AL40)&lt;0, "-", (AK40-AL40))</f>
        <v>350</v>
      </c>
      <c r="AN40" s="80">
        <f t="shared" ref="AN40:AN44" si="179">TRUNC(IF((AL40/AK40)&gt;1.2,"120%",(AL40/AK40)),2)</f>
        <v>0</v>
      </c>
      <c r="AO40" s="24"/>
      <c r="AP40" s="32">
        <v>300</v>
      </c>
      <c r="AQ40" s="59">
        <f>IF(ISERROR((AL40-AP40)/AP40),0,(AL40-AP40)/AP40)</f>
        <v>-1</v>
      </c>
      <c r="AR40" s="24"/>
      <c r="AS40" s="22">
        <v>380</v>
      </c>
      <c r="AT40" s="23">
        <f>IF(ISERROR(VLOOKUP($B40,[1]Hedef!$A$4:$ES$45409,57,0)),0,VLOOKUP($B40,[1]Hedef!$A$4:$ES$45409,57,0))</f>
        <v>29</v>
      </c>
      <c r="AU40" s="35">
        <f>IF((AS40-AT40)&lt;0, "-", (AS40-AT40))</f>
        <v>351</v>
      </c>
      <c r="AV40" s="80">
        <f t="shared" ref="AV40:AV44" si="180">TRUNC(IF((AT40/AS40)&gt;1.2,"120%",(AT40/AS40)),2)</f>
        <v>7.0000000000000007E-2</v>
      </c>
      <c r="AW40" s="24"/>
      <c r="AX40" s="32">
        <v>325.625</v>
      </c>
      <c r="AY40" s="59">
        <f>IF(ISERROR((AT40-AX40)/AX40),0,(AT40-AX40)/AX40)</f>
        <v>-0.91094049904030705</v>
      </c>
      <c r="AZ40" s="92"/>
      <c r="BA40" s="22">
        <v>430</v>
      </c>
      <c r="BB40" s="23">
        <f>IF(ISERROR(VLOOKUP($B40,[1]Hedef!$A$4:$ES$45409,99,0)),0,VLOOKUP($B40,[1]Hedef!$A$4:$ES$45409,99,0))</f>
        <v>73</v>
      </c>
      <c r="BC40" s="35">
        <f>IF((BA40-BB40)&lt;0, "-", (BA40-BB40))</f>
        <v>357</v>
      </c>
      <c r="BD40" s="80">
        <f t="shared" ref="BD40:BD44" si="181">TRUNC(IF((BB40/BA40)&gt;1.2,"120%",(BB40/BA40)),2)</f>
        <v>0.16</v>
      </c>
      <c r="BE40" s="24"/>
      <c r="BF40" s="32">
        <v>362</v>
      </c>
      <c r="BG40" s="59">
        <f>IF(ISERROR((BB40-BF40)/BF40),0,(BB40-BF40)/BF40)</f>
        <v>-0.7983425414364641</v>
      </c>
      <c r="BH40" s="24"/>
      <c r="BI40" s="22">
        <v>140</v>
      </c>
      <c r="BJ40" s="23">
        <f>IF(ISERROR(VLOOKUP($B40,[1]Hedef!$A$4:$ES$45409,117,0)),0,VLOOKUP($B40,[1]Hedef!$A$4:$ES$45409,117,0))</f>
        <v>1</v>
      </c>
      <c r="BK40" s="35">
        <f>IF((BI40-BJ40)&lt;0, "-", (BI40-BJ40))</f>
        <v>139</v>
      </c>
      <c r="BL40" s="80">
        <f t="shared" ref="BL40:BL44" si="182">TRUNC(IF((BJ40/BI40)&gt;1.2,"120%",(BJ40/BI40)),2)</f>
        <v>0</v>
      </c>
      <c r="BM40" s="24"/>
      <c r="BN40" s="32">
        <v>115</v>
      </c>
      <c r="BO40" s="59">
        <f>IF(ISERROR((BJ40-BN40)/BN40),0,(BJ40-BN40)/BN40)</f>
        <v>-0.99130434782608701</v>
      </c>
      <c r="BP40" s="99"/>
      <c r="BQ40" s="22">
        <v>1300</v>
      </c>
      <c r="BR40" s="23">
        <f t="shared" ref="BR40:BR44" si="183">+BJ40+BB40+AT40+AL40</f>
        <v>103</v>
      </c>
      <c r="BS40" s="35">
        <f>IF((BQ40-BR40)&lt;0, "-", (BQ40-BR40))</f>
        <v>1197</v>
      </c>
      <c r="BT40" s="80">
        <f t="shared" ref="BT40:BT44" si="184">TRUNC(IF((BR40/BQ40)&gt;1.2,"120%",(BR40/BQ40)),2)</f>
        <v>7.0000000000000007E-2</v>
      </c>
      <c r="BU40" s="22">
        <f t="shared" ref="BU40:BU44" si="185">BQ40-BI40-BA40-AS40-AK40</f>
        <v>0</v>
      </c>
      <c r="BV40" s="22">
        <f t="shared" ref="BV40:BV44" si="186">+BN40+BF40+AX40+AP40</f>
        <v>1102.625</v>
      </c>
      <c r="BW40" s="59">
        <f>IF(ISERROR((BR40-BV40)/BV40),0,(BR40-BV40)/BV40)</f>
        <v>-0.9065865548123796</v>
      </c>
      <c r="BX40" s="183"/>
      <c r="BY40" s="22">
        <v>675</v>
      </c>
      <c r="BZ40" s="23">
        <f>IF(ISERROR(VLOOKUP($B40,[1]Hedef!$A$4:$ES$45409,71,0)),0,VLOOKUP($B40,[1]Hedef!$A$4:$ES$45409,71,0))</f>
        <v>133.375</v>
      </c>
      <c r="CA40" s="35">
        <f>IF((BY40-BZ40)&lt;0, "-", (BY40-BZ40))</f>
        <v>541.625</v>
      </c>
      <c r="CB40" s="80">
        <f t="shared" ref="CB40:CB44" si="187">TRUNC(IF((BZ40/BY40)&gt;1.2,"120%",(BZ40/BY40)),2)</f>
        <v>0.19</v>
      </c>
      <c r="CC40" s="32">
        <v>564.91666666666674</v>
      </c>
      <c r="CD40" s="59">
        <f>IF(ISERROR((BZ40-CC40)/CC40),0,(BZ40-CC40)/CC40)</f>
        <v>-0.76390323056498011</v>
      </c>
      <c r="CE40" s="99"/>
      <c r="CF40" s="22">
        <v>2025</v>
      </c>
      <c r="CG40" s="23">
        <f>IF(ISERROR(VLOOKUP($B40,[1]Hedef!$A$4:$ES$45409,87,0)),0,VLOOKUP($B40,[1]Hedef!$A$4:$ES$45409,87,0))</f>
        <v>127.125</v>
      </c>
      <c r="CH40" s="35">
        <f>IF((CF40-CG40)&lt;0, "-", (CF40-CG40))</f>
        <v>1897.875</v>
      </c>
      <c r="CI40" s="80">
        <f t="shared" ref="CI40:CI44" si="188">TRUNC(IF((CG40/CF40)&gt;1.2,"120%",(CG40/CF40)),2)</f>
        <v>0.06</v>
      </c>
      <c r="CJ40" s="32">
        <v>1748.25</v>
      </c>
      <c r="CK40" s="59">
        <f>IF(ISERROR((CG40-CJ40)/CJ40),0,(CG40-CJ40)/CJ40)</f>
        <v>-0.92728442728442728</v>
      </c>
      <c r="CL40" s="99"/>
      <c r="CM40" s="22">
        <v>2700</v>
      </c>
      <c r="CN40" s="23">
        <f>CG40+BZ40</f>
        <v>260.5</v>
      </c>
      <c r="CO40" s="35">
        <f>IF((CM40-CN40)&lt;0, "-", (CM40-CN40))</f>
        <v>2439.5</v>
      </c>
      <c r="CP40" s="80">
        <f t="shared" ref="CP40:CP44" si="189">TRUNC(IF((CN40/CM40)&gt;1.2,"120%",(CN40/CM40)),2)</f>
        <v>0.09</v>
      </c>
      <c r="CQ40" s="123">
        <f>CM40-CF40-BY40</f>
        <v>0</v>
      </c>
      <c r="CR40" s="23">
        <f>+CJ40+CC40</f>
        <v>2313.166666666667</v>
      </c>
      <c r="CS40" s="59">
        <f>IF(ISERROR((CN40-CR40)/CR40),0,(CN40-CR40)/CR40)</f>
        <v>-0.88738381727790183</v>
      </c>
      <c r="CT40" s="82"/>
      <c r="CU40" s="22">
        <f>CM40+AC40+BQ40</f>
        <v>11000</v>
      </c>
      <c r="CV40" s="23">
        <f>IF(ISERROR(VLOOKUP($B40,[1]Hedef!$A$4:$ES$45409,127,0)),0,VLOOKUP($B40,[1]Hedef!$A$4:$ES$45409,127,0))</f>
        <v>697.5</v>
      </c>
      <c r="CW40" s="159">
        <f>IF(ISERROR(VLOOKUP($B40,[1]Hedef!$A$4:$ES$45409,47,0)),0,VLOOKUP($B40,[1]Hedef!$A$4:$ES$45409,47,0))</f>
        <v>697.5</v>
      </c>
      <c r="CX40" s="23">
        <f>IF((CU40-CV40)&lt;0, "-", (CU40-CV40))</f>
        <v>10302.5</v>
      </c>
      <c r="CY40" s="80">
        <f t="shared" ref="CY40:CY44" si="190">TRUNC(IF((CV40/CU40)&gt;1.2,"120%",(CV40/CU40)),2)</f>
        <v>0.06</v>
      </c>
      <c r="CZ40" s="26"/>
      <c r="DA40" s="32">
        <v>9402.2083333333339</v>
      </c>
      <c r="DB40" s="131">
        <f>+CR40+BV40+AH40</f>
        <v>9402.2083333333339</v>
      </c>
      <c r="DC40" s="59">
        <f>IF(ISERROR((CV40-DA40)/DA40),0,(CV40-DA40)/DA40)</f>
        <v>-0.9258153004834857</v>
      </c>
      <c r="DD40" s="24"/>
      <c r="DE40" s="22">
        <v>11000</v>
      </c>
      <c r="DF40" s="15">
        <f>DE40-CU40</f>
        <v>0</v>
      </c>
      <c r="DG40" s="99"/>
      <c r="DH40" s="92"/>
      <c r="DI40" s="24"/>
    </row>
    <row r="41" spans="1:113" ht="12.75" customHeight="1" x14ac:dyDescent="0.2">
      <c r="A41" s="24"/>
      <c r="B41" s="31">
        <v>999</v>
      </c>
      <c r="C41" s="194" t="s">
        <v>48</v>
      </c>
      <c r="D41" s="102"/>
      <c r="E41" s="193">
        <v>765</v>
      </c>
      <c r="F41" s="23">
        <f>IF(ISERROR(VLOOKUP($B41,[1]Hedef!$A$4:$ES$45409,25,0)),0,VLOOKUP($B41,[1]Hedef!$A$4:$ES$45409,25,0))+IF(ISERROR(VLOOKUP($B41,[1]Hedef!$A$4:$ES$45409,15,0)),0,VLOOKUP($B41,[1]Hedef!$A$4:$ES$45409,15,0))</f>
        <v>54</v>
      </c>
      <c r="G41" s="35">
        <f>IF((E41-F41)&lt;0, "-", (E41-F41))</f>
        <v>711</v>
      </c>
      <c r="H41" s="80">
        <f t="shared" si="174"/>
        <v>7.0000000000000007E-2</v>
      </c>
      <c r="I41" s="24"/>
      <c r="J41" s="32">
        <v>539</v>
      </c>
      <c r="K41" s="59">
        <f t="shared" ref="K41" si="191">IF(ISERROR((F41-J41)/J41),0,(F41-J41)/J41)</f>
        <v>-0.8998144712430427</v>
      </c>
      <c r="L41" s="24"/>
      <c r="M41" s="44">
        <v>1100</v>
      </c>
      <c r="N41" s="23">
        <f>IF(ISERROR(VLOOKUP($B41,[1]Hedef!$A$4:$ES$45409,41,0)),0,VLOOKUP($B41,[1]Hedef!$A$4:$ES$45409,41,0))</f>
        <v>40</v>
      </c>
      <c r="O41" s="35">
        <f>IF((M41-N41)&lt;0, "-", (M41-N41))</f>
        <v>1060</v>
      </c>
      <c r="P41" s="80">
        <f t="shared" si="175"/>
        <v>0.03</v>
      </c>
      <c r="Q41" s="92"/>
      <c r="R41" s="32">
        <v>757.79166666666663</v>
      </c>
      <c r="S41" s="59">
        <f t="shared" si="85"/>
        <v>-0.94721504371254195</v>
      </c>
      <c r="T41" s="102"/>
      <c r="U41" s="22">
        <v>1735</v>
      </c>
      <c r="V41" s="23">
        <f>IF(ISERROR(VLOOKUP($B41,[1]Hedef!$A$4:$ES$45409,45,0)),0,VLOOKUP($B41,[1]Hedef!$A$4:$ES$45409,45,0))+IF(ISERROR(VLOOKUP($B41,[1]Hedef!$A$4:$ES$45409,109,0)),0,VLOOKUP($B41,[1]Hedef!$A$4:$ES$45409,109,0))</f>
        <v>60</v>
      </c>
      <c r="W41" s="35">
        <f>IF((U41-V41)&lt;0, "-", (U41-V41))</f>
        <v>1675</v>
      </c>
      <c r="X41" s="80">
        <f t="shared" si="176"/>
        <v>0.03</v>
      </c>
      <c r="Y41" s="24"/>
      <c r="Z41" s="32">
        <v>1241.916666666667</v>
      </c>
      <c r="AA41" s="59">
        <f t="shared" si="87"/>
        <v>-0.95168757968194329</v>
      </c>
      <c r="AB41" s="99"/>
      <c r="AC41" s="164">
        <v>3600</v>
      </c>
      <c r="AD41" s="23">
        <f t="shared" si="177"/>
        <v>154</v>
      </c>
      <c r="AE41" s="35">
        <f>IF((AC41-AD41)&lt;0, "-", (AC41-AD41))</f>
        <v>3446</v>
      </c>
      <c r="AF41" s="80">
        <f t="shared" si="178"/>
        <v>0.04</v>
      </c>
      <c r="AG41" s="22">
        <f>AC41-U41-M41-E41</f>
        <v>0</v>
      </c>
      <c r="AH41" s="44">
        <f t="shared" si="91"/>
        <v>2538.7083333333335</v>
      </c>
      <c r="AI41" s="59">
        <f>IF(ISERROR((AD41-AH41)/AH41),0,(AD41-AH41)/AH41)</f>
        <v>-0.93933923090810612</v>
      </c>
      <c r="AJ41" s="24"/>
      <c r="AK41" s="22">
        <v>1400</v>
      </c>
      <c r="AL41" s="23">
        <f>IF(ISERROR(VLOOKUP($B41,[1]Hedef!$A$4:$ES$45409,97,0)),0,VLOOKUP($B41,[1]Hedef!$A$4:$ES$45409,97,0))</f>
        <v>0</v>
      </c>
      <c r="AM41" s="35">
        <f>IF((AK41-AL41)&lt;0, "-", (AK41-AL41))</f>
        <v>1400</v>
      </c>
      <c r="AN41" s="80">
        <f t="shared" si="179"/>
        <v>0</v>
      </c>
      <c r="AO41" s="24"/>
      <c r="AP41" s="32">
        <v>1000</v>
      </c>
      <c r="AQ41" s="59">
        <f t="shared" ref="AQ41" si="192">IF(ISERROR((AL41-AP41)/AP41),0,(AL41-AP41)/AP41)</f>
        <v>-1</v>
      </c>
      <c r="AR41" s="24"/>
      <c r="AS41" s="22">
        <v>700</v>
      </c>
      <c r="AT41" s="23">
        <f>IF(ISERROR(VLOOKUP($B41,[1]Hedef!$A$4:$ES$45409,57,0)),0,VLOOKUP($B41,[1]Hedef!$A$4:$ES$45409,57,0))</f>
        <v>7</v>
      </c>
      <c r="AU41" s="35">
        <f>IF((AS41-AT41)&lt;0, "-", (AS41-AT41))</f>
        <v>693</v>
      </c>
      <c r="AV41" s="80">
        <f t="shared" si="180"/>
        <v>0.01</v>
      </c>
      <c r="AW41" s="24"/>
      <c r="AX41" s="32">
        <v>497</v>
      </c>
      <c r="AY41" s="59">
        <f t="shared" si="96"/>
        <v>-0.9859154929577465</v>
      </c>
      <c r="AZ41" s="92"/>
      <c r="BA41" s="22">
        <v>820</v>
      </c>
      <c r="BB41" s="23">
        <f>IF(ISERROR(VLOOKUP($B41,[1]Hedef!$A$4:$ES$45409,99,0)),0,VLOOKUP($B41,[1]Hedef!$A$4:$ES$45409,99,0))</f>
        <v>72</v>
      </c>
      <c r="BC41" s="35">
        <f>IF((BA41-BB41)&lt;0, "-", (BA41-BB41))</f>
        <v>748</v>
      </c>
      <c r="BD41" s="80">
        <f t="shared" si="181"/>
        <v>0.08</v>
      </c>
      <c r="BE41" s="24"/>
      <c r="BF41" s="32">
        <v>581.25</v>
      </c>
      <c r="BG41" s="59">
        <f>IF(ISERROR((BB41-BF41)/BF41),0,(BB41-BF41)/BF41)</f>
        <v>-0.87612903225806449</v>
      </c>
      <c r="BH41" s="24"/>
      <c r="BI41" s="22">
        <v>380</v>
      </c>
      <c r="BJ41" s="23">
        <f>IF(ISERROR(VLOOKUP($B41,[1]Hedef!$A$4:$ES$45409,117,0)),0,VLOOKUP($B41,[1]Hedef!$A$4:$ES$45409,117,0))</f>
        <v>23</v>
      </c>
      <c r="BK41" s="35">
        <f>IF((BI41-BJ41)&lt;0, "-", (BI41-BJ41))</f>
        <v>357</v>
      </c>
      <c r="BL41" s="80">
        <f t="shared" si="182"/>
        <v>0.06</v>
      </c>
      <c r="BM41" s="24"/>
      <c r="BN41" s="32">
        <v>258.45833333333337</v>
      </c>
      <c r="BO41" s="59">
        <f t="shared" si="100"/>
        <v>-0.91101080122521361</v>
      </c>
      <c r="BP41" s="99"/>
      <c r="BQ41" s="22">
        <v>3300</v>
      </c>
      <c r="BR41" s="23">
        <f t="shared" si="183"/>
        <v>102</v>
      </c>
      <c r="BS41" s="35">
        <f>IF((BQ41-BR41)&lt;0, "-", (BQ41-BR41))</f>
        <v>3198</v>
      </c>
      <c r="BT41" s="80">
        <f t="shared" si="184"/>
        <v>0.03</v>
      </c>
      <c r="BU41" s="22">
        <f t="shared" si="185"/>
        <v>0</v>
      </c>
      <c r="BV41" s="22">
        <f t="shared" si="186"/>
        <v>2336.7083333333335</v>
      </c>
      <c r="BW41" s="59">
        <f t="shared" si="105"/>
        <v>-0.95634885255255786</v>
      </c>
      <c r="BX41" s="183"/>
      <c r="BY41" s="22">
        <v>1440</v>
      </c>
      <c r="BZ41" s="23">
        <f>IF(ISERROR(VLOOKUP($B41,[1]Hedef!$A$4:$ES$45409,71,0)),0,VLOOKUP($B41,[1]Hedef!$A$4:$ES$45409,71,0))</f>
        <v>90.4166666666667</v>
      </c>
      <c r="CA41" s="35">
        <f>IF((BY41-BZ41)&lt;0, "-", (BY41-BZ41))</f>
        <v>1349.5833333333333</v>
      </c>
      <c r="CB41" s="80">
        <f t="shared" si="187"/>
        <v>0.06</v>
      </c>
      <c r="CC41" s="32">
        <v>1018.7500000000006</v>
      </c>
      <c r="CD41" s="59">
        <f>IF(ISERROR((BZ41-CC41)/CC41),0,(BZ41-CC41)/CC41)</f>
        <v>-0.91124744376278111</v>
      </c>
      <c r="CE41" s="99"/>
      <c r="CF41" s="22">
        <v>2660</v>
      </c>
      <c r="CG41" s="23">
        <f>IF(ISERROR(VLOOKUP($B41,[1]Hedef!$A$4:$ES$45409,87,0)),0,VLOOKUP($B41,[1]Hedef!$A$4:$ES$45409,87,0))</f>
        <v>97.6666666666667</v>
      </c>
      <c r="CH41" s="35">
        <f>IF((CF41-CG41)&lt;0, "-", (CF41-CG41))</f>
        <v>2562.3333333333335</v>
      </c>
      <c r="CI41" s="80">
        <f t="shared" si="188"/>
        <v>0.03</v>
      </c>
      <c r="CJ41" s="32">
        <v>1888.1666666666672</v>
      </c>
      <c r="CK41" s="59">
        <f>IF(ISERROR((CG41-CJ41)/CJ41),0,(CG41-CJ41)/CJ41)</f>
        <v>-0.94827434018889578</v>
      </c>
      <c r="CL41" s="99"/>
      <c r="CM41" s="22">
        <v>4100</v>
      </c>
      <c r="CN41" s="23">
        <f>CG41+BZ41</f>
        <v>188.0833333333334</v>
      </c>
      <c r="CO41" s="35">
        <f>IF((CM41-CN41)&lt;0, "-", (CM41-CN41))</f>
        <v>3911.9166666666665</v>
      </c>
      <c r="CP41" s="80">
        <f t="shared" si="189"/>
        <v>0.04</v>
      </c>
      <c r="CQ41" s="123">
        <f>CM41-CF41-BY41</f>
        <v>0</v>
      </c>
      <c r="CR41" s="23">
        <f>+CJ41+CC41</f>
        <v>2906.9166666666679</v>
      </c>
      <c r="CS41" s="59">
        <f>IF(ISERROR((CN41-CR41)/CR41),0,(CN41-CR41)/CR41)</f>
        <v>-0.93529799615858722</v>
      </c>
      <c r="CT41" s="82"/>
      <c r="CU41" s="22">
        <f>CM41+AC41+BQ41</f>
        <v>11000</v>
      </c>
      <c r="CV41" s="23">
        <f>IF(ISERROR(VLOOKUP($B41,[1]Hedef!$A$4:$ES$45409,127,0)),0,VLOOKUP($B41,[1]Hedef!$A$4:$ES$45409,127,0))</f>
        <v>444.08333333333337</v>
      </c>
      <c r="CW41" s="159">
        <f>IF(ISERROR(VLOOKUP($B41,[1]Hedef!$A$4:$ES$45409,47,0)),0,VLOOKUP($B41,[1]Hedef!$A$4:$ES$45409,47,0))</f>
        <v>444.08333333333303</v>
      </c>
      <c r="CX41" s="23">
        <f>IF((CU41-CV41)&lt;0, "-", (CU41-CV41))</f>
        <v>10555.916666666666</v>
      </c>
      <c r="CY41" s="80">
        <f t="shared" si="190"/>
        <v>0.04</v>
      </c>
      <c r="CZ41" s="26"/>
      <c r="DA41" s="32">
        <v>7782.3333333333358</v>
      </c>
      <c r="DB41" s="131">
        <f>+CR41+BV41+AH41</f>
        <v>7782.3333333333358</v>
      </c>
      <c r="DC41" s="59">
        <f>IF(ISERROR((CV41-DA41)/DA41),0,(CV41-DA41)/DA41)</f>
        <v>-0.94293699404634435</v>
      </c>
      <c r="DD41" s="24"/>
      <c r="DE41" s="22">
        <v>11000</v>
      </c>
      <c r="DF41" s="15">
        <f>DE41-CU41</f>
        <v>0</v>
      </c>
      <c r="DG41" s="99"/>
      <c r="DH41" s="92"/>
      <c r="DI41" s="24"/>
    </row>
    <row r="42" spans="1:113" ht="12.75" customHeight="1" x14ac:dyDescent="0.2">
      <c r="A42" s="24"/>
      <c r="B42" s="31">
        <v>888</v>
      </c>
      <c r="C42" s="194" t="s">
        <v>27</v>
      </c>
      <c r="D42" s="102"/>
      <c r="E42" s="193">
        <v>644</v>
      </c>
      <c r="F42" s="23">
        <f>IF(ISERROR(VLOOKUP($B42,[1]Hedef!$A$4:$ES$45409,25,0)),0,VLOOKUP($B42,[1]Hedef!$A$4:$ES$45409,25,0))+IF(ISERROR(VLOOKUP($B42,[1]Hedef!$A$4:$ES$45409,15,0)),0,VLOOKUP($B42,[1]Hedef!$A$4:$ES$45409,15,0))</f>
        <v>7</v>
      </c>
      <c r="G42" s="23">
        <f>IF((E42-F42)&lt;0, "-", (E42-F42))</f>
        <v>637</v>
      </c>
      <c r="H42" s="80">
        <f t="shared" si="174"/>
        <v>0.01</v>
      </c>
      <c r="I42" s="24"/>
      <c r="J42" s="32">
        <v>221.5625</v>
      </c>
      <c r="K42" s="59">
        <f>IF(ISERROR((F42-J42)/J42),0,(F42-J42)/J42)</f>
        <v>-0.96840620592383642</v>
      </c>
      <c r="L42" s="24"/>
      <c r="M42" s="44">
        <v>390</v>
      </c>
      <c r="N42" s="23">
        <f>IF(ISERROR(VLOOKUP($B42,[1]Hedef!$A$4:$ES$45409,41,0)),0,VLOOKUP($B42,[1]Hedef!$A$4:$ES$45409,41,0))</f>
        <v>8</v>
      </c>
      <c r="O42" s="23">
        <f>IF((M42-N42)&lt;0, "-", (M42-N42))</f>
        <v>382</v>
      </c>
      <c r="P42" s="80">
        <f t="shared" si="175"/>
        <v>0.02</v>
      </c>
      <c r="Q42" s="92"/>
      <c r="R42" s="32">
        <v>131.16666666666669</v>
      </c>
      <c r="S42" s="59">
        <f>IF(ISERROR((N42-R42)/R42),0,(N42-R42)/R42)</f>
        <v>-0.9390088945362135</v>
      </c>
      <c r="T42" s="102"/>
      <c r="U42" s="22">
        <v>186</v>
      </c>
      <c r="V42" s="23">
        <f>IF(ISERROR(VLOOKUP($B42,[1]Hedef!$A$4:$ES$45409,45,0)),0,VLOOKUP($B42,[1]Hedef!$A$4:$ES$45409,45,0))+IF(ISERROR(VLOOKUP($B42,[1]Hedef!$A$4:$ES$45409,109,0)),0,VLOOKUP($B42,[1]Hedef!$A$4:$ES$45409,109,0))</f>
        <v>0</v>
      </c>
      <c r="W42" s="23">
        <f>IF((U42-V42)&lt;0, "-", (U42-V42))</f>
        <v>186</v>
      </c>
      <c r="X42" s="80">
        <f t="shared" si="176"/>
        <v>0</v>
      </c>
      <c r="Y42" s="24"/>
      <c r="Z42" s="32">
        <v>66.4166666666667</v>
      </c>
      <c r="AA42" s="59">
        <f>IF(ISERROR((V42-Z42)/Z42),0,(V42-Z42)/Z42)</f>
        <v>-1</v>
      </c>
      <c r="AB42" s="99"/>
      <c r="AC42" s="164">
        <v>1220</v>
      </c>
      <c r="AD42" s="23">
        <f t="shared" si="177"/>
        <v>15</v>
      </c>
      <c r="AE42" s="23">
        <f>IF((AC42-AD42)&lt;0, "-", (AC42-AD42))</f>
        <v>1205</v>
      </c>
      <c r="AF42" s="80">
        <f t="shared" si="178"/>
        <v>0.01</v>
      </c>
      <c r="AG42" s="22">
        <f>AC42-U42-M42-E42</f>
        <v>0</v>
      </c>
      <c r="AH42" s="44">
        <f t="shared" si="91"/>
        <v>419.14583333333337</v>
      </c>
      <c r="AI42" s="59">
        <f>IF(ISERROR((AD42-AH42)/AH42),0,(AD42-AH42)/AH42)</f>
        <v>-0.9642129330483622</v>
      </c>
      <c r="AJ42" s="24"/>
      <c r="AK42" s="22">
        <v>60</v>
      </c>
      <c r="AL42" s="23">
        <f>IF(ISERROR(VLOOKUP($B42,[1]Hedef!$A$4:$ES$45409,97,0)),0,VLOOKUP($B42,[1]Hedef!$A$4:$ES$45409,97,0))</f>
        <v>0</v>
      </c>
      <c r="AM42" s="23">
        <f>IF((AK42-AL42)&lt;0, "-", (AK42-AL42))</f>
        <v>60</v>
      </c>
      <c r="AN42" s="80">
        <f t="shared" si="179"/>
        <v>0</v>
      </c>
      <c r="AO42" s="24"/>
      <c r="AP42" s="32">
        <v>20</v>
      </c>
      <c r="AQ42" s="59">
        <f>IF(ISERROR((AL42-AP42)/AP42),0,(AL42-AP42)/AP42)</f>
        <v>-1</v>
      </c>
      <c r="AR42" s="24"/>
      <c r="AS42" s="22">
        <v>630</v>
      </c>
      <c r="AT42" s="23">
        <f>IF(ISERROR(VLOOKUP($B42,[1]Hedef!$A$4:$ES$45409,57,0)),0,VLOOKUP($B42,[1]Hedef!$A$4:$ES$45409,57,0))</f>
        <v>16</v>
      </c>
      <c r="AU42" s="23">
        <f>IF((AS42-AT42)&lt;0, "-", (AS42-AT42))</f>
        <v>614</v>
      </c>
      <c r="AV42" s="80">
        <f t="shared" si="180"/>
        <v>0.02</v>
      </c>
      <c r="AW42" s="24"/>
      <c r="AX42" s="32">
        <v>216.0625</v>
      </c>
      <c r="AY42" s="59">
        <f>IF(ISERROR((AT42-AX42)/AX42),0,(AT42-AX42)/AX42)</f>
        <v>-0.92594735319641308</v>
      </c>
      <c r="AZ42" s="92"/>
      <c r="BA42" s="22">
        <v>165</v>
      </c>
      <c r="BB42" s="23">
        <f>IF(ISERROR(VLOOKUP($B42,[1]Hedef!$A$4:$ES$45409,99,0)),0,VLOOKUP($B42,[1]Hedef!$A$4:$ES$45409,99,0))</f>
        <v>48</v>
      </c>
      <c r="BC42" s="23">
        <f>IF((BA42-BB42)&lt;0, "-", (BA42-BB42))</f>
        <v>117</v>
      </c>
      <c r="BD42" s="80">
        <f t="shared" si="181"/>
        <v>0.28999999999999998</v>
      </c>
      <c r="BE42" s="24"/>
      <c r="BF42" s="32">
        <v>56.166666666666671</v>
      </c>
      <c r="BG42" s="59">
        <f>IF(ISERROR((BB42-BF42)/BF42),0,(BB42-BF42)/BF42)</f>
        <v>-0.14540059347181017</v>
      </c>
      <c r="BH42" s="24"/>
      <c r="BI42" s="22">
        <v>105</v>
      </c>
      <c r="BJ42" s="23">
        <f>IF(ISERROR(VLOOKUP($B42,[1]Hedef!$A$4:$ES$45409,117,0)),0,VLOOKUP($B42,[1]Hedef!$A$4:$ES$45409,117,0))</f>
        <v>17</v>
      </c>
      <c r="BK42" s="23">
        <f>IF((BI42-BJ42)&lt;0, "-", (BI42-BJ42))</f>
        <v>88</v>
      </c>
      <c r="BL42" s="80">
        <f t="shared" si="182"/>
        <v>0.16</v>
      </c>
      <c r="BM42" s="24"/>
      <c r="BN42" s="32">
        <v>35.5</v>
      </c>
      <c r="BO42" s="59">
        <f>IF(ISERROR((BJ42-BN42)/BN42),0,(BJ42-BN42)/BN42)</f>
        <v>-0.52112676056338025</v>
      </c>
      <c r="BP42" s="99"/>
      <c r="BQ42" s="22">
        <v>960</v>
      </c>
      <c r="BR42" s="23">
        <f t="shared" si="183"/>
        <v>81</v>
      </c>
      <c r="BS42" s="23">
        <f>IF((BQ42-BR42)&lt;0, "-", (BQ42-BR42))</f>
        <v>879</v>
      </c>
      <c r="BT42" s="80">
        <f t="shared" si="184"/>
        <v>0.08</v>
      </c>
      <c r="BU42" s="22">
        <f t="shared" si="185"/>
        <v>0</v>
      </c>
      <c r="BV42" s="22">
        <f t="shared" si="186"/>
        <v>327.72916666666669</v>
      </c>
      <c r="BW42" s="59">
        <f>IF(ISERROR((BR42-BV42)/BV42),0,(BR42-BV42)/BV42)</f>
        <v>-0.75284470154472061</v>
      </c>
      <c r="BX42" s="183"/>
      <c r="BY42" s="22">
        <v>170</v>
      </c>
      <c r="BZ42" s="23">
        <f>IF(ISERROR(VLOOKUP($B42,[1]Hedef!$A$4:$ES$45409,71,0)),0,VLOOKUP($B42,[1]Hedef!$A$4:$ES$45409,71,0))</f>
        <v>72.166666666666657</v>
      </c>
      <c r="CA42" s="23">
        <f>IF((BY42-BZ42)&lt;0, "-", (BY42-BZ42))</f>
        <v>97.833333333333343</v>
      </c>
      <c r="CB42" s="80">
        <f t="shared" si="187"/>
        <v>0.42</v>
      </c>
      <c r="CC42" s="32">
        <v>32.53125</v>
      </c>
      <c r="CD42" s="59">
        <f>IF(ISERROR((BZ42-CC42)/CC42),0,(BZ42-CC42)/CC42)</f>
        <v>1.2183797630483506</v>
      </c>
      <c r="CE42" s="99"/>
      <c r="CF42" s="22">
        <v>500</v>
      </c>
      <c r="CG42" s="23">
        <f>IF(ISERROR(VLOOKUP($B42,[1]Hedef!$A$4:$ES$45409,87,0)),0,VLOOKUP($B42,[1]Hedef!$A$4:$ES$45409,87,0))</f>
        <v>29.09375</v>
      </c>
      <c r="CH42" s="23">
        <f>IF((CF42-CG42)&lt;0, "-", (CF42-CG42))</f>
        <v>470.90625</v>
      </c>
      <c r="CI42" s="80">
        <f t="shared" si="188"/>
        <v>0.05</v>
      </c>
      <c r="CJ42" s="32">
        <v>197.57291666666669</v>
      </c>
      <c r="CK42" s="59">
        <f>IF(ISERROR((CG42-CJ42)/CJ42),0,(CG42-CJ42)/CJ42)</f>
        <v>-0.85274423999578219</v>
      </c>
      <c r="CL42" s="99"/>
      <c r="CM42" s="22">
        <v>670</v>
      </c>
      <c r="CN42" s="23">
        <f>CG42+BZ42</f>
        <v>101.26041666666666</v>
      </c>
      <c r="CO42" s="23">
        <f>IF((CM42-CN42)&lt;0, "-", (CM42-CN42))</f>
        <v>568.73958333333337</v>
      </c>
      <c r="CP42" s="80">
        <f t="shared" si="189"/>
        <v>0.15</v>
      </c>
      <c r="CQ42" s="123">
        <f>CM42-CF42-BY42</f>
        <v>0</v>
      </c>
      <c r="CR42" s="23">
        <f>+CJ42+CC42</f>
        <v>230.10416666666669</v>
      </c>
      <c r="CS42" s="59">
        <f>IF(ISERROR((CN42-CR42)/CR42),0,(CN42-CR42)/CR42)</f>
        <v>-0.55993662290629254</v>
      </c>
      <c r="CT42" s="82"/>
      <c r="CU42" s="22">
        <f>CM42+AC42+BQ42</f>
        <v>2850</v>
      </c>
      <c r="CV42" s="23">
        <f>IF(ISERROR(VLOOKUP($B42,[1]Hedef!$A$4:$ES$45409,127,0)),0,VLOOKUP($B42,[1]Hedef!$A$4:$ES$45409,127,0))</f>
        <v>197.26041666666669</v>
      </c>
      <c r="CW42" s="159">
        <f>IF(ISERROR(VLOOKUP($B42,[1]Hedef!$A$4:$ES$45409,47,0)),0,VLOOKUP($B42,[1]Hedef!$A$4:$ES$45409,47,0))</f>
        <v>197.26041666666669</v>
      </c>
      <c r="CX42" s="23">
        <f>IF((CU42-CV42)&lt;0, "-", (CU42-CV42))</f>
        <v>2652.7395833333335</v>
      </c>
      <c r="CY42" s="80">
        <f t="shared" si="190"/>
        <v>0.06</v>
      </c>
      <c r="CZ42" s="26"/>
      <c r="DA42" s="32">
        <v>976.97916666666674</v>
      </c>
      <c r="DB42" s="131">
        <f>+CR42+BV42+AH42</f>
        <v>976.97916666666674</v>
      </c>
      <c r="DC42" s="59">
        <f>IF(ISERROR((CV42-DA42)/DA42),0,(CV42-DA42)/DA42)</f>
        <v>-0.79809148096812021</v>
      </c>
      <c r="DD42" s="24"/>
      <c r="DE42" s="22">
        <v>2850</v>
      </c>
      <c r="DF42" s="15">
        <f>DE42-CU42</f>
        <v>0</v>
      </c>
      <c r="DG42" s="99"/>
      <c r="DH42" s="92"/>
      <c r="DI42" s="24"/>
    </row>
    <row r="43" spans="1:113" ht="12.75" customHeight="1" x14ac:dyDescent="0.2">
      <c r="A43" s="24"/>
      <c r="B43" s="31">
        <v>14</v>
      </c>
      <c r="C43" s="194" t="s">
        <v>131</v>
      </c>
      <c r="D43" s="102"/>
      <c r="E43" s="193">
        <v>3</v>
      </c>
      <c r="F43" s="23">
        <f>IF(ISERROR(VLOOKUP($B43,[1]Hedef!$A$4:$ES$45409,25,0)),0,VLOOKUP($B43,[1]Hedef!$A$4:$ES$45409,25,0))+IF(ISERROR(VLOOKUP($B43,[1]Hedef!$A$4:$ES$45409,15,0)),0,VLOOKUP($B43,[1]Hedef!$A$4:$ES$45409,15,0))</f>
        <v>0</v>
      </c>
      <c r="G43" s="23">
        <f>IF((E43-F43)&lt;0, "-", (E43-F43))</f>
        <v>3</v>
      </c>
      <c r="H43" s="80">
        <f t="shared" si="174"/>
        <v>0</v>
      </c>
      <c r="I43" s="24"/>
      <c r="J43" s="32">
        <v>2</v>
      </c>
      <c r="K43" s="59">
        <f t="shared" ref="K43:K44" si="193">IF(ISERROR((F43-J43)/J43),0,(F43-J43)/J43)</f>
        <v>-1</v>
      </c>
      <c r="L43" s="24"/>
      <c r="M43" s="44">
        <v>19</v>
      </c>
      <c r="N43" s="23">
        <f>IF(ISERROR(VLOOKUP($B43,[1]Hedef!$A$4:$ES$45409,41,0)),0,VLOOKUP($B43,[1]Hedef!$A$4:$ES$45409,41,0))</f>
        <v>0</v>
      </c>
      <c r="O43" s="23">
        <f>IF((M43-N43)&lt;0, "-", (M43-N43))</f>
        <v>19</v>
      </c>
      <c r="P43" s="80">
        <f t="shared" si="175"/>
        <v>0</v>
      </c>
      <c r="Q43" s="92"/>
      <c r="R43" s="32">
        <v>12.158339973333334</v>
      </c>
      <c r="S43" s="59">
        <f t="shared" ref="S43" si="194">IF(ISERROR((N43-R43)/R43),0,(N43-R43)/R43)</f>
        <v>-1</v>
      </c>
      <c r="T43" s="102"/>
      <c r="U43" s="22">
        <v>8</v>
      </c>
      <c r="V43" s="23">
        <f>IF(ISERROR(VLOOKUP($B43,[1]Hedef!$A$4:$ES$45409,45,0)),0,VLOOKUP($B43,[1]Hedef!$A$4:$ES$45409,45,0))+IF(ISERROR(VLOOKUP($B43,[1]Hedef!$A$4:$ES$45409,109,0)),0,VLOOKUP($B43,[1]Hedef!$A$4:$ES$45409,109,0))</f>
        <v>0</v>
      </c>
      <c r="W43" s="23">
        <f>IF((U43-V43)&lt;0, "-", (U43-V43))</f>
        <v>8</v>
      </c>
      <c r="X43" s="80">
        <f t="shared" si="176"/>
        <v>0</v>
      </c>
      <c r="Y43" s="24"/>
      <c r="Z43" s="32">
        <v>5.2499999999999964</v>
      </c>
      <c r="AA43" s="59">
        <f t="shared" ref="AA43" si="195">IF(ISERROR((V43-Z43)/Z43),0,(V43-Z43)/Z43)</f>
        <v>-1</v>
      </c>
      <c r="AB43" s="99"/>
      <c r="AC43" s="164">
        <v>30</v>
      </c>
      <c r="AD43" s="23">
        <f t="shared" si="177"/>
        <v>0</v>
      </c>
      <c r="AE43" s="23">
        <f>IF((AC43-AD43)&lt;0, "-", (AC43-AD43))</f>
        <v>30</v>
      </c>
      <c r="AF43" s="80">
        <f t="shared" si="178"/>
        <v>0</v>
      </c>
      <c r="AG43" s="22">
        <f>AC43-U43-M43-E43</f>
        <v>0</v>
      </c>
      <c r="AH43" s="44">
        <f t="shared" si="91"/>
        <v>19.40833997333333</v>
      </c>
      <c r="AI43" s="59">
        <f>IF(ISERROR((AD43-AH43)/AH43),0,(AD43-AH43)/AH43)</f>
        <v>-1</v>
      </c>
      <c r="AJ43" s="24"/>
      <c r="AK43" s="22">
        <v>21</v>
      </c>
      <c r="AL43" s="23">
        <f>IF(ISERROR(VLOOKUP($B43,[1]Hedef!$A$4:$ES$45409,97,0)),0,VLOOKUP($B43,[1]Hedef!$A$4:$ES$45409,97,0))</f>
        <v>0</v>
      </c>
      <c r="AM43" s="23">
        <f>IF((AK43-AL43)&lt;0, "-", (AK43-AL43))</f>
        <v>21</v>
      </c>
      <c r="AN43" s="80">
        <f t="shared" si="179"/>
        <v>0</v>
      </c>
      <c r="AO43" s="24"/>
      <c r="AP43" s="32">
        <v>15.0000166</v>
      </c>
      <c r="AQ43" s="59">
        <f t="shared" ref="AQ43:AQ44" si="196">IF(ISERROR((AL43-AP43)/AP43),0,(AL43-AP43)/AP43)</f>
        <v>-1</v>
      </c>
      <c r="AR43" s="24"/>
      <c r="AS43" s="22">
        <v>17</v>
      </c>
      <c r="AT43" s="23">
        <f>IF(ISERROR(VLOOKUP($B43,[1]Hedef!$A$4:$ES$45409,57,0)),0,VLOOKUP($B43,[1]Hedef!$A$4:$ES$45409,57,0))</f>
        <v>0</v>
      </c>
      <c r="AU43" s="23">
        <f>IF((AS43-AT43)&lt;0, "-", (AS43-AT43))</f>
        <v>17</v>
      </c>
      <c r="AV43" s="80">
        <f t="shared" si="180"/>
        <v>0</v>
      </c>
      <c r="AW43" s="24"/>
      <c r="AX43" s="32">
        <v>12.041669986666669</v>
      </c>
      <c r="AY43" s="59">
        <f t="shared" ref="AY43" si="197">IF(ISERROR((AT43-AX43)/AX43),0,(AT43-AX43)/AX43)</f>
        <v>-1</v>
      </c>
      <c r="AZ43" s="92"/>
      <c r="BA43" s="22">
        <v>23</v>
      </c>
      <c r="BB43" s="23">
        <f>IF(ISERROR(VLOOKUP($B43,[1]Hedef!$A$4:$ES$45409,99,0)),0,VLOOKUP($B43,[1]Hedef!$A$4:$ES$45409,99,0))</f>
        <v>3.7916677733333337</v>
      </c>
      <c r="BC43" s="23">
        <f>IF((BA43-BB43)&lt;0, "-", (BA43-BB43))</f>
        <v>19.208332226666666</v>
      </c>
      <c r="BD43" s="80">
        <f t="shared" si="181"/>
        <v>0.16</v>
      </c>
      <c r="BE43" s="24"/>
      <c r="BF43" s="32">
        <v>16.444454404444439</v>
      </c>
      <c r="BG43" s="59">
        <f>IF(ISERROR((BB43-BF43)/BF43),0,(BB43-BF43)/BF43)</f>
        <v>-0.76942574803159414</v>
      </c>
      <c r="BH43" s="24"/>
      <c r="BI43" s="22">
        <v>19</v>
      </c>
      <c r="BJ43" s="23">
        <f>IF(ISERROR(VLOOKUP($B43,[1]Hedef!$A$4:$ES$45409,117,0)),0,VLOOKUP($B43,[1]Hedef!$A$4:$ES$45409,117,0))</f>
        <v>0.45833333333333304</v>
      </c>
      <c r="BK43" s="23">
        <f>IF((BI43-BJ43)&lt;0, "-", (BI43-BJ43))</f>
        <v>18.541666666666668</v>
      </c>
      <c r="BL43" s="80">
        <f t="shared" si="182"/>
        <v>0.02</v>
      </c>
      <c r="BM43" s="24"/>
      <c r="BN43" s="32">
        <v>13.027788844444441</v>
      </c>
      <c r="BO43" s="59">
        <f t="shared" ref="BO43" si="198">IF(ISERROR((BJ43-BN43)/BN43),0,(BJ43-BN43)/BN43)</f>
        <v>-0.96481879321149855</v>
      </c>
      <c r="BP43" s="99"/>
      <c r="BQ43" s="22">
        <v>80</v>
      </c>
      <c r="BR43" s="23">
        <f t="shared" si="183"/>
        <v>4.2500011066666668</v>
      </c>
      <c r="BS43" s="23">
        <f>IF((BQ43-BR43)&lt;0, "-", (BQ43-BR43))</f>
        <v>75.749998893333327</v>
      </c>
      <c r="BT43" s="80">
        <f t="shared" si="184"/>
        <v>0.05</v>
      </c>
      <c r="BU43" s="22">
        <f t="shared" si="185"/>
        <v>0</v>
      </c>
      <c r="BV43" s="22">
        <f t="shared" si="186"/>
        <v>56.513929835555551</v>
      </c>
      <c r="BW43" s="59">
        <f t="shared" ref="BW43" si="199">IF(ISERROR((BR43-BV43)/BV43),0,(BR43-BV43)/BV43)</f>
        <v>-0.92479728238624825</v>
      </c>
      <c r="BX43" s="183"/>
      <c r="BY43" s="22">
        <v>10</v>
      </c>
      <c r="BZ43" s="23">
        <f>IF(ISERROR(VLOOKUP($B43,[1]Hedef!$A$4:$ES$45409,71,0)),0,VLOOKUP($B43,[1]Hedef!$A$4:$ES$45409,71,0))</f>
        <v>5.7222222222222241</v>
      </c>
      <c r="CA43" s="23">
        <f>IF((BY43-BZ43)&lt;0, "-", (BY43-BZ43))</f>
        <v>4.2777777777777759</v>
      </c>
      <c r="CB43" s="80">
        <f t="shared" si="187"/>
        <v>0.56999999999999995</v>
      </c>
      <c r="CC43" s="32">
        <v>1.4166744133333395</v>
      </c>
      <c r="CD43" s="59">
        <f>IF(ISERROR((BZ43-CC43)/CC43),0,(BZ43-CC43)/CC43)</f>
        <v>3.0391935990134957</v>
      </c>
      <c r="CE43" s="99"/>
      <c r="CF43" s="22">
        <v>55</v>
      </c>
      <c r="CG43" s="23">
        <f>IF(ISERROR(VLOOKUP($B43,[1]Hedef!$A$4:$ES$45409,87,0)),0,VLOOKUP($B43,[1]Hedef!$A$4:$ES$45409,87,0))</f>
        <v>1.7638888888888891</v>
      </c>
      <c r="CH43" s="23">
        <f>IF((CF43-CG43)&lt;0, "-", (CF43-CG43))</f>
        <v>53.236111111111114</v>
      </c>
      <c r="CI43" s="80">
        <f t="shared" si="188"/>
        <v>0.03</v>
      </c>
      <c r="CJ43" s="32">
        <v>43.291695439999991</v>
      </c>
      <c r="CK43" s="59">
        <f>IF(ISERROR((CG43-CJ43)/CJ43),0,(CG43-CJ43)/CJ43)</f>
        <v>-0.95925572165835959</v>
      </c>
      <c r="CL43" s="99"/>
      <c r="CM43" s="22">
        <v>65</v>
      </c>
      <c r="CN43" s="23">
        <f>CG43+BZ43</f>
        <v>7.4861111111111134</v>
      </c>
      <c r="CO43" s="23">
        <f>IF((CM43-CN43)&lt;0, "-", (CM43-CN43))</f>
        <v>57.513888888888886</v>
      </c>
      <c r="CP43" s="80">
        <f t="shared" si="189"/>
        <v>0.11</v>
      </c>
      <c r="CQ43" s="123">
        <f>CM43-CF43-BY43</f>
        <v>0</v>
      </c>
      <c r="CR43" s="23">
        <f>+CJ43+CC43</f>
        <v>44.70836985333333</v>
      </c>
      <c r="CS43" s="59">
        <f>IF(ISERROR((CN43-CR43)/CR43),0,(CN43-CR43)/CR43)</f>
        <v>-0.83255683140160452</v>
      </c>
      <c r="CT43" s="82"/>
      <c r="CU43" s="22">
        <f>CM43+AC43+BQ43</f>
        <v>175</v>
      </c>
      <c r="CV43" s="23">
        <f>IF(ISERROR(VLOOKUP($B43,[1]Hedef!$A$4:$ES$45409,127,0)),0,VLOOKUP($B43,[1]Hedef!$A$4:$ES$45409,127,0))</f>
        <v>11.73611221777778</v>
      </c>
      <c r="CW43" s="159">
        <f>IF(ISERROR(VLOOKUP($B43,[1]Hedef!$A$4:$ES$45409,47,0)),0,VLOOKUP($B43,[1]Hedef!$A$4:$ES$45409,47,0))</f>
        <v>11.736112217777771</v>
      </c>
      <c r="CX43" s="23">
        <f>IF((CU43-CV43)&lt;0, "-", (CU43-CV43))</f>
        <v>163.26388778222221</v>
      </c>
      <c r="CY43" s="80">
        <f t="shared" si="190"/>
        <v>0.06</v>
      </c>
      <c r="CZ43" s="26"/>
      <c r="DA43" s="32">
        <v>120.63063966222222</v>
      </c>
      <c r="DB43" s="131">
        <f>+CR43+BV43+AH43</f>
        <v>120.63063966222221</v>
      </c>
      <c r="DC43" s="59">
        <f>IF(ISERROR((CV43-DA43)/DA43),0,(CV43-DA43)/DA43)</f>
        <v>-0.9027103540971011</v>
      </c>
      <c r="DD43" s="24"/>
      <c r="DE43" s="22">
        <v>175</v>
      </c>
      <c r="DF43" s="15">
        <f>DE43-CU43</f>
        <v>0</v>
      </c>
      <c r="DG43" s="99"/>
      <c r="DH43" s="92"/>
      <c r="DI43" s="24"/>
    </row>
    <row r="44" spans="1:113" ht="12.75" customHeight="1" thickBot="1" x14ac:dyDescent="0.25">
      <c r="A44" s="24"/>
      <c r="B44" s="31">
        <v>17</v>
      </c>
      <c r="C44" s="194" t="s">
        <v>61</v>
      </c>
      <c r="D44" s="102"/>
      <c r="E44" s="193">
        <v>75</v>
      </c>
      <c r="F44" s="23">
        <f>IF(ISERROR(VLOOKUP($B44,[1]Hedef!$A$4:$ES$45409,25,0)),0,VLOOKUP($B44,[1]Hedef!$A$4:$ES$45409,25,0))+IF(ISERROR(VLOOKUP($B44,[1]Hedef!$A$4:$ES$45409,15,0)),0,VLOOKUP($B44,[1]Hedef!$A$4:$ES$45409,15,0))</f>
        <v>8</v>
      </c>
      <c r="G44" s="23">
        <f>IF((E44-F44)&lt;0, "-", (E44-F44))</f>
        <v>67</v>
      </c>
      <c r="H44" s="80">
        <f t="shared" si="174"/>
        <v>0.1</v>
      </c>
      <c r="I44" s="24"/>
      <c r="J44" s="32">
        <v>58.416666666666671</v>
      </c>
      <c r="K44" s="59">
        <f t="shared" si="193"/>
        <v>-0.86305278174037092</v>
      </c>
      <c r="L44" s="24"/>
      <c r="M44" s="44">
        <v>57</v>
      </c>
      <c r="N44" s="23">
        <f>IF(ISERROR(VLOOKUP($B44,[1]Hedef!$A$4:$ES$45409,41,0)),0,VLOOKUP($B44,[1]Hedef!$A$4:$ES$45409,41,0))</f>
        <v>0.33333333333333298</v>
      </c>
      <c r="O44" s="23">
        <f>IF((M44-N44)&lt;0, "-", (M44-N44))</f>
        <v>56.666666666666664</v>
      </c>
      <c r="P44" s="80">
        <f t="shared" si="175"/>
        <v>0</v>
      </c>
      <c r="Q44" s="92"/>
      <c r="R44" s="32">
        <v>43.916666666666671</v>
      </c>
      <c r="S44" s="59">
        <f t="shared" si="85"/>
        <v>-0.99240986717267543</v>
      </c>
      <c r="T44" s="102"/>
      <c r="U44" s="22">
        <v>168</v>
      </c>
      <c r="V44" s="23">
        <f>IF(ISERROR(VLOOKUP($B44,[1]Hedef!$A$4:$ES$45409,45,0)),0,VLOOKUP($B44,[1]Hedef!$A$4:$ES$45409,45,0))+IF(ISERROR(VLOOKUP($B44,[1]Hedef!$A$4:$ES$45409,109,0)),0,VLOOKUP($B44,[1]Hedef!$A$4:$ES$45409,109,0))</f>
        <v>4</v>
      </c>
      <c r="W44" s="23">
        <f>IF((U44-V44)&lt;0, "-", (U44-V44))</f>
        <v>164</v>
      </c>
      <c r="X44" s="80">
        <f t="shared" si="176"/>
        <v>0.02</v>
      </c>
      <c r="Y44" s="24"/>
      <c r="Z44" s="32">
        <v>132.5</v>
      </c>
      <c r="AA44" s="59">
        <f t="shared" si="87"/>
        <v>-0.96981132075471699</v>
      </c>
      <c r="AB44" s="99"/>
      <c r="AC44" s="164">
        <v>300</v>
      </c>
      <c r="AD44" s="23">
        <f t="shared" si="177"/>
        <v>12.333333333333332</v>
      </c>
      <c r="AE44" s="23">
        <f>IF((AC44-AD44)&lt;0, "-", (AC44-AD44))</f>
        <v>287.66666666666669</v>
      </c>
      <c r="AF44" s="80">
        <f t="shared" si="178"/>
        <v>0.04</v>
      </c>
      <c r="AG44" s="22">
        <f>AC44-U44-M44-E44</f>
        <v>0</v>
      </c>
      <c r="AH44" s="44">
        <f t="shared" si="91"/>
        <v>234.83333333333337</v>
      </c>
      <c r="AI44" s="59">
        <f>IF(ISERROR((AD44-AH44)/AH44),0,(AD44-AH44)/AH44)</f>
        <v>-0.94748048261178142</v>
      </c>
      <c r="AJ44" s="24"/>
      <c r="AK44" s="22">
        <v>30</v>
      </c>
      <c r="AL44" s="23">
        <f>IF(ISERROR(VLOOKUP($B44,[1]Hedef!$A$4:$ES$45409,97,0)),0,VLOOKUP($B44,[1]Hedef!$A$4:$ES$45409,97,0))</f>
        <v>0</v>
      </c>
      <c r="AM44" s="23">
        <f>IF((AK44-AL44)&lt;0, "-", (AK44-AL44))</f>
        <v>30</v>
      </c>
      <c r="AN44" s="80">
        <f t="shared" si="179"/>
        <v>0</v>
      </c>
      <c r="AO44" s="24"/>
      <c r="AP44" s="32">
        <v>3</v>
      </c>
      <c r="AQ44" s="59">
        <f t="shared" si="196"/>
        <v>-1</v>
      </c>
      <c r="AR44" s="24"/>
      <c r="AS44" s="22">
        <v>30</v>
      </c>
      <c r="AT44" s="23">
        <f>IF(ISERROR(VLOOKUP($B44,[1]Hedef!$A$4:$ES$45409,57,0)),0,VLOOKUP($B44,[1]Hedef!$A$4:$ES$45409,57,0))</f>
        <v>0</v>
      </c>
      <c r="AU44" s="23">
        <f>IF((AS44-AT44)&lt;0, "-", (AS44-AT44))</f>
        <v>30</v>
      </c>
      <c r="AV44" s="80">
        <f t="shared" si="180"/>
        <v>0</v>
      </c>
      <c r="AW44" s="24"/>
      <c r="AX44" s="32">
        <v>25.833333333333321</v>
      </c>
      <c r="AY44" s="59">
        <f t="shared" si="96"/>
        <v>-1</v>
      </c>
      <c r="AZ44" s="92"/>
      <c r="BA44" s="22">
        <v>55</v>
      </c>
      <c r="BB44" s="23">
        <f>IF(ISERROR(VLOOKUP($B44,[1]Hedef!$A$4:$ES$45409,99,0)),0,VLOOKUP($B44,[1]Hedef!$A$4:$ES$45409,99,0))</f>
        <v>10</v>
      </c>
      <c r="BC44" s="23">
        <f>IF((BA44-BB44)&lt;0, "-", (BA44-BB44))</f>
        <v>45</v>
      </c>
      <c r="BD44" s="80">
        <f t="shared" si="181"/>
        <v>0.18</v>
      </c>
      <c r="BE44" s="24"/>
      <c r="BF44" s="32">
        <v>56.8333333333333</v>
      </c>
      <c r="BG44" s="59">
        <f>IF(ISERROR((BB44-BF44)/BF44),0,(BB44-BF44)/BF44)</f>
        <v>-0.8240469208211143</v>
      </c>
      <c r="BH44" s="24"/>
      <c r="BI44" s="22">
        <v>45</v>
      </c>
      <c r="BJ44" s="23">
        <f>IF(ISERROR(VLOOKUP($B44,[1]Hedef!$A$4:$ES$45409,117,0)),0,VLOOKUP($B44,[1]Hedef!$A$4:$ES$45409,117,0))</f>
        <v>0</v>
      </c>
      <c r="BK44" s="23">
        <f>IF((BI44-BJ44)&lt;0, "-", (BI44-BJ44))</f>
        <v>45</v>
      </c>
      <c r="BL44" s="80">
        <f t="shared" si="182"/>
        <v>0</v>
      </c>
      <c r="BM44" s="24"/>
      <c r="BN44" s="32">
        <v>36.083333333333293</v>
      </c>
      <c r="BO44" s="59">
        <f t="shared" si="100"/>
        <v>-1</v>
      </c>
      <c r="BP44" s="99"/>
      <c r="BQ44" s="22">
        <v>160</v>
      </c>
      <c r="BR44" s="23">
        <f t="shared" si="183"/>
        <v>10</v>
      </c>
      <c r="BS44" s="23">
        <f>IF((BQ44-BR44)&lt;0, "-", (BQ44-BR44))</f>
        <v>150</v>
      </c>
      <c r="BT44" s="80">
        <f t="shared" si="184"/>
        <v>0.06</v>
      </c>
      <c r="BU44" s="22">
        <f t="shared" si="185"/>
        <v>0</v>
      </c>
      <c r="BV44" s="22">
        <f t="shared" si="186"/>
        <v>121.74999999999991</v>
      </c>
      <c r="BW44" s="59">
        <f t="shared" si="105"/>
        <v>-0.91786447638603685</v>
      </c>
      <c r="BX44" s="183"/>
      <c r="BY44" s="22">
        <v>36</v>
      </c>
      <c r="BZ44" s="23">
        <f>IF(ISERROR(VLOOKUP($B44,[1]Hedef!$A$4:$ES$45409,71,0)),0,VLOOKUP($B44,[1]Hedef!$A$4:$ES$45409,71,0))</f>
        <v>6.166666666666667</v>
      </c>
      <c r="CA44" s="23">
        <f>IF((BY44-BZ44)&lt;0, "-", (BY44-BZ44))</f>
        <v>29.833333333333332</v>
      </c>
      <c r="CB44" s="80">
        <f t="shared" si="187"/>
        <v>0.17</v>
      </c>
      <c r="CC44" s="32">
        <v>26.833333333333339</v>
      </c>
      <c r="CD44" s="59">
        <f>IF(ISERROR((BZ44-CC44)/CC44),0,(BZ44-CC44)/CC44)</f>
        <v>-0.77018633540372672</v>
      </c>
      <c r="CE44" s="99"/>
      <c r="CF44" s="22">
        <v>164</v>
      </c>
      <c r="CG44" s="23">
        <f>IF(ISERROR(VLOOKUP($B44,[1]Hedef!$A$4:$ES$45409,87,0)),0,VLOOKUP($B44,[1]Hedef!$A$4:$ES$45409,87,0))</f>
        <v>0.58333333333333304</v>
      </c>
      <c r="CH44" s="23">
        <f>IF((CF44-CG44)&lt;0, "-", (CF44-CG44))</f>
        <v>163.41666666666666</v>
      </c>
      <c r="CI44" s="80">
        <f t="shared" si="188"/>
        <v>0</v>
      </c>
      <c r="CJ44" s="32">
        <v>122.62499999999987</v>
      </c>
      <c r="CK44" s="59">
        <f>IF(ISERROR((CG44-CJ44)/CJ44),0,(CG44-CJ44)/CJ44)</f>
        <v>-0.9952429493713898</v>
      </c>
      <c r="CL44" s="99"/>
      <c r="CM44" s="22">
        <v>200</v>
      </c>
      <c r="CN44" s="23">
        <f>CG44+BZ44</f>
        <v>6.75</v>
      </c>
      <c r="CO44" s="23">
        <f>IF((CM44-CN44)&lt;0, "-", (CM44-CN44))</f>
        <v>193.25</v>
      </c>
      <c r="CP44" s="80">
        <f t="shared" si="189"/>
        <v>0.03</v>
      </c>
      <c r="CQ44" s="123">
        <f>CM44-CF44-BY44</f>
        <v>0</v>
      </c>
      <c r="CR44" s="23">
        <f>+CJ44+CC44</f>
        <v>149.4583333333332</v>
      </c>
      <c r="CS44" s="59">
        <f>IF(ISERROR((CN44-CR44)/CR44),0,(CN44-CR44)/CR44)</f>
        <v>-0.9548369110677446</v>
      </c>
      <c r="CT44" s="82"/>
      <c r="CU44" s="22">
        <f>CM44+AC44+BQ44</f>
        <v>660</v>
      </c>
      <c r="CV44" s="23">
        <f>IF(ISERROR(VLOOKUP($B44,[1]Hedef!$A$4:$ES$45409,127,0)),0,VLOOKUP($B44,[1]Hedef!$A$4:$ES$45409,127,0))</f>
        <v>29.083333333333336</v>
      </c>
      <c r="CW44" s="159">
        <f>IF(ISERROR(VLOOKUP($B44,[1]Hedef!$A$4:$ES$45409,47,0)),0,VLOOKUP($B44,[1]Hedef!$A$4:$ES$45409,47,0))</f>
        <v>29.083333333333343</v>
      </c>
      <c r="CX44" s="23">
        <f>IF((CU44-CV44)&lt;0, "-", (CU44-CV44))</f>
        <v>630.91666666666663</v>
      </c>
      <c r="CY44" s="80">
        <f t="shared" si="190"/>
        <v>0.04</v>
      </c>
      <c r="CZ44" s="26"/>
      <c r="DA44" s="32">
        <v>506.04166666666629</v>
      </c>
      <c r="DB44" s="131">
        <f>+CR44+BV44+AH44</f>
        <v>506.04166666666652</v>
      </c>
      <c r="DC44" s="59">
        <f>IF(ISERROR((CV44-DA44)/DA44),0,(CV44-DA44)/DA44)</f>
        <v>-0.9425277892136682</v>
      </c>
      <c r="DD44" s="24"/>
      <c r="DE44" s="22">
        <v>660</v>
      </c>
      <c r="DF44" s="15">
        <f>DE44-CU44</f>
        <v>0</v>
      </c>
      <c r="DG44" s="99"/>
      <c r="DH44" s="92"/>
      <c r="DI44" s="24"/>
    </row>
    <row r="45" spans="1:113" ht="12.75" customHeight="1" thickTop="1" thickBot="1" x14ac:dyDescent="0.25">
      <c r="A45" s="42"/>
      <c r="B45" s="71" t="s">
        <v>53</v>
      </c>
      <c r="C45" s="195" t="s">
        <v>28</v>
      </c>
      <c r="D45" s="102"/>
      <c r="E45" s="188">
        <f>SUM(E40:E44)</f>
        <v>4637</v>
      </c>
      <c r="F45" s="41">
        <f>SUM(F40:F44)</f>
        <v>166</v>
      </c>
      <c r="G45" s="41">
        <f>SUM(G41:G44)</f>
        <v>1418</v>
      </c>
      <c r="H45" s="39">
        <f>TRUNC(IF((F45/E45)&gt;1.2,"120%",(F45/E45)),2)</f>
        <v>0.03</v>
      </c>
      <c r="I45" s="42"/>
      <c r="J45" s="67"/>
      <c r="K45" s="60"/>
      <c r="L45" s="24"/>
      <c r="M45" s="67">
        <f>SUM(M40:M44)</f>
        <v>2391</v>
      </c>
      <c r="N45" s="41">
        <f>SUM(N40:N44)</f>
        <v>73.333333333333329</v>
      </c>
      <c r="O45" s="41">
        <f>SUM(O41:O44)</f>
        <v>1517.6666666666667</v>
      </c>
      <c r="P45" s="39">
        <f>TRUNC(IF((N45/M45)&gt;1.2,"120%",(N45/M45)),2)</f>
        <v>0.03</v>
      </c>
      <c r="Q45" s="42"/>
      <c r="R45" s="115"/>
      <c r="S45" s="60"/>
      <c r="T45" s="116"/>
      <c r="U45" s="67">
        <f>SUM(U40:U44)</f>
        <v>5122</v>
      </c>
      <c r="V45" s="41">
        <f>SUM(V40:V44)</f>
        <v>276</v>
      </c>
      <c r="W45" s="41">
        <f>SUM(W41:W44)</f>
        <v>2033</v>
      </c>
      <c r="X45" s="39">
        <f>TRUNC(IF((V45/U45)&gt;1.2,"120%",(V45/U45)),2)</f>
        <v>0.05</v>
      </c>
      <c r="Y45" s="42"/>
      <c r="Z45" s="67"/>
      <c r="AA45" s="60"/>
      <c r="AB45" s="99"/>
      <c r="AC45" s="67">
        <f>SUM(AC40:AC44)</f>
        <v>12150</v>
      </c>
      <c r="AD45" s="41">
        <f>SUM(AD40:AD44)</f>
        <v>515.33333333333337</v>
      </c>
      <c r="AE45" s="41">
        <f>SUM(AE41:AE44)</f>
        <v>4968.666666666667</v>
      </c>
      <c r="AF45" s="39">
        <f>TRUNC(IF((AD45/AC45)&gt;1.2,"120%",(AD45/AC45)),2)</f>
        <v>0.04</v>
      </c>
      <c r="AG45" s="67"/>
      <c r="AH45" s="67"/>
      <c r="AI45" s="60"/>
      <c r="AJ45" s="24"/>
      <c r="AK45" s="67">
        <f>SUM(AK40:AK44)</f>
        <v>1861</v>
      </c>
      <c r="AL45" s="41">
        <f>SUM(AL40:AL44)</f>
        <v>0</v>
      </c>
      <c r="AM45" s="41">
        <f>SUM(AM41:AM44)</f>
        <v>1511</v>
      </c>
      <c r="AN45" s="39">
        <f>TRUNC(IF((AL45/AK45)&gt;1.2,"120%",(AL45/AK45)),2)</f>
        <v>0</v>
      </c>
      <c r="AO45" s="42"/>
      <c r="AP45" s="67"/>
      <c r="AQ45" s="60"/>
      <c r="AR45" s="24"/>
      <c r="AS45" s="67">
        <f>SUM(AS40:AS44)</f>
        <v>1757</v>
      </c>
      <c r="AT45" s="41">
        <f>SUM(AT40:AT44)</f>
        <v>52</v>
      </c>
      <c r="AU45" s="41">
        <f>SUM(AU41:AU44)</f>
        <v>1354</v>
      </c>
      <c r="AV45" s="39">
        <f>TRUNC(IF((AT45/AS45)&gt;1.2,"120%",(AT45/AS45)),2)</f>
        <v>0.02</v>
      </c>
      <c r="AW45" s="42"/>
      <c r="AX45" s="67"/>
      <c r="AY45" s="60"/>
      <c r="AZ45" s="24"/>
      <c r="BA45" s="67">
        <f>SUM(BA40:BA44)</f>
        <v>1493</v>
      </c>
      <c r="BB45" s="41">
        <f>SUM(BB40:BB44)</f>
        <v>206.79166777333333</v>
      </c>
      <c r="BC45" s="41">
        <f>SUM(BC41:BC44)</f>
        <v>929.2083322266667</v>
      </c>
      <c r="BD45" s="39">
        <f>TRUNC(IF((BB45/BA45)&gt;1.2,"120%",(BB45/BA45)),2)</f>
        <v>0.13</v>
      </c>
      <c r="BE45" s="42"/>
      <c r="BF45" s="67"/>
      <c r="BG45" s="60"/>
      <c r="BH45" s="24"/>
      <c r="BI45" s="67">
        <f>SUM(BI40:BI44)</f>
        <v>689</v>
      </c>
      <c r="BJ45" s="41">
        <f>SUM(BJ40:BJ44)</f>
        <v>41.458333333333336</v>
      </c>
      <c r="BK45" s="41">
        <f>SUM(BK41:BK44)</f>
        <v>508.54166666666669</v>
      </c>
      <c r="BL45" s="39">
        <f>TRUNC(IF((BJ45/BI45)&gt;1.2,"120%",(BJ45/BI45)),2)</f>
        <v>0.06</v>
      </c>
      <c r="BM45" s="42"/>
      <c r="BN45" s="67"/>
      <c r="BO45" s="60"/>
      <c r="BP45" s="99"/>
      <c r="BQ45" s="67">
        <f>SUM(BQ40:BQ44)</f>
        <v>5800</v>
      </c>
      <c r="BR45" s="41">
        <f>SUM(BR40:BR44)</f>
        <v>300.25000110666667</v>
      </c>
      <c r="BS45" s="41">
        <f>SUM(BS41:BS44)</f>
        <v>4302.7499988933332</v>
      </c>
      <c r="BT45" s="39">
        <f>TRUNC(IF((BR45/BQ45)&gt;1.2,"120%",(BR45/BQ45)),2)</f>
        <v>0.05</v>
      </c>
      <c r="BU45" s="41"/>
      <c r="BV45" s="67"/>
      <c r="BW45" s="60"/>
      <c r="BX45" s="183"/>
      <c r="BY45" s="67">
        <f>SUM(BY40:BY44)</f>
        <v>2331</v>
      </c>
      <c r="BZ45" s="41">
        <f>SUM(BZ40:BZ44)</f>
        <v>307.84722222222229</v>
      </c>
      <c r="CA45" s="41">
        <f>SUM(CA41:CA44)</f>
        <v>1481.5277777777776</v>
      </c>
      <c r="CB45" s="39">
        <f>TRUNC(IF((BZ45/BY45)&gt;1.2,"120%",(BZ45/BY45)),2)</f>
        <v>0.13</v>
      </c>
      <c r="CC45" s="67"/>
      <c r="CD45" s="60"/>
      <c r="CE45" s="99"/>
      <c r="CF45" s="67">
        <f>SUM(CF40:CF44)</f>
        <v>5404</v>
      </c>
      <c r="CG45" s="41">
        <f>SUM(CG40:CG44)</f>
        <v>256.23263888888891</v>
      </c>
      <c r="CH45" s="41">
        <f>SUM(CH41:CH44)</f>
        <v>3249.8923611111113</v>
      </c>
      <c r="CI45" s="39">
        <f>TRUNC(IF((CG45/CF45)&gt;1.2,"120%",(CG45/CF45)),2)</f>
        <v>0.04</v>
      </c>
      <c r="CJ45" s="41"/>
      <c r="CK45" s="60"/>
      <c r="CL45" s="99"/>
      <c r="CM45" s="67">
        <f>SUM(CM40:CM44)</f>
        <v>7735</v>
      </c>
      <c r="CN45" s="41">
        <f>SUM(CN40:CN44)</f>
        <v>564.07986111111109</v>
      </c>
      <c r="CO45" s="41">
        <f>SUM(CO41:CO44)</f>
        <v>4731.4201388888887</v>
      </c>
      <c r="CP45" s="39">
        <f>TRUNC(IF((CN45/CM45)&gt;1.2,"120%",(CN45/CM45)),2)</f>
        <v>7.0000000000000007E-2</v>
      </c>
      <c r="CQ45" s="41"/>
      <c r="CR45" s="67"/>
      <c r="CS45" s="60"/>
      <c r="CT45" s="83"/>
      <c r="CU45" s="41">
        <f>SUM(CU40:CU44)</f>
        <v>25685</v>
      </c>
      <c r="CV45" s="41">
        <f>SUM(CV40:CV44)</f>
        <v>1379.6631955511114</v>
      </c>
      <c r="CW45" s="161">
        <f>SUM(CW40:CW44)</f>
        <v>1379.6631955511109</v>
      </c>
      <c r="CX45" s="41">
        <f>SUM(CX41:CX44)</f>
        <v>14002.836804448889</v>
      </c>
      <c r="CY45" s="39">
        <f>TRUNC(IF((CV45/CU45)&gt;1.2,"120%",(CV45/CU45)),2)</f>
        <v>0.05</v>
      </c>
      <c r="CZ45" s="43"/>
      <c r="DA45" s="67"/>
      <c r="DB45" s="67"/>
      <c r="DC45" s="60"/>
      <c r="DD45" s="42"/>
      <c r="DE45" s="41">
        <f>SUM(DE40:DE44)</f>
        <v>25685</v>
      </c>
      <c r="DF45" s="8"/>
      <c r="DG45" s="99"/>
      <c r="DH45" s="92"/>
      <c r="DI45" s="42"/>
    </row>
    <row r="46" spans="1:113" ht="12.75" customHeight="1" thickTop="1" x14ac:dyDescent="0.2">
      <c r="A46" s="24"/>
      <c r="B46" s="31">
        <v>52</v>
      </c>
      <c r="C46" s="194" t="s">
        <v>68</v>
      </c>
      <c r="D46" s="102"/>
      <c r="E46" s="193">
        <v>7.9</v>
      </c>
      <c r="F46" s="23">
        <f>IF(ISERROR(VLOOKUP($B46,[1]Hedef!$A$4:$ES$45409,25,0)),0,VLOOKUP($B46,[1]Hedef!$A$4:$ES$45409,25,0))+IF(ISERROR(VLOOKUP($B46,[1]Hedef!$A$4:$ES$45409,15,0)),0,VLOOKUP($B46,[1]Hedef!$A$4:$ES$45409,15,0))</f>
        <v>0.42299999999999999</v>
      </c>
      <c r="G46" s="23">
        <f t="shared" ref="G46" si="200">IF((E46-F46)&lt;0, "-", (E46-F46))</f>
        <v>7.4770000000000003</v>
      </c>
      <c r="H46" s="80">
        <f t="shared" ref="H46:H56" si="201">TRUNC(IF((F46/E46)&gt;1.2,"120%",(F46/E46)),2)</f>
        <v>0.05</v>
      </c>
      <c r="I46" s="24"/>
      <c r="J46" s="32">
        <v>5.4830000000000005</v>
      </c>
      <c r="K46" s="59">
        <f t="shared" ref="K46" si="202">IF(ISERROR((F46-J46)/J46),0,(F46-J46)/J46)</f>
        <v>-0.92285245303665875</v>
      </c>
      <c r="L46" s="24"/>
      <c r="M46" s="44"/>
      <c r="N46" s="23">
        <f>IF(ISERROR(VLOOKUP($B46,[1]Hedef!$A$4:$ES$45409,41,0)),0,VLOOKUP($B46,[1]Hedef!$A$4:$ES$45409,41,0))</f>
        <v>0</v>
      </c>
      <c r="O46" s="23">
        <f t="shared" ref="O46:O56" si="203">IF((M46-N46)&lt;0, "-", (M46-N46))</f>
        <v>0</v>
      </c>
      <c r="P46" s="80"/>
      <c r="Q46" s="92"/>
      <c r="R46" s="32">
        <v>1.2500000000000001E-2</v>
      </c>
      <c r="S46" s="59">
        <f t="shared" si="85"/>
        <v>-1</v>
      </c>
      <c r="T46" s="102"/>
      <c r="U46" s="22"/>
      <c r="V46" s="23">
        <f>IF(ISERROR(VLOOKUP($B46,[1]Hedef!$A$4:$ES$45409,45,0)),0,VLOOKUP($B46,[1]Hedef!$A$4:$ES$45409,45,0))+IF(ISERROR(VLOOKUP($B46,[1]Hedef!$A$4:$ES$45409,109,0)),0,VLOOKUP($B46,[1]Hedef!$A$4:$ES$45409,109,0))</f>
        <v>2.4E-2</v>
      </c>
      <c r="W46" s="23" t="str">
        <f t="shared" ref="W46:W56" si="204">IF((U46-V46)&lt;0, "-", (U46-V46))</f>
        <v>-</v>
      </c>
      <c r="X46" s="80"/>
      <c r="Y46" s="24"/>
      <c r="Z46" s="32">
        <v>0</v>
      </c>
      <c r="AA46" s="59">
        <f t="shared" si="87"/>
        <v>0</v>
      </c>
      <c r="AB46" s="99"/>
      <c r="AC46" s="164">
        <v>7.9</v>
      </c>
      <c r="AD46" s="23">
        <f t="shared" ref="AD46:AD56" si="205">+N46+V46+F46</f>
        <v>0.44700000000000001</v>
      </c>
      <c r="AE46" s="23">
        <f>IF((AC46-AD46)&lt;0, "-", (AC46-AD46))</f>
        <v>7.4530000000000003</v>
      </c>
      <c r="AF46" s="80">
        <f t="shared" ref="AF46:AF56" si="206">TRUNC(IF((AD46/AC46)&gt;1.2,"120%",(AD46/AC46)),2)</f>
        <v>0.05</v>
      </c>
      <c r="AG46" s="22">
        <f t="shared" ref="AG46:AG56" si="207">AC46-U46-M46-E46</f>
        <v>0</v>
      </c>
      <c r="AH46" s="44">
        <f t="shared" si="91"/>
        <v>5.4955000000000007</v>
      </c>
      <c r="AI46" s="59">
        <f>IF(ISERROR((AD46-AH46)/AH46),0,(AD46-AH46)/AH46)</f>
        <v>-0.9186607224092439</v>
      </c>
      <c r="AJ46" s="92"/>
      <c r="AK46" s="22">
        <v>1.6</v>
      </c>
      <c r="AL46" s="23">
        <f>IF(ISERROR(VLOOKUP($B46,[1]Hedef!$A$4:$ES$45409,97,0)),0,VLOOKUP($B46,[1]Hedef!$A$4:$ES$45409,97,0))</f>
        <v>0.36</v>
      </c>
      <c r="AM46" s="23">
        <f t="shared" ref="AM46" si="208">IF((AK46-AL46)&lt;0, "-", (AK46-AL46))</f>
        <v>1.2400000000000002</v>
      </c>
      <c r="AN46" s="80">
        <f t="shared" ref="AN46:AN56" si="209">TRUNC(IF((AL46/AK46)&gt;1.2,"120%",(AL46/AK46)),2)</f>
        <v>0.22</v>
      </c>
      <c r="AO46" s="24"/>
      <c r="AP46" s="32">
        <v>1.1015999999999999</v>
      </c>
      <c r="AQ46" s="59">
        <f t="shared" ref="AQ46:AQ50" si="210">IF(ISERROR((AL46-AP46)/AP46),0,(AL46-AP46)/AP46)</f>
        <v>-0.67320261437908491</v>
      </c>
      <c r="AR46" s="24"/>
      <c r="AS46" s="22">
        <v>1</v>
      </c>
      <c r="AT46" s="23">
        <f>IF(ISERROR(VLOOKUP($B46,[1]Hedef!$A$4:$ES$45409,57,0)),0,VLOOKUP($B46,[1]Hedef!$A$4:$ES$45409,57,0))</f>
        <v>0.40800000000000003</v>
      </c>
      <c r="AU46" s="23">
        <f t="shared" ref="AU46:AU56" si="211">IF((AS46-AT46)&lt;0, "-", (AS46-AT46))</f>
        <v>0.59199999999999997</v>
      </c>
      <c r="AV46" s="80">
        <f t="shared" ref="AV46:AV56" si="212">TRUNC(IF((AT46/AS46)&gt;1.2,"120%",(AT46/AS46)),2)</f>
        <v>0.4</v>
      </c>
      <c r="AW46" s="24"/>
      <c r="AX46" s="32">
        <v>0.30099999999999999</v>
      </c>
      <c r="AY46" s="59">
        <f t="shared" si="96"/>
        <v>0.35548172757475099</v>
      </c>
      <c r="AZ46" s="92"/>
      <c r="BA46" s="22">
        <v>1.1000000000000001</v>
      </c>
      <c r="BB46" s="23">
        <f>IF(ISERROR(VLOOKUP($B46,[1]Hedef!$A$4:$ES$45409,99,0)),0,VLOOKUP($B46,[1]Hedef!$A$4:$ES$45409,99,0))</f>
        <v>0.23484000000000002</v>
      </c>
      <c r="BC46" s="23">
        <f>IF((BA46-BB46)&lt;0, "-", (BA46-BB46))</f>
        <v>0.86516000000000004</v>
      </c>
      <c r="BD46" s="80">
        <f t="shared" ref="BD46:BD56" si="213">TRUNC(IF((BB46/BA46)&gt;1.2,"120%",(BB46/BA46)),2)</f>
        <v>0.21</v>
      </c>
      <c r="BE46" s="24"/>
      <c r="BF46" s="32">
        <v>0.63983999999999996</v>
      </c>
      <c r="BG46" s="59">
        <f t="shared" ref="BG46:BG56" si="214">IF(ISERROR((BB46-BF46)/BF46),0,(BB46-BF46)/BF46)</f>
        <v>-0.63297074268567133</v>
      </c>
      <c r="BH46" s="24"/>
      <c r="BI46" s="22">
        <v>2.2999999999999998</v>
      </c>
      <c r="BJ46" s="23">
        <f>IF(ISERROR(VLOOKUP($B46,[1]Hedef!$A$4:$ES$45409,117,0)),0,VLOOKUP($B46,[1]Hedef!$A$4:$ES$45409,117,0))</f>
        <v>0.10042000000000001</v>
      </c>
      <c r="BK46" s="23">
        <f t="shared" ref="BK46:BK56" si="215">IF((BI46-BJ46)&lt;0, "-", (BI46-BJ46))</f>
        <v>2.1995799999999996</v>
      </c>
      <c r="BL46" s="80">
        <f t="shared" ref="BL46:BL56" si="216">TRUNC(IF((BJ46/BI46)&gt;1.2,"120%",(BJ46/BI46)),2)</f>
        <v>0.04</v>
      </c>
      <c r="BM46" s="24"/>
      <c r="BN46" s="32">
        <v>2.1554700000000002</v>
      </c>
      <c r="BO46" s="59">
        <f t="shared" si="100"/>
        <v>-0.95341155293277091</v>
      </c>
      <c r="BP46" s="99"/>
      <c r="BQ46" s="22">
        <v>6</v>
      </c>
      <c r="BR46" s="23">
        <f t="shared" ref="BR46:BR56" si="217">+BJ46+BB46+AT46+AL46</f>
        <v>1.1032600000000001</v>
      </c>
      <c r="BS46" s="23">
        <f t="shared" ref="BS46:BS56" si="218">IF((BQ46-BR46)&lt;0, "-", (BQ46-BR46))</f>
        <v>4.8967399999999994</v>
      </c>
      <c r="BT46" s="80">
        <f t="shared" ref="BT46:BT56" si="219">TRUNC(IF((BR46/BQ46)&gt;1.2,"120%",(BR46/BQ46)),2)</f>
        <v>0.18</v>
      </c>
      <c r="BU46" s="22">
        <f t="shared" ref="BU46:BU56" si="220">BQ46-BI46-BA46-AS46-AK46</f>
        <v>0</v>
      </c>
      <c r="BV46" s="22">
        <f t="shared" ref="BV46:BV56" si="221">+BN46+BF46+AX46+AP46</f>
        <v>4.1979100000000003</v>
      </c>
      <c r="BW46" s="59">
        <f t="shared" si="105"/>
        <v>-0.73718826749501531</v>
      </c>
      <c r="BX46" s="183"/>
      <c r="BY46" s="22">
        <v>2.62</v>
      </c>
      <c r="BZ46" s="23">
        <f>IF(ISERROR(VLOOKUP($B46,[1]Hedef!$A$4:$ES$45409,71,0)),0,VLOOKUP($B46,[1]Hedef!$A$4:$ES$45409,71,0))</f>
        <v>0.13</v>
      </c>
      <c r="CA46" s="23">
        <f>IF((BY46-BZ46)&lt;0, "-", (BY46-BZ46))</f>
        <v>2.4900000000000002</v>
      </c>
      <c r="CB46" s="80">
        <f t="shared" ref="CB46:CB56" si="222">TRUNC(IF((BZ46/BY46)&gt;1.2,"120%",(BZ46/BY46)),2)</f>
        <v>0.04</v>
      </c>
      <c r="CC46" s="32">
        <v>1.8394600000000001</v>
      </c>
      <c r="CD46" s="59">
        <f t="shared" ref="CD46:CD56" si="223">IF(ISERROR((BZ46-CC46)/CC46),0,(BZ46-CC46)/CC46)</f>
        <v>-0.92932708512280771</v>
      </c>
      <c r="CE46" s="99"/>
      <c r="CF46" s="22">
        <v>3.48</v>
      </c>
      <c r="CG46" s="23">
        <f>IF(ISERROR(VLOOKUP($B46,[1]Hedef!$A$4:$ES$45409,87,0)),0,VLOOKUP($B46,[1]Hedef!$A$4:$ES$45409,87,0))</f>
        <v>0.36047999999999997</v>
      </c>
      <c r="CH46" s="23">
        <f>IF((CF46-CG46)&lt;0, "-", (CF46-CG46))</f>
        <v>3.1195200000000001</v>
      </c>
      <c r="CI46" s="80">
        <f t="shared" ref="CI46:CI56" si="224">TRUNC(IF((CG46/CF46)&gt;1.2,"120%",(CG46/CF46)),2)</f>
        <v>0.1</v>
      </c>
      <c r="CJ46" s="32">
        <v>2.4232500000000003</v>
      </c>
      <c r="CK46" s="59">
        <f t="shared" ref="CK46:CK56" si="225">IF(ISERROR((CG46-CJ46)/CJ46),0,(CG46-CJ46)/CJ46)</f>
        <v>-0.85124110182606005</v>
      </c>
      <c r="CL46" s="99"/>
      <c r="CM46" s="22">
        <v>6.1</v>
      </c>
      <c r="CN46" s="23">
        <f t="shared" ref="CN46:CN56" si="226">CG46+BZ46</f>
        <v>0.49047999999999997</v>
      </c>
      <c r="CO46" s="23">
        <f t="shared" ref="CO46:CO56" si="227">IF((CM46-CN46)&lt;0, "-", (CM46-CN46))</f>
        <v>5.6095199999999998</v>
      </c>
      <c r="CP46" s="80">
        <f t="shared" ref="CP46:CP56" si="228">TRUNC(IF((CN46/CM46)&gt;1.2,"120%",(CN46/CM46)),2)</f>
        <v>0.08</v>
      </c>
      <c r="CQ46" s="123">
        <f t="shared" ref="CQ46:CQ56" si="229">CM46-CF46-BY46</f>
        <v>0</v>
      </c>
      <c r="CR46" s="23">
        <f t="shared" ref="CR46:CR56" si="230">+CJ46+CC46</f>
        <v>4.2627100000000002</v>
      </c>
      <c r="CS46" s="59">
        <f>IF(ISERROR((CN46-CR46)/CR46),0,(CN46-CR46)/CR46)</f>
        <v>-0.88493704708976217</v>
      </c>
      <c r="CT46" s="82"/>
      <c r="CU46" s="22">
        <f t="shared" ref="CU46:CU56" si="231">CM46+AC46+BQ46</f>
        <v>20</v>
      </c>
      <c r="CV46" s="23">
        <f>IF(ISERROR(VLOOKUP($B46,[1]Hedef!$A$4:$ES$45409,127,0)),0,VLOOKUP($B46,[1]Hedef!$A$4:$ES$45409,127,0))</f>
        <v>2.04074</v>
      </c>
      <c r="CW46" s="159">
        <f>IF(ISERROR(VLOOKUP($B46,[1]Hedef!$A$4:$ES$45409,47,0)),0,VLOOKUP($B46,[1]Hedef!$A$4:$ES$45409,47,0))</f>
        <v>2.04074</v>
      </c>
      <c r="CX46" s="23">
        <f t="shared" ref="CX46:CX56" si="232">IF((CU46-CV46)&lt;0, "-", (CU46-CV46))</f>
        <v>17.95926</v>
      </c>
      <c r="CY46" s="80">
        <f t="shared" ref="CY46:CY56" si="233">TRUNC(IF((CV46/CU46)&gt;1.2,"120%",(CV46/CU46)),2)</f>
        <v>0.1</v>
      </c>
      <c r="CZ46" s="26"/>
      <c r="DA46" s="32">
        <v>13.9595</v>
      </c>
      <c r="DB46" s="131">
        <f t="shared" ref="DB46:DB56" si="234">+CR46+BV46+AH46</f>
        <v>13.956120000000002</v>
      </c>
      <c r="DC46" s="59">
        <f t="shared" ref="DC46:DC56" si="235">IF(ISERROR((CV46-DA46)/DA46),0,(CV46-DA46)/DA46)</f>
        <v>-0.85380995021311656</v>
      </c>
      <c r="DD46" s="24"/>
      <c r="DE46" s="22">
        <v>20</v>
      </c>
      <c r="DF46" s="15">
        <f t="shared" ref="DF46:DF56" si="236">DE46-CU46</f>
        <v>0</v>
      </c>
      <c r="DG46" s="99"/>
      <c r="DH46" s="92"/>
      <c r="DI46" s="24"/>
    </row>
    <row r="47" spans="1:113" ht="12.75" customHeight="1" x14ac:dyDescent="0.2">
      <c r="A47" s="24"/>
      <c r="B47" s="31">
        <v>55</v>
      </c>
      <c r="C47" s="194" t="s">
        <v>69</v>
      </c>
      <c r="D47" s="102"/>
      <c r="E47" s="193">
        <v>0.36</v>
      </c>
      <c r="F47" s="23">
        <f>IF(ISERROR(VLOOKUP($B47,[1]Hedef!$A$4:$ES$45409,25,0)),0,VLOOKUP($B47,[1]Hedef!$A$4:$ES$45409,25,0))+IF(ISERROR(VLOOKUP($B47,[1]Hedef!$A$4:$ES$45409,15,0)),0,VLOOKUP($B47,[1]Hedef!$A$4:$ES$45409,15,0))</f>
        <v>4.02E-2</v>
      </c>
      <c r="G47" s="23">
        <f>IF((E47-F47)&lt;0, "-", (E47-F47))</f>
        <v>0.31979999999999997</v>
      </c>
      <c r="H47" s="80">
        <f t="shared" si="201"/>
        <v>0.11</v>
      </c>
      <c r="I47" s="24"/>
      <c r="J47" s="32">
        <v>0.25639999999999996</v>
      </c>
      <c r="K47" s="59">
        <f>IF(ISERROR((F47-J47)/J47),0,(F47-J47)/J47)</f>
        <v>-0.84321372854914189</v>
      </c>
      <c r="L47" s="24"/>
      <c r="M47" s="44">
        <v>0.52</v>
      </c>
      <c r="N47" s="23">
        <f>IF(ISERROR(VLOOKUP($B47,[1]Hedef!$A$4:$ES$45409,41,0)),0,VLOOKUP($B47,[1]Hedef!$A$4:$ES$45409,41,0))</f>
        <v>4.9759999999999999E-2</v>
      </c>
      <c r="O47" s="23">
        <f>IF((M47-N47)&lt;0, "-", (M47-N47))</f>
        <v>0.47023999999999999</v>
      </c>
      <c r="P47" s="80">
        <f t="shared" ref="P47:P56" si="237">TRUNC(IF((N47/M47)&gt;1.2,"120%",(N47/M47)),2)</f>
        <v>0.09</v>
      </c>
      <c r="Q47" s="92"/>
      <c r="R47" s="32">
        <v>0.37487999999999988</v>
      </c>
      <c r="S47" s="59">
        <f>IF(ISERROR((N47-R47)/R47),0,(N47-R47)/R47)</f>
        <v>-0.86726419120785303</v>
      </c>
      <c r="T47" s="102"/>
      <c r="U47" s="22">
        <v>2.4700000000000002</v>
      </c>
      <c r="V47" s="23">
        <f>IF(ISERROR(VLOOKUP($B47,[1]Hedef!$A$4:$ES$45409,45,0)),0,VLOOKUP($B47,[1]Hedef!$A$4:$ES$45409,45,0))+IF(ISERROR(VLOOKUP($B47,[1]Hedef!$A$4:$ES$45409,109,0)),0,VLOOKUP($B47,[1]Hedef!$A$4:$ES$45409,109,0))</f>
        <v>3.712E-2</v>
      </c>
      <c r="W47" s="23">
        <f>IF((U47-V47)&lt;0, "-", (U47-V47))</f>
        <v>2.4328800000000004</v>
      </c>
      <c r="X47" s="80">
        <f t="shared" ref="X47:X56" si="238">TRUNC(IF((V47/U47)&gt;1.2,"120%",(V47/U47)),2)</f>
        <v>0.01</v>
      </c>
      <c r="Y47" s="24"/>
      <c r="Z47" s="32">
        <v>1.7868000000000011</v>
      </c>
      <c r="AA47" s="59">
        <f t="shared" si="87"/>
        <v>-0.97922543093798964</v>
      </c>
      <c r="AB47" s="99"/>
      <c r="AC47" s="164">
        <v>3.35</v>
      </c>
      <c r="AD47" s="23">
        <f t="shared" si="205"/>
        <v>0.12708</v>
      </c>
      <c r="AE47" s="23">
        <f>IF((AC47-AD47)&lt;0, "-", (AC47-AD47))</f>
        <v>3.2229200000000002</v>
      </c>
      <c r="AF47" s="80">
        <f t="shared" si="206"/>
        <v>0.03</v>
      </c>
      <c r="AG47" s="22">
        <f t="shared" si="207"/>
        <v>0</v>
      </c>
      <c r="AH47" s="44">
        <f t="shared" si="91"/>
        <v>2.4180800000000007</v>
      </c>
      <c r="AI47" s="59">
        <f t="shared" ref="AI47:AI50" si="239">IF(ISERROR((AD47-AH47)/AH47),0,(AD47-AH47)/AH47)</f>
        <v>-0.94744590749685709</v>
      </c>
      <c r="AJ47" s="92"/>
      <c r="AK47" s="22">
        <v>0.17</v>
      </c>
      <c r="AL47" s="23">
        <f>IF(ISERROR(VLOOKUP($B47,[1]Hedef!$A$4:$ES$45409,97,0)),0,VLOOKUP($B47,[1]Hedef!$A$4:$ES$45409,97,0))</f>
        <v>0</v>
      </c>
      <c r="AM47" s="23">
        <f>IF((AK47-AL47)&lt;0, "-", (AK47-AL47))</f>
        <v>0.17</v>
      </c>
      <c r="AN47" s="80">
        <f t="shared" si="209"/>
        <v>0</v>
      </c>
      <c r="AO47" s="24"/>
      <c r="AP47" s="32">
        <v>0.128</v>
      </c>
      <c r="AQ47" s="59">
        <f t="shared" si="210"/>
        <v>-1</v>
      </c>
      <c r="AR47" s="24"/>
      <c r="AS47" s="22">
        <v>0.2</v>
      </c>
      <c r="AT47" s="23">
        <f>IF(ISERROR(VLOOKUP($B47,[1]Hedef!$A$4:$ES$45409,57,0)),0,VLOOKUP($B47,[1]Hedef!$A$4:$ES$45409,57,0))</f>
        <v>1.4500000000000001E-2</v>
      </c>
      <c r="AU47" s="23">
        <f>IF((AS47-AT47)&lt;0, "-", (AS47-AT47))</f>
        <v>0.1855</v>
      </c>
      <c r="AV47" s="80">
        <f t="shared" si="212"/>
        <v>7.0000000000000007E-2</v>
      </c>
      <c r="AW47" s="24"/>
      <c r="AX47" s="32">
        <v>0.13908000000000001</v>
      </c>
      <c r="AY47" s="59">
        <f t="shared" si="96"/>
        <v>-0.89574345700316371</v>
      </c>
      <c r="AZ47" s="92"/>
      <c r="BA47" s="22">
        <v>0.24</v>
      </c>
      <c r="BB47" s="23">
        <f>IF(ISERROR(VLOOKUP($B47,[1]Hedef!$A$4:$ES$45409,99,0)),0,VLOOKUP($B47,[1]Hedef!$A$4:$ES$45409,99,0))</f>
        <v>3.576E-2</v>
      </c>
      <c r="BC47" s="23">
        <f>IF((BA47-BB47)&lt;0, "-", (BA47-BB47))</f>
        <v>0.20423999999999998</v>
      </c>
      <c r="BD47" s="80">
        <f t="shared" si="213"/>
        <v>0.14000000000000001</v>
      </c>
      <c r="BE47" s="24"/>
      <c r="BF47" s="32">
        <v>0.17691999999999999</v>
      </c>
      <c r="BG47" s="59">
        <f>IF(ISERROR((BB47-BF47)/BF47),0,(BB47-BF47)/BF47)</f>
        <v>-0.79787474564775052</v>
      </c>
      <c r="BH47" s="24"/>
      <c r="BI47" s="22">
        <v>0.37</v>
      </c>
      <c r="BJ47" s="23">
        <f>IF(ISERROR(VLOOKUP($B47,[1]Hedef!$A$4:$ES$45409,117,0)),0,VLOOKUP($B47,[1]Hedef!$A$4:$ES$45409,117,0))</f>
        <v>5.7540000000000001E-2</v>
      </c>
      <c r="BK47" s="23">
        <f>IF((BI47-BJ47)&lt;0, "-", (BI47-BJ47))</f>
        <v>0.31246000000000002</v>
      </c>
      <c r="BL47" s="80">
        <f t="shared" si="216"/>
        <v>0.15</v>
      </c>
      <c r="BM47" s="24"/>
      <c r="BN47" s="32">
        <v>0.28300000000000003</v>
      </c>
      <c r="BO47" s="59">
        <f>IF(ISERROR((BJ47-BN47)/BN47),0,(BJ47-BN47)/BN47)</f>
        <v>-0.79667844522968201</v>
      </c>
      <c r="BP47" s="99"/>
      <c r="BQ47" s="22">
        <v>0.98</v>
      </c>
      <c r="BR47" s="23">
        <f t="shared" si="217"/>
        <v>0.10779999999999999</v>
      </c>
      <c r="BS47" s="23">
        <f>IF((BQ47-BR47)&lt;0, "-", (BQ47-BR47))</f>
        <v>0.87219999999999998</v>
      </c>
      <c r="BT47" s="80">
        <f t="shared" si="219"/>
        <v>0.11</v>
      </c>
      <c r="BU47" s="22">
        <f t="shared" si="220"/>
        <v>0</v>
      </c>
      <c r="BV47" s="22">
        <f t="shared" si="221"/>
        <v>0.72699999999999998</v>
      </c>
      <c r="BW47" s="59">
        <f>IF(ISERROR((BR47-BV47)/BV47),0,(BR47-BV47)/BV47)</f>
        <v>-0.85171939477303993</v>
      </c>
      <c r="BX47" s="183"/>
      <c r="BY47" s="22">
        <v>1.47</v>
      </c>
      <c r="BZ47" s="23">
        <f>IF(ISERROR(VLOOKUP($B47,[1]Hedef!$A$4:$ES$45409,71,0)),0,VLOOKUP($B47,[1]Hedef!$A$4:$ES$45409,71,0))</f>
        <v>0.12388</v>
      </c>
      <c r="CA47" s="23">
        <f>IF((BY47-BZ47)&lt;0, "-", (BY47-BZ47))</f>
        <v>1.34612</v>
      </c>
      <c r="CB47" s="80">
        <f t="shared" si="222"/>
        <v>0.08</v>
      </c>
      <c r="CC47" s="32">
        <v>1.061440000000001</v>
      </c>
      <c r="CD47" s="59">
        <f t="shared" si="223"/>
        <v>-0.88329062405788372</v>
      </c>
      <c r="CE47" s="99"/>
      <c r="CF47" s="22">
        <v>0.83</v>
      </c>
      <c r="CG47" s="23">
        <f>IF(ISERROR(VLOOKUP($B47,[1]Hedef!$A$4:$ES$45409,87,0)),0,VLOOKUP($B47,[1]Hedef!$A$4:$ES$45409,87,0))</f>
        <v>3.7199999999999997E-2</v>
      </c>
      <c r="CH47" s="23">
        <f>IF((CF47-CG47)&lt;0, "-", (CF47-CG47))</f>
        <v>0.79279999999999995</v>
      </c>
      <c r="CI47" s="80">
        <f t="shared" si="224"/>
        <v>0.04</v>
      </c>
      <c r="CJ47" s="32">
        <v>0.59838000000000002</v>
      </c>
      <c r="CK47" s="59">
        <f t="shared" si="225"/>
        <v>-0.93783214679635007</v>
      </c>
      <c r="CL47" s="99"/>
      <c r="CM47" s="22">
        <v>2.2999999999999998</v>
      </c>
      <c r="CN47" s="23">
        <f t="shared" si="226"/>
        <v>0.16108</v>
      </c>
      <c r="CO47" s="23">
        <f>IF((CM47-CN47)&lt;0, "-", (CM47-CN47))</f>
        <v>2.1389199999999997</v>
      </c>
      <c r="CP47" s="80">
        <f t="shared" si="228"/>
        <v>7.0000000000000007E-2</v>
      </c>
      <c r="CQ47" s="123">
        <f t="shared" si="229"/>
        <v>0</v>
      </c>
      <c r="CR47" s="23">
        <f t="shared" si="230"/>
        <v>1.6598200000000012</v>
      </c>
      <c r="CS47" s="59">
        <f t="shared" ref="CS47:CS56" si="240">IF(ISERROR((CN47-CR47)/CR47),0,(CN47-CR47)/CR47)</f>
        <v>-0.9029533322890434</v>
      </c>
      <c r="CT47" s="82"/>
      <c r="CU47" s="22">
        <f t="shared" si="231"/>
        <v>6.6300000000000008</v>
      </c>
      <c r="CV47" s="23">
        <f>IF(ISERROR(VLOOKUP($B47,[1]Hedef!$A$4:$ES$45409,127,0)),0,VLOOKUP($B47,[1]Hedef!$A$4:$ES$45409,127,0))</f>
        <v>0.39596000000000003</v>
      </c>
      <c r="CW47" s="159">
        <f>IF(ISERROR(VLOOKUP($B47,[1]Hedef!$A$4:$ES$45409,47,0)),0,VLOOKUP($B47,[1]Hedef!$A$4:$ES$45409,47,0))</f>
        <v>0.39595999999999998</v>
      </c>
      <c r="CX47" s="23">
        <f>IF((CU47-CV47)&lt;0, "-", (CU47-CV47))</f>
        <v>6.2340400000000011</v>
      </c>
      <c r="CY47" s="80">
        <f t="shared" si="233"/>
        <v>0.05</v>
      </c>
      <c r="CZ47" s="26"/>
      <c r="DA47" s="32">
        <v>4.8055399999999695</v>
      </c>
      <c r="DB47" s="131">
        <f t="shared" si="234"/>
        <v>4.8049000000000017</v>
      </c>
      <c r="DC47" s="59">
        <f>IF(ISERROR((CV47-DA47)/DA47),0,(CV47-DA47)/DA47)</f>
        <v>-0.91760343270475286</v>
      </c>
      <c r="DD47" s="24"/>
      <c r="DE47" s="22">
        <v>6.63</v>
      </c>
      <c r="DF47" s="15">
        <f t="shared" si="236"/>
        <v>0</v>
      </c>
      <c r="DG47" s="99"/>
      <c r="DH47" s="92"/>
      <c r="DI47" s="24"/>
    </row>
    <row r="48" spans="1:113" ht="12.75" customHeight="1" x14ac:dyDescent="0.2">
      <c r="A48" s="24"/>
      <c r="B48" s="31">
        <v>61</v>
      </c>
      <c r="C48" s="194" t="s">
        <v>46</v>
      </c>
      <c r="D48" s="102"/>
      <c r="E48" s="193">
        <v>0.9</v>
      </c>
      <c r="F48" s="23">
        <f>IF(ISERROR(VLOOKUP($B48,[1]Hedef!$A$4:$ES$45409,25,0)),0,VLOOKUP($B48,[1]Hedef!$A$4:$ES$45409,25,0))+IF(ISERROR(VLOOKUP($B48,[1]Hedef!$A$4:$ES$45409,15,0)),0,VLOOKUP($B48,[1]Hedef!$A$4:$ES$45409,15,0))</f>
        <v>2.5000000000000001E-2</v>
      </c>
      <c r="G48" s="23">
        <f t="shared" ref="G48" si="241">IF((E48-F48)&lt;0, "-", (E48-F48))</f>
        <v>0.875</v>
      </c>
      <c r="H48" s="80">
        <f t="shared" si="201"/>
        <v>0.02</v>
      </c>
      <c r="I48" s="24"/>
      <c r="J48" s="32">
        <v>0.72500000000000009</v>
      </c>
      <c r="K48" s="59">
        <f t="shared" ref="K48:K56" si="242">IF(ISERROR((F48-J48)/J48),0,(F48-J48)/J48)</f>
        <v>-0.96551724137931028</v>
      </c>
      <c r="L48" s="24"/>
      <c r="M48" s="44"/>
      <c r="N48" s="23">
        <f>IF(ISERROR(VLOOKUP($B48,[1]Hedef!$A$4:$ES$45409,41,0)),0,VLOOKUP($B48,[1]Hedef!$A$4:$ES$45409,41,0))</f>
        <v>0</v>
      </c>
      <c r="O48" s="23">
        <f t="shared" si="203"/>
        <v>0</v>
      </c>
      <c r="P48" s="80"/>
      <c r="Q48" s="92"/>
      <c r="R48" s="32">
        <v>0</v>
      </c>
      <c r="S48" s="59">
        <f t="shared" si="85"/>
        <v>0</v>
      </c>
      <c r="T48" s="102"/>
      <c r="U48" s="22"/>
      <c r="V48" s="23">
        <f>IF(ISERROR(VLOOKUP($B48,[1]Hedef!$A$4:$ES$45409,45,0)),0,VLOOKUP($B48,[1]Hedef!$A$4:$ES$45409,45,0))+IF(ISERROR(VLOOKUP($B48,[1]Hedef!$A$4:$ES$45409,109,0)),0,VLOOKUP($B48,[1]Hedef!$A$4:$ES$45409,109,0))</f>
        <v>0</v>
      </c>
      <c r="W48" s="23">
        <f t="shared" si="204"/>
        <v>0</v>
      </c>
      <c r="X48" s="80"/>
      <c r="Y48" s="24"/>
      <c r="Z48" s="32">
        <v>0</v>
      </c>
      <c r="AA48" s="59">
        <f t="shared" si="87"/>
        <v>0</v>
      </c>
      <c r="AB48" s="99"/>
      <c r="AC48" s="164">
        <v>0.9</v>
      </c>
      <c r="AD48" s="23">
        <f t="shared" si="205"/>
        <v>2.5000000000000001E-2</v>
      </c>
      <c r="AE48" s="23">
        <f>IF((AC48-AD48)&lt;0, "-", (AC48-AD48))</f>
        <v>0.875</v>
      </c>
      <c r="AF48" s="80">
        <f t="shared" si="206"/>
        <v>0.02</v>
      </c>
      <c r="AG48" s="22">
        <f t="shared" si="207"/>
        <v>0</v>
      </c>
      <c r="AH48" s="44">
        <f t="shared" si="91"/>
        <v>0.72500000000000009</v>
      </c>
      <c r="AI48" s="59">
        <f t="shared" si="239"/>
        <v>-0.96551724137931028</v>
      </c>
      <c r="AJ48" s="92"/>
      <c r="AK48" s="22">
        <v>0.06</v>
      </c>
      <c r="AL48" s="23">
        <f>IF(ISERROR(VLOOKUP($B48,[1]Hedef!$A$4:$ES$45409,97,0)),0,VLOOKUP($B48,[1]Hedef!$A$4:$ES$45409,97,0))</f>
        <v>0</v>
      </c>
      <c r="AM48" s="23">
        <f t="shared" ref="AM48" si="243">IF((AK48-AL48)&lt;0, "-", (AK48-AL48))</f>
        <v>0.06</v>
      </c>
      <c r="AN48" s="80">
        <f t="shared" si="209"/>
        <v>0</v>
      </c>
      <c r="AO48" s="24"/>
      <c r="AP48" s="32">
        <v>0.05</v>
      </c>
      <c r="AQ48" s="59">
        <f t="shared" si="210"/>
        <v>-1</v>
      </c>
      <c r="AR48" s="24"/>
      <c r="AS48" s="22">
        <v>0.06</v>
      </c>
      <c r="AT48" s="23">
        <f>IF(ISERROR(VLOOKUP($B48,[1]Hedef!$A$4:$ES$45409,57,0)),0,VLOOKUP($B48,[1]Hedef!$A$4:$ES$45409,57,0))</f>
        <v>0</v>
      </c>
      <c r="AU48" s="23">
        <f t="shared" si="211"/>
        <v>0.06</v>
      </c>
      <c r="AV48" s="80"/>
      <c r="AW48" s="24"/>
      <c r="AX48" s="32">
        <v>0.05</v>
      </c>
      <c r="AY48" s="59">
        <f t="shared" si="96"/>
        <v>-1</v>
      </c>
      <c r="AZ48" s="92"/>
      <c r="BA48" s="22">
        <v>0.06</v>
      </c>
      <c r="BB48" s="23">
        <f>IF(ISERROR(VLOOKUP($B48,[1]Hedef!$A$4:$ES$45409,99,0)),0,VLOOKUP($B48,[1]Hedef!$A$4:$ES$45409,99,0))</f>
        <v>0</v>
      </c>
      <c r="BC48" s="23">
        <f>IF((BA48-BB48)&lt;0, "-", (BA48-BB48))</f>
        <v>0.06</v>
      </c>
      <c r="BD48" s="80">
        <f t="shared" si="213"/>
        <v>0</v>
      </c>
      <c r="BE48" s="24"/>
      <c r="BF48" s="32">
        <v>0.05</v>
      </c>
      <c r="BG48" s="59">
        <f t="shared" si="214"/>
        <v>-1</v>
      </c>
      <c r="BH48" s="24"/>
      <c r="BI48" s="22">
        <v>7.0000000000000007E-2</v>
      </c>
      <c r="BJ48" s="23">
        <f>IF(ISERROR(VLOOKUP($B48,[1]Hedef!$A$4:$ES$45409,117,0)),0,VLOOKUP($B48,[1]Hedef!$A$4:$ES$45409,117,0))</f>
        <v>0</v>
      </c>
      <c r="BK48" s="23">
        <f t="shared" si="215"/>
        <v>7.0000000000000007E-2</v>
      </c>
      <c r="BL48" s="80">
        <f t="shared" si="216"/>
        <v>0</v>
      </c>
      <c r="BM48" s="24"/>
      <c r="BN48" s="32">
        <v>0.05</v>
      </c>
      <c r="BO48" s="59">
        <f t="shared" si="100"/>
        <v>-1</v>
      </c>
      <c r="BP48" s="99"/>
      <c r="BQ48" s="22">
        <v>0.25</v>
      </c>
      <c r="BR48" s="23">
        <f t="shared" si="217"/>
        <v>0</v>
      </c>
      <c r="BS48" s="23">
        <f t="shared" si="218"/>
        <v>0.25</v>
      </c>
      <c r="BT48" s="80">
        <f t="shared" si="219"/>
        <v>0</v>
      </c>
      <c r="BU48" s="85">
        <f t="shared" si="220"/>
        <v>0</v>
      </c>
      <c r="BV48" s="22">
        <f t="shared" si="221"/>
        <v>0.2</v>
      </c>
      <c r="BW48" s="59">
        <f t="shared" si="105"/>
        <v>-1</v>
      </c>
      <c r="BX48" s="183"/>
      <c r="BY48" s="22">
        <v>0.53</v>
      </c>
      <c r="BZ48" s="23">
        <f>IF(ISERROR(VLOOKUP($B48,[1]Hedef!$A$4:$ES$45409,71,0)),0,VLOOKUP($B48,[1]Hedef!$A$4:$ES$45409,71,0))</f>
        <v>2.5000000000000001E-2</v>
      </c>
      <c r="CA48" s="23">
        <f>IF((BY48-BZ48)&lt;0, "-", (BY48-BZ48))</f>
        <v>0.505</v>
      </c>
      <c r="CB48" s="80">
        <f t="shared" si="222"/>
        <v>0.04</v>
      </c>
      <c r="CC48" s="32">
        <v>0.4</v>
      </c>
      <c r="CD48" s="59">
        <f t="shared" si="223"/>
        <v>-0.9375</v>
      </c>
      <c r="CE48" s="99"/>
      <c r="CF48" s="22">
        <v>0.32</v>
      </c>
      <c r="CG48" s="23">
        <f>IF(ISERROR(VLOOKUP($B48,[1]Hedef!$A$4:$ES$45409,87,0)),0,VLOOKUP($B48,[1]Hedef!$A$4:$ES$45409,87,0))</f>
        <v>0</v>
      </c>
      <c r="CH48" s="23">
        <f>IF((CF48-CG48)&lt;0, "-", (CF48-CG48))</f>
        <v>0.32</v>
      </c>
      <c r="CI48" s="80">
        <f t="shared" si="224"/>
        <v>0</v>
      </c>
      <c r="CJ48" s="32">
        <v>0.25</v>
      </c>
      <c r="CK48" s="59">
        <f t="shared" si="225"/>
        <v>-1</v>
      </c>
      <c r="CL48" s="99"/>
      <c r="CM48" s="22">
        <v>0.85</v>
      </c>
      <c r="CN48" s="23">
        <f t="shared" si="226"/>
        <v>2.5000000000000001E-2</v>
      </c>
      <c r="CO48" s="23">
        <f t="shared" si="227"/>
        <v>0.82499999999999996</v>
      </c>
      <c r="CP48" s="80">
        <f t="shared" si="228"/>
        <v>0.02</v>
      </c>
      <c r="CQ48" s="123">
        <f t="shared" si="229"/>
        <v>0</v>
      </c>
      <c r="CR48" s="23">
        <f t="shared" si="230"/>
        <v>0.65</v>
      </c>
      <c r="CS48" s="59">
        <f t="shared" si="240"/>
        <v>-0.96153846153846145</v>
      </c>
      <c r="CT48" s="82"/>
      <c r="CU48" s="22">
        <f t="shared" si="231"/>
        <v>2</v>
      </c>
      <c r="CV48" s="23">
        <f>IF(ISERROR(VLOOKUP($B48,[1]Hedef!$A$4:$ES$45409,127,0)),0,VLOOKUP($B48,[1]Hedef!$A$4:$ES$45409,127,0))</f>
        <v>0.05</v>
      </c>
      <c r="CW48" s="159">
        <f>IF(ISERROR(VLOOKUP($B48,[1]Hedef!$A$4:$ES$45409,47,0)),0,VLOOKUP($B48,[1]Hedef!$A$4:$ES$45409,47,0))</f>
        <v>0.15</v>
      </c>
      <c r="CX48" s="23">
        <f t="shared" si="232"/>
        <v>1.95</v>
      </c>
      <c r="CY48" s="80">
        <f t="shared" si="233"/>
        <v>0.02</v>
      </c>
      <c r="CZ48" s="26"/>
      <c r="DA48" s="32">
        <v>1.5750000000000002</v>
      </c>
      <c r="DB48" s="131">
        <f t="shared" si="234"/>
        <v>1.5750000000000002</v>
      </c>
      <c r="DC48" s="59">
        <f t="shared" si="235"/>
        <v>-0.96825396825396826</v>
      </c>
      <c r="DD48" s="24"/>
      <c r="DE48" s="22">
        <v>2</v>
      </c>
      <c r="DF48" s="132">
        <f t="shared" si="236"/>
        <v>0</v>
      </c>
      <c r="DG48" s="99"/>
      <c r="DH48" s="92"/>
      <c r="DI48" s="24"/>
    </row>
    <row r="49" spans="1:113" ht="12.75" customHeight="1" x14ac:dyDescent="0.2">
      <c r="A49" s="24">
        <v>2.5</v>
      </c>
      <c r="B49" s="31">
        <v>27</v>
      </c>
      <c r="C49" s="194" t="s">
        <v>158</v>
      </c>
      <c r="D49" s="102"/>
      <c r="E49" s="193">
        <v>0.5</v>
      </c>
      <c r="F49" s="23">
        <f>IF(ISERROR(VLOOKUP($B49,[1]Hedef!$A$4:$ES$45409,25,0)),0,VLOOKUP($B49,[1]Hedef!$A$4:$ES$45409,25,0))+IF(ISERROR(VLOOKUP($B49,[1]Hedef!$A$4:$ES$45409,15,0)),0,VLOOKUP($B49,[1]Hedef!$A$4:$ES$45409,15,0))</f>
        <v>0</v>
      </c>
      <c r="G49" s="23">
        <f>IF((E49-F49)&lt;0, "-", (E49-F49))</f>
        <v>0.5</v>
      </c>
      <c r="H49" s="80">
        <f t="shared" si="201"/>
        <v>0</v>
      </c>
      <c r="I49" s="24"/>
      <c r="J49" s="32">
        <v>0.42500000000000004</v>
      </c>
      <c r="K49" s="59">
        <f t="shared" si="242"/>
        <v>-1</v>
      </c>
      <c r="L49" s="24"/>
      <c r="M49" s="44"/>
      <c r="N49" s="23">
        <f>IF(ISERROR(VLOOKUP($B49,[1]Hedef!$A$4:$ES$45409,41,0)),0,VLOOKUP($B49,[1]Hedef!$A$4:$ES$45409,41,0))</f>
        <v>0</v>
      </c>
      <c r="O49" s="23">
        <f>IF((M49-N49)&lt;0, "-", (M49-N49))</f>
        <v>0</v>
      </c>
      <c r="P49" s="80"/>
      <c r="Q49" s="92"/>
      <c r="R49" s="32">
        <v>0</v>
      </c>
      <c r="S49" s="59">
        <f t="shared" si="85"/>
        <v>0</v>
      </c>
      <c r="T49" s="102"/>
      <c r="U49" s="22"/>
      <c r="V49" s="23">
        <f>IF(ISERROR(VLOOKUP($B49,[1]Hedef!$A$4:$ES$45409,45,0)),0,VLOOKUP($B49,[1]Hedef!$A$4:$ES$45409,45,0))+IF(ISERROR(VLOOKUP($B49,[1]Hedef!$A$4:$ES$45409,109,0)),0,VLOOKUP($B49,[1]Hedef!$A$4:$ES$45409,109,0))</f>
        <v>0</v>
      </c>
      <c r="W49" s="23">
        <f>IF((U49-V49)&lt;0, "-", (U49-V49))</f>
        <v>0</v>
      </c>
      <c r="X49" s="80"/>
      <c r="Y49" s="24"/>
      <c r="Z49" s="32">
        <v>0</v>
      </c>
      <c r="AA49" s="59">
        <f t="shared" si="87"/>
        <v>0</v>
      </c>
      <c r="AB49" s="99"/>
      <c r="AC49" s="165">
        <v>0.5</v>
      </c>
      <c r="AD49" s="23">
        <f t="shared" si="205"/>
        <v>0</v>
      </c>
      <c r="AE49" s="23">
        <f t="shared" ref="AE49:AE56" si="244">IF((AC49-AD49)&lt;0, "-", (AC49-AD49))</f>
        <v>0.5</v>
      </c>
      <c r="AF49" s="80">
        <f t="shared" si="206"/>
        <v>0</v>
      </c>
      <c r="AG49" s="22">
        <f t="shared" si="207"/>
        <v>0</v>
      </c>
      <c r="AH49" s="44">
        <f t="shared" si="91"/>
        <v>0.42500000000000004</v>
      </c>
      <c r="AI49" s="59">
        <f t="shared" si="239"/>
        <v>-1</v>
      </c>
      <c r="AJ49" s="24"/>
      <c r="AK49" s="22"/>
      <c r="AL49" s="23">
        <f>IF(ISERROR(VLOOKUP($B49,[1]Hedef!$A$4:$ES$45409,97,0)),0,VLOOKUP($B49,[1]Hedef!$A$4:$ES$45409,97,0))</f>
        <v>0</v>
      </c>
      <c r="AM49" s="23">
        <f>IF((AK49-AL49)&lt;0, "-", (AK49-AL49))</f>
        <v>0</v>
      </c>
      <c r="AN49" s="80" t="e">
        <f t="shared" si="209"/>
        <v>#DIV/0!</v>
      </c>
      <c r="AO49" s="24"/>
      <c r="AP49" s="32">
        <v>0</v>
      </c>
      <c r="AQ49" s="59">
        <f t="shared" si="210"/>
        <v>0</v>
      </c>
      <c r="AR49" s="24"/>
      <c r="AS49" s="22"/>
      <c r="AT49" s="23">
        <f>IF(ISERROR(VLOOKUP($B49,[1]Hedef!$A$4:$ES$45409,57,0)),0,VLOOKUP($B49,[1]Hedef!$A$4:$ES$45409,57,0))</f>
        <v>0</v>
      </c>
      <c r="AU49" s="23">
        <f>IF((AS49-AT49)&lt;0, "-", (AS49-AT49))</f>
        <v>0</v>
      </c>
      <c r="AV49" s="80"/>
      <c r="AW49" s="24"/>
      <c r="AX49" s="32">
        <v>0</v>
      </c>
      <c r="AY49" s="59">
        <f t="shared" si="96"/>
        <v>0</v>
      </c>
      <c r="AZ49" s="92"/>
      <c r="BA49" s="22"/>
      <c r="BB49" s="23">
        <f>IF(ISERROR(VLOOKUP($B49,[1]Hedef!$A$4:$ES$45409,99,0)),0,VLOOKUP($B49,[1]Hedef!$A$4:$ES$45409,99,0))</f>
        <v>0</v>
      </c>
      <c r="BC49" s="23">
        <f t="shared" ref="BC49:BC56" si="245">IF((BA49-BB49)&lt;0, "-", (BA49-BB49))</f>
        <v>0</v>
      </c>
      <c r="BD49" s="80" t="e">
        <f t="shared" si="213"/>
        <v>#DIV/0!</v>
      </c>
      <c r="BE49" s="24"/>
      <c r="BF49" s="32">
        <v>0</v>
      </c>
      <c r="BG49" s="59">
        <f t="shared" si="214"/>
        <v>0</v>
      </c>
      <c r="BH49" s="24"/>
      <c r="BI49" s="22"/>
      <c r="BJ49" s="23">
        <f>IF(ISERROR(VLOOKUP($B49,[1]Hedef!$A$4:$ES$45409,117,0)),0,VLOOKUP($B49,[1]Hedef!$A$4:$ES$45409,117,0))</f>
        <v>0</v>
      </c>
      <c r="BK49" s="23">
        <f>IF((BI49-BJ49)&lt;0, "-", (BI49-BJ49))</f>
        <v>0</v>
      </c>
      <c r="BL49" s="80"/>
      <c r="BM49" s="24"/>
      <c r="BN49" s="32">
        <v>0</v>
      </c>
      <c r="BO49" s="59">
        <f>IF(ISERROR((BJ49-BN49)/BN49),0,(BJ49-BN49)/BN49)</f>
        <v>0</v>
      </c>
      <c r="BP49" s="99"/>
      <c r="BQ49" s="22">
        <v>0.2</v>
      </c>
      <c r="BR49" s="23">
        <f t="shared" si="217"/>
        <v>0</v>
      </c>
      <c r="BS49" s="23">
        <f>IF((BQ49-BR49)&lt;0, "-", (BQ49-BR49))</f>
        <v>0.2</v>
      </c>
      <c r="BT49" s="80">
        <f t="shared" si="219"/>
        <v>0</v>
      </c>
      <c r="BU49" s="22">
        <f t="shared" si="220"/>
        <v>0.2</v>
      </c>
      <c r="BV49" s="22">
        <f t="shared" si="221"/>
        <v>0</v>
      </c>
      <c r="BW49" s="59">
        <f t="shared" si="105"/>
        <v>0</v>
      </c>
      <c r="BX49" s="183"/>
      <c r="BY49" s="22">
        <v>0.05</v>
      </c>
      <c r="BZ49" s="23">
        <f>IF(ISERROR(VLOOKUP($B49,[1]Hedef!$A$4:$ES$45409,71,0)),0,VLOOKUP($B49,[1]Hedef!$A$4:$ES$45409,71,0))</f>
        <v>2.5000000000000001E-2</v>
      </c>
      <c r="CA49" s="23">
        <f t="shared" ref="CA49:CA56" si="246">IF((BY49-BZ49)&lt;0, "-", (BY49-BZ49))</f>
        <v>2.5000000000000001E-2</v>
      </c>
      <c r="CB49" s="80">
        <f t="shared" si="222"/>
        <v>0.5</v>
      </c>
      <c r="CC49" s="32">
        <v>-2.5000000000000001E-2</v>
      </c>
      <c r="CD49" s="59">
        <f t="shared" si="223"/>
        <v>-2</v>
      </c>
      <c r="CE49" s="99"/>
      <c r="CF49" s="22"/>
      <c r="CG49" s="23">
        <f>IF(ISERROR(VLOOKUP($B49,[1]Hedef!$A$4:$ES$45409,87,0)),0,VLOOKUP($B49,[1]Hedef!$A$4:$ES$45409,87,0))</f>
        <v>0</v>
      </c>
      <c r="CH49" s="23">
        <f t="shared" ref="CH49:CH56" si="247">IF((CF49-CG49)&lt;0, "-", (CF49-CG49))</f>
        <v>0</v>
      </c>
      <c r="CI49" s="80"/>
      <c r="CJ49" s="32">
        <v>0.05</v>
      </c>
      <c r="CK49" s="59">
        <f t="shared" si="225"/>
        <v>-1</v>
      </c>
      <c r="CL49" s="99"/>
      <c r="CM49" s="22">
        <v>0.3</v>
      </c>
      <c r="CN49" s="23">
        <f t="shared" si="226"/>
        <v>2.5000000000000001E-2</v>
      </c>
      <c r="CO49" s="23">
        <f>IF((CM49-CN49)&lt;0, "-", (CM49-CN49))</f>
        <v>0.27499999999999997</v>
      </c>
      <c r="CP49" s="80">
        <f t="shared" si="228"/>
        <v>0.08</v>
      </c>
      <c r="CQ49" s="123">
        <f t="shared" si="229"/>
        <v>0.25</v>
      </c>
      <c r="CR49" s="23">
        <f t="shared" si="230"/>
        <v>2.5000000000000001E-2</v>
      </c>
      <c r="CS49" s="59">
        <f t="shared" si="240"/>
        <v>0</v>
      </c>
      <c r="CT49" s="82"/>
      <c r="CU49" s="22">
        <f t="shared" si="231"/>
        <v>1</v>
      </c>
      <c r="CV49" s="23">
        <f>IF(ISERROR(VLOOKUP($B49,[1]Hedef!$A$4:$ES$45409,127,0)),0,VLOOKUP($B49,[1]Hedef!$A$4:$ES$45409,127,0))</f>
        <v>2.5000000000000001E-2</v>
      </c>
      <c r="CW49" s="159">
        <f>IF(ISERROR(VLOOKUP($B49,[1]Hedef!$A$4:$ES$45409,47,0)),0,VLOOKUP($B49,[1]Hedef!$A$4:$ES$45409,47,0))</f>
        <v>2.5000000000000001E-2</v>
      </c>
      <c r="CX49" s="23">
        <f>IF((CU49-CV49)&lt;0, "-", (CU49-CV49))</f>
        <v>0.97499999999999998</v>
      </c>
      <c r="CY49" s="80">
        <f t="shared" si="233"/>
        <v>0.02</v>
      </c>
      <c r="CZ49" s="26"/>
      <c r="DA49" s="32">
        <v>0.45</v>
      </c>
      <c r="DB49" s="131">
        <f t="shared" si="234"/>
        <v>0.45000000000000007</v>
      </c>
      <c r="DC49" s="59">
        <f>IF(ISERROR((CV49-DA49)/DA49),0,(CV49-DA49)/DA49)</f>
        <v>-0.94444444444444442</v>
      </c>
      <c r="DD49" s="24"/>
      <c r="DE49" s="22">
        <v>1</v>
      </c>
      <c r="DF49" s="15">
        <f t="shared" si="236"/>
        <v>0</v>
      </c>
      <c r="DG49" s="99"/>
      <c r="DH49" s="92"/>
      <c r="DI49" s="24"/>
    </row>
    <row r="50" spans="1:113" ht="12.75" customHeight="1" x14ac:dyDescent="0.2">
      <c r="A50" s="24">
        <v>2.5</v>
      </c>
      <c r="B50" s="31">
        <v>71</v>
      </c>
      <c r="C50" s="194" t="s">
        <v>64</v>
      </c>
      <c r="D50" s="102"/>
      <c r="E50" s="193">
        <v>0.12</v>
      </c>
      <c r="F50" s="23">
        <f>IF(ISERROR(VLOOKUP($B50,[1]Hedef!$A$4:$ES$45409,25,0)),0,VLOOKUP($B50,[1]Hedef!$A$4:$ES$45409,25,0))+IF(ISERROR(VLOOKUP($B50,[1]Hedef!$A$4:$ES$45409,15,0)),0,VLOOKUP($B50,[1]Hedef!$A$4:$ES$45409,15,0))</f>
        <v>2.019E-2</v>
      </c>
      <c r="G50" s="23">
        <f>IF((E50-F50)&lt;0, "-", (E50-F50))</f>
        <v>9.9809999999999996E-2</v>
      </c>
      <c r="H50" s="80">
        <f t="shared" si="201"/>
        <v>0.16</v>
      </c>
      <c r="I50" s="24"/>
      <c r="J50" s="32">
        <v>5.2499999999999998E-2</v>
      </c>
      <c r="K50" s="59">
        <f t="shared" si="242"/>
        <v>-0.61542857142857144</v>
      </c>
      <c r="L50" s="24"/>
      <c r="M50" s="44">
        <v>1.1499999999999999</v>
      </c>
      <c r="N50" s="23">
        <f>IF(ISERROR(VLOOKUP($B50,[1]Hedef!$A$4:$ES$45409,41,0)),0,VLOOKUP($B50,[1]Hedef!$A$4:$ES$45409,41,0))</f>
        <v>3.2000000000000001E-2</v>
      </c>
      <c r="O50" s="23">
        <f>IF((M50-N50)&lt;0, "-", (M50-N50))</f>
        <v>1.1179999999999999</v>
      </c>
      <c r="P50" s="80">
        <f t="shared" si="237"/>
        <v>0.02</v>
      </c>
      <c r="Q50" s="92"/>
      <c r="R50" s="32">
        <v>0.48783999999999994</v>
      </c>
      <c r="S50" s="59">
        <f t="shared" si="85"/>
        <v>-0.93440472285995402</v>
      </c>
      <c r="T50" s="102"/>
      <c r="U50" s="22">
        <v>1.98</v>
      </c>
      <c r="V50" s="23">
        <f>IF(ISERROR(VLOOKUP($B50,[1]Hedef!$A$4:$ES$45409,45,0)),0,VLOOKUP($B50,[1]Hedef!$A$4:$ES$45409,45,0))+IF(ISERROR(VLOOKUP($B50,[1]Hedef!$A$4:$ES$45409,109,0)),0,VLOOKUP($B50,[1]Hedef!$A$4:$ES$45409,109,0))</f>
        <v>0.11850000000000002</v>
      </c>
      <c r="W50" s="23">
        <f>IF((U50-V50)&lt;0, "-", (U50-V50))</f>
        <v>1.8614999999999999</v>
      </c>
      <c r="X50" s="80">
        <f t="shared" si="238"/>
        <v>0.05</v>
      </c>
      <c r="Y50" s="24"/>
      <c r="Z50" s="32">
        <v>0.85232000000000008</v>
      </c>
      <c r="AA50" s="59">
        <f t="shared" si="87"/>
        <v>-0.86096771165759334</v>
      </c>
      <c r="AB50" s="99"/>
      <c r="AC50" s="164">
        <v>3.25</v>
      </c>
      <c r="AD50" s="23">
        <f t="shared" si="205"/>
        <v>0.17069000000000001</v>
      </c>
      <c r="AE50" s="23">
        <f t="shared" si="244"/>
        <v>3.07931</v>
      </c>
      <c r="AF50" s="80">
        <f t="shared" si="206"/>
        <v>0.05</v>
      </c>
      <c r="AG50" s="22">
        <f t="shared" si="207"/>
        <v>1.1102230246251565E-16</v>
      </c>
      <c r="AH50" s="44">
        <f t="shared" si="91"/>
        <v>1.39266</v>
      </c>
      <c r="AI50" s="59">
        <f t="shared" si="239"/>
        <v>-0.87743598581132509</v>
      </c>
      <c r="AJ50" s="24"/>
      <c r="AK50" s="22">
        <v>0.35</v>
      </c>
      <c r="AL50" s="23">
        <f>IF(ISERROR(VLOOKUP($B50,[1]Hedef!$A$4:$ES$45409,97,0)),0,VLOOKUP($B50,[1]Hedef!$A$4:$ES$45409,97,0))</f>
        <v>7.1250000000000008E-2</v>
      </c>
      <c r="AM50" s="23">
        <f>IF((AK50-AL50)&lt;0, "-", (AK50-AL50))</f>
        <v>0.27874999999999994</v>
      </c>
      <c r="AN50" s="80">
        <f t="shared" si="209"/>
        <v>0.2</v>
      </c>
      <c r="AO50" s="24"/>
      <c r="AP50" s="32">
        <v>0.14874999999999999</v>
      </c>
      <c r="AQ50" s="59">
        <f t="shared" si="210"/>
        <v>-0.52100840336134446</v>
      </c>
      <c r="AR50" s="24"/>
      <c r="AS50" s="22">
        <v>0.4</v>
      </c>
      <c r="AT50" s="23">
        <f>IF(ISERROR(VLOOKUP($B50,[1]Hedef!$A$4:$ES$45409,57,0)),0,VLOOKUP($B50,[1]Hedef!$A$4:$ES$45409,57,0))</f>
        <v>5.2000000000000005E-2</v>
      </c>
      <c r="AU50" s="23">
        <f>IF((AS50-AT50)&lt;0, "-", (AS50-AT50))</f>
        <v>0.34800000000000003</v>
      </c>
      <c r="AV50" s="80">
        <f t="shared" si="212"/>
        <v>0.13</v>
      </c>
      <c r="AW50" s="24"/>
      <c r="AX50" s="32">
        <v>0.16978499999999999</v>
      </c>
      <c r="AY50" s="59">
        <f t="shared" si="96"/>
        <v>-0.69373030597520391</v>
      </c>
      <c r="AZ50" s="92"/>
      <c r="BA50" s="22">
        <v>0.56000000000000005</v>
      </c>
      <c r="BB50" s="23">
        <f>IF(ISERROR(VLOOKUP($B50,[1]Hedef!$A$4:$ES$45409,99,0)),0,VLOOKUP($B50,[1]Hedef!$A$4:$ES$45409,99,0))</f>
        <v>0.125</v>
      </c>
      <c r="BC50" s="23">
        <f t="shared" si="245"/>
        <v>0.43500000000000005</v>
      </c>
      <c r="BD50" s="80">
        <f t="shared" si="213"/>
        <v>0.22</v>
      </c>
      <c r="BE50" s="24"/>
      <c r="BF50" s="32">
        <v>0.24135000000000001</v>
      </c>
      <c r="BG50" s="59">
        <f t="shared" si="214"/>
        <v>-0.48207996685311788</v>
      </c>
      <c r="BH50" s="24"/>
      <c r="BI50" s="22">
        <v>0.28999999999999998</v>
      </c>
      <c r="BJ50" s="23">
        <f>IF(ISERROR(VLOOKUP($B50,[1]Hedef!$A$4:$ES$45409,117,0)),0,VLOOKUP($B50,[1]Hedef!$A$4:$ES$45409,117,0))</f>
        <v>6.2E-2</v>
      </c>
      <c r="BK50" s="23">
        <f>IF((BI50-BJ50)&lt;0, "-", (BI50-BJ50))</f>
        <v>0.22799999999999998</v>
      </c>
      <c r="BL50" s="80">
        <f t="shared" si="216"/>
        <v>0.21</v>
      </c>
      <c r="BM50" s="24"/>
      <c r="BN50" s="32">
        <v>0.126335</v>
      </c>
      <c r="BO50" s="59">
        <f>IF(ISERROR((BJ50-BN50)/BN50),0,(BJ50-BN50)/BN50)</f>
        <v>-0.50924130288518621</v>
      </c>
      <c r="BP50" s="99"/>
      <c r="BQ50" s="22">
        <v>1.6</v>
      </c>
      <c r="BR50" s="23">
        <f t="shared" si="217"/>
        <v>0.31025000000000003</v>
      </c>
      <c r="BS50" s="23">
        <f>IF((BQ50-BR50)&lt;0, "-", (BQ50-BR50))</f>
        <v>1.2897500000000002</v>
      </c>
      <c r="BT50" s="80">
        <f t="shared" si="219"/>
        <v>0.19</v>
      </c>
      <c r="BU50" s="22">
        <f t="shared" si="220"/>
        <v>0</v>
      </c>
      <c r="BV50" s="22">
        <f t="shared" si="221"/>
        <v>0.68622000000000005</v>
      </c>
      <c r="BW50" s="59">
        <f t="shared" si="105"/>
        <v>-0.54788551776398242</v>
      </c>
      <c r="BX50" s="183"/>
      <c r="BY50" s="22">
        <v>0.77</v>
      </c>
      <c r="BZ50" s="23">
        <f>IF(ISERROR(VLOOKUP($B50,[1]Hedef!$A$4:$ES$45409,71,0)),0,VLOOKUP($B50,[1]Hedef!$A$4:$ES$45409,71,0))</f>
        <v>0.16559499999999999</v>
      </c>
      <c r="CA50" s="23">
        <f t="shared" si="246"/>
        <v>0.60440500000000008</v>
      </c>
      <c r="CB50" s="80">
        <f t="shared" si="222"/>
        <v>0.21</v>
      </c>
      <c r="CC50" s="32">
        <v>0.32429000000000002</v>
      </c>
      <c r="CD50" s="59">
        <f t="shared" si="223"/>
        <v>-0.48936137407875674</v>
      </c>
      <c r="CE50" s="99"/>
      <c r="CF50" s="22">
        <v>1.38</v>
      </c>
      <c r="CG50" s="23">
        <f>IF(ISERROR(VLOOKUP($B50,[1]Hedef!$A$4:$ES$45409,87,0)),0,VLOOKUP($B50,[1]Hedef!$A$4:$ES$45409,87,0))</f>
        <v>0.10903499999999999</v>
      </c>
      <c r="CH50" s="23">
        <f t="shared" si="247"/>
        <v>1.2709649999999999</v>
      </c>
      <c r="CI50" s="80">
        <f t="shared" si="224"/>
        <v>7.0000000000000007E-2</v>
      </c>
      <c r="CJ50" s="32">
        <v>0.60175000000000001</v>
      </c>
      <c r="CK50" s="59">
        <f t="shared" si="225"/>
        <v>-0.81880348982135442</v>
      </c>
      <c r="CL50" s="99"/>
      <c r="CM50" s="22">
        <v>2.15</v>
      </c>
      <c r="CN50" s="23">
        <f t="shared" si="226"/>
        <v>0.27462999999999999</v>
      </c>
      <c r="CO50" s="23">
        <f>IF((CM50-CN50)&lt;0, "-", (CM50-CN50))</f>
        <v>1.87537</v>
      </c>
      <c r="CP50" s="80">
        <f t="shared" si="228"/>
        <v>0.12</v>
      </c>
      <c r="CQ50" s="123">
        <f t="shared" si="229"/>
        <v>0</v>
      </c>
      <c r="CR50" s="23">
        <f t="shared" si="230"/>
        <v>0.92603999999999997</v>
      </c>
      <c r="CS50" s="59">
        <f t="shared" si="240"/>
        <v>-0.70343613666796256</v>
      </c>
      <c r="CT50" s="82"/>
      <c r="CU50" s="22">
        <f t="shared" si="231"/>
        <v>7</v>
      </c>
      <c r="CV50" s="23">
        <f>IF(ISERROR(VLOOKUP($B50,[1]Hedef!$A$4:$ES$45409,127,0)),0,VLOOKUP($B50,[1]Hedef!$A$4:$ES$45409,127,0))</f>
        <v>0.75557000000000007</v>
      </c>
      <c r="CW50" s="159">
        <f>IF(ISERROR(VLOOKUP($B50,[1]Hedef!$A$4:$ES$45409,47,0)),0,VLOOKUP($B50,[1]Hedef!$A$4:$ES$45409,47,0))</f>
        <v>0.75556999999999996</v>
      </c>
      <c r="CX50" s="23">
        <f>IF((CU50-CV50)&lt;0, "-", (CU50-CV50))</f>
        <v>6.2444299999999995</v>
      </c>
      <c r="CY50" s="80">
        <f t="shared" si="233"/>
        <v>0.1</v>
      </c>
      <c r="CZ50" s="26"/>
      <c r="DA50" s="32">
        <v>3.0386100000000003</v>
      </c>
      <c r="DB50" s="131">
        <f t="shared" si="234"/>
        <v>3.0049200000000003</v>
      </c>
      <c r="DC50" s="59">
        <f>IF(ISERROR((CV50-DA50)/DA50),0,(CV50-DA50)/DA50)</f>
        <v>-0.75134354194845665</v>
      </c>
      <c r="DD50" s="24"/>
      <c r="DE50" s="22">
        <v>7</v>
      </c>
      <c r="DF50" s="15">
        <f t="shared" si="236"/>
        <v>0</v>
      </c>
      <c r="DG50" s="99"/>
      <c r="DH50" s="92"/>
      <c r="DI50" s="24"/>
    </row>
    <row r="51" spans="1:113" ht="12.75" customHeight="1" x14ac:dyDescent="0.2">
      <c r="A51" s="24">
        <v>2.5</v>
      </c>
      <c r="B51" s="31">
        <v>111</v>
      </c>
      <c r="C51" s="194" t="s">
        <v>121</v>
      </c>
      <c r="D51" s="102"/>
      <c r="E51" s="193">
        <v>0.3</v>
      </c>
      <c r="F51" s="23">
        <f>IF(ISERROR(VLOOKUP($B51,[1]Hedef!$A$4:$ES$45409,25,0)),0,VLOOKUP($B51,[1]Hedef!$A$4:$ES$45409,25,0))+IF(ISERROR(VLOOKUP($B51,[1]Hedef!$A$4:$ES$45409,15,0)),0,VLOOKUP($B51,[1]Hedef!$A$4:$ES$45409,15,0))</f>
        <v>8.9999999999999993E-3</v>
      </c>
      <c r="G51" s="23">
        <f>IF((E51-F51)&lt;0, "-", (E51-F51))</f>
        <v>0.29099999999999998</v>
      </c>
      <c r="H51" s="80">
        <f t="shared" si="201"/>
        <v>0.03</v>
      </c>
      <c r="I51" s="24"/>
      <c r="J51" s="32">
        <v>0.16389999999999999</v>
      </c>
      <c r="K51" s="59">
        <f t="shared" si="242"/>
        <v>-0.94508846857840145</v>
      </c>
      <c r="L51" s="24"/>
      <c r="M51" s="44">
        <v>2.2999999999999998</v>
      </c>
      <c r="N51" s="23">
        <f>IF(ISERROR(VLOOKUP($B51,[1]Hedef!$A$4:$ES$45409,41,0)),0,VLOOKUP($B51,[1]Hedef!$A$4:$ES$45409,41,0))</f>
        <v>7.893E-2</v>
      </c>
      <c r="O51" s="23">
        <f>IF((M51-N51)&lt;0, "-", (M51-N51))</f>
        <v>2.2210699999999997</v>
      </c>
      <c r="P51" s="80">
        <f t="shared" si="237"/>
        <v>0.03</v>
      </c>
      <c r="Q51" s="92"/>
      <c r="R51" s="32">
        <v>1.2425950000000001</v>
      </c>
      <c r="S51" s="59">
        <f t="shared" si="85"/>
        <v>-0.93647970577702311</v>
      </c>
      <c r="T51" s="102"/>
      <c r="U51" s="22">
        <v>6.9</v>
      </c>
      <c r="V51" s="23">
        <f>IF(ISERROR(VLOOKUP($B51,[1]Hedef!$A$4:$ES$45409,45,0)),0,VLOOKUP($B51,[1]Hedef!$A$4:$ES$45409,45,0))+IF(ISERROR(VLOOKUP($B51,[1]Hedef!$A$4:$ES$45409,109,0)),0,VLOOKUP($B51,[1]Hedef!$A$4:$ES$45409,109,0))</f>
        <v>0.24668000000000004</v>
      </c>
      <c r="W51" s="23">
        <f>IF((U51-V51)&lt;0, "-", (U51-V51))</f>
        <v>6.6533199999999999</v>
      </c>
      <c r="X51" s="80">
        <f t="shared" si="238"/>
        <v>0.03</v>
      </c>
      <c r="Y51" s="24"/>
      <c r="Z51" s="32">
        <v>3.7814100000000002</v>
      </c>
      <c r="AA51" s="59">
        <f t="shared" si="87"/>
        <v>-0.93476507440346324</v>
      </c>
      <c r="AB51" s="99"/>
      <c r="AC51" s="164">
        <v>9.5</v>
      </c>
      <c r="AD51" s="23">
        <f t="shared" si="205"/>
        <v>0.33461000000000007</v>
      </c>
      <c r="AE51" s="23">
        <f>IF((AC51-AD51)&lt;0, "-", (AC51-AD51))</f>
        <v>9.1653900000000004</v>
      </c>
      <c r="AF51" s="80">
        <f t="shared" si="206"/>
        <v>0.03</v>
      </c>
      <c r="AG51" s="22">
        <f t="shared" si="207"/>
        <v>0</v>
      </c>
      <c r="AH51" s="44">
        <f t="shared" si="91"/>
        <v>5.1879050000000007</v>
      </c>
      <c r="AI51" s="59">
        <f>IF(ISERROR((AD51-AH51)/AH51),0,(AD51-AH51)/AH51)</f>
        <v>-0.93550190298395985</v>
      </c>
      <c r="AJ51" s="92"/>
      <c r="AK51" s="22">
        <v>0.83</v>
      </c>
      <c r="AL51" s="23">
        <f>IF(ISERROR(VLOOKUP($B51,[1]Hedef!$A$4:$ES$45409,97,0)),0,VLOOKUP($B51,[1]Hedef!$A$4:$ES$45409,97,0))</f>
        <v>0</v>
      </c>
      <c r="AM51" s="23">
        <f>IF((AK51-AL51)&lt;0, "-", (AK51-AL51))</f>
        <v>0.83</v>
      </c>
      <c r="AN51" s="80">
        <f t="shared" si="209"/>
        <v>0</v>
      </c>
      <c r="AO51" s="24"/>
      <c r="AP51" s="32">
        <v>0.4521</v>
      </c>
      <c r="AQ51" s="59">
        <f>IF(ISERROR((AL51-AP51)/AP51),0,(AL51-AP51)/AP51)</f>
        <v>-1</v>
      </c>
      <c r="AR51" s="24"/>
      <c r="AS51" s="22">
        <v>1.42</v>
      </c>
      <c r="AT51" s="23">
        <f>IF(ISERROR(VLOOKUP($B51,[1]Hedef!$A$4:$ES$45409,57,0)),0,VLOOKUP($B51,[1]Hedef!$A$4:$ES$45409,57,0))</f>
        <v>7.7405000000000002E-2</v>
      </c>
      <c r="AU51" s="23">
        <f>IF((AS51-AT51)&lt;0, "-", (AS51-AT51))</f>
        <v>1.342595</v>
      </c>
      <c r="AV51" s="80">
        <f t="shared" si="212"/>
        <v>0.05</v>
      </c>
      <c r="AW51" s="24"/>
      <c r="AX51" s="32">
        <v>0.77188999999999997</v>
      </c>
      <c r="AY51" s="59">
        <f>IF(ISERROR((AT51-AX51)/AX51),0,(AT51-AX51)/AX51)</f>
        <v>-0.89972016738136273</v>
      </c>
      <c r="AZ51" s="92"/>
      <c r="BA51" s="22">
        <v>1.4</v>
      </c>
      <c r="BB51" s="23">
        <f>IF(ISERROR(VLOOKUP($B51,[1]Hedef!$A$4:$ES$45409,99,0)),0,VLOOKUP($B51,[1]Hedef!$A$4:$ES$45409,99,0))</f>
        <v>0.10272499999999998</v>
      </c>
      <c r="BC51" s="23">
        <f t="shared" si="245"/>
        <v>1.297275</v>
      </c>
      <c r="BD51" s="80">
        <f t="shared" si="213"/>
        <v>7.0000000000000007E-2</v>
      </c>
      <c r="BE51" s="24"/>
      <c r="BF51" s="32">
        <v>0.76568000000000003</v>
      </c>
      <c r="BG51" s="59">
        <f t="shared" si="214"/>
        <v>-0.86583820917354515</v>
      </c>
      <c r="BH51" s="24"/>
      <c r="BI51" s="22">
        <v>1.35</v>
      </c>
      <c r="BJ51" s="23">
        <f>IF(ISERROR(VLOOKUP($B51,[1]Hedef!$A$4:$ES$45409,117,0)),0,VLOOKUP($B51,[1]Hedef!$A$4:$ES$45409,117,0))</f>
        <v>0.12429</v>
      </c>
      <c r="BK51" s="23">
        <f>IF((BI51-BJ51)&lt;0, "-", (BI51-BJ51))</f>
        <v>1.2257100000000001</v>
      </c>
      <c r="BL51" s="80">
        <f t="shared" si="216"/>
        <v>0.09</v>
      </c>
      <c r="BM51" s="24"/>
      <c r="BN51" s="32">
        <v>0.735155</v>
      </c>
      <c r="BO51" s="59">
        <f>IF(ISERROR((BJ51-BN51)/BN51),0,(BJ51-BN51)/BN51)</f>
        <v>-0.83093361263951138</v>
      </c>
      <c r="BP51" s="99"/>
      <c r="BQ51" s="22">
        <v>5</v>
      </c>
      <c r="BR51" s="23">
        <f t="shared" si="217"/>
        <v>0.30441999999999997</v>
      </c>
      <c r="BS51" s="23">
        <f>IF((BQ51-BR51)&lt;0, "-", (BQ51-BR51))</f>
        <v>4.6955799999999996</v>
      </c>
      <c r="BT51" s="80">
        <f t="shared" si="219"/>
        <v>0.06</v>
      </c>
      <c r="BU51" s="22">
        <f t="shared" si="220"/>
        <v>0</v>
      </c>
      <c r="BV51" s="22">
        <f t="shared" si="221"/>
        <v>2.7248250000000001</v>
      </c>
      <c r="BW51" s="59">
        <f>IF(ISERROR((BR51-BV51)/BV51),0,(BR51-BV51)/BV51)</f>
        <v>-0.88827906379308763</v>
      </c>
      <c r="BX51" s="183"/>
      <c r="BY51" s="22">
        <v>5.04</v>
      </c>
      <c r="BZ51" s="23">
        <f>IF(ISERROR(VLOOKUP($B51,[1]Hedef!$A$4:$ES$45409,71,0)),0,VLOOKUP($B51,[1]Hedef!$A$4:$ES$45409,71,0))</f>
        <v>0.27705499999999994</v>
      </c>
      <c r="CA51" s="23">
        <f>IF((BY51-BZ51)&lt;0, "-", (BY51-BZ51))</f>
        <v>4.7629450000000002</v>
      </c>
      <c r="CB51" s="80">
        <f t="shared" si="222"/>
        <v>0.05</v>
      </c>
      <c r="CC51" s="32">
        <v>2.7451300000000001</v>
      </c>
      <c r="CD51" s="59">
        <f>IF(ISERROR((BZ51-CC51)/CC51),0,(BZ51-CC51)/CC51)</f>
        <v>-0.89907399649561226</v>
      </c>
      <c r="CE51" s="99"/>
      <c r="CF51" s="22">
        <v>5.46</v>
      </c>
      <c r="CG51" s="23">
        <f>IF(ISERROR(VLOOKUP($B51,[1]Hedef!$A$4:$ES$45409,87,0)),0,VLOOKUP($B51,[1]Hedef!$A$4:$ES$45409,87,0))</f>
        <v>0.20277499999999998</v>
      </c>
      <c r="CH51" s="23">
        <f>IF((CF51-CG51)&lt;0, "-", (CF51-CG51))</f>
        <v>5.257225</v>
      </c>
      <c r="CI51" s="80">
        <f t="shared" si="224"/>
        <v>0.03</v>
      </c>
      <c r="CJ51" s="32">
        <v>3.0229400000000002</v>
      </c>
      <c r="CK51" s="59">
        <f>IF(ISERROR((CG51-CJ51)/CJ51),0,(CG51-CJ51)/CJ51)</f>
        <v>-0.93292126208260839</v>
      </c>
      <c r="CL51" s="99"/>
      <c r="CM51" s="22">
        <v>10.5</v>
      </c>
      <c r="CN51" s="23">
        <f t="shared" si="226"/>
        <v>0.47982999999999992</v>
      </c>
      <c r="CO51" s="23">
        <f>IF((CM51-CN51)&lt;0, "-", (CM51-CN51))</f>
        <v>10.02017</v>
      </c>
      <c r="CP51" s="80">
        <f t="shared" si="228"/>
        <v>0.04</v>
      </c>
      <c r="CQ51" s="123">
        <f t="shared" si="229"/>
        <v>0</v>
      </c>
      <c r="CR51" s="23">
        <f t="shared" si="230"/>
        <v>5.7680699999999998</v>
      </c>
      <c r="CS51" s="59">
        <f t="shared" si="240"/>
        <v>-0.91681272938781955</v>
      </c>
      <c r="CT51" s="82"/>
      <c r="CU51" s="22">
        <f t="shared" si="231"/>
        <v>25</v>
      </c>
      <c r="CV51" s="23">
        <f>IF(ISERROR(VLOOKUP($B51,[1]Hedef!$A$4:$ES$45409,127,0)),0,VLOOKUP($B51,[1]Hedef!$A$4:$ES$45409,127,0))</f>
        <v>1.11886</v>
      </c>
      <c r="CW51" s="159">
        <f>IF(ISERROR(VLOOKUP($B51,[1]Hedef!$A$4:$ES$45409,47,0)),0,VLOOKUP($B51,[1]Hedef!$A$4:$ES$45409,47,0))</f>
        <v>1.1189100000000001</v>
      </c>
      <c r="CX51" s="23">
        <f>IF((CU51-CV51)&lt;0, "-", (CU51-CV51))</f>
        <v>23.881139999999998</v>
      </c>
      <c r="CY51" s="80">
        <f t="shared" si="233"/>
        <v>0.04</v>
      </c>
      <c r="CZ51" s="26"/>
      <c r="DA51" s="32">
        <v>13.68084</v>
      </c>
      <c r="DB51" s="131">
        <f t="shared" si="234"/>
        <v>13.680800000000001</v>
      </c>
      <c r="DC51" s="59">
        <f>IF(ISERROR((CV51-DA51)/DA51),0,(CV51-DA51)/DA51)</f>
        <v>-0.91821701006663337</v>
      </c>
      <c r="DD51" s="24"/>
      <c r="DE51" s="22">
        <v>25</v>
      </c>
      <c r="DF51" s="15">
        <f t="shared" si="236"/>
        <v>0</v>
      </c>
      <c r="DG51" s="99"/>
      <c r="DH51" s="92"/>
      <c r="DI51" s="24"/>
    </row>
    <row r="52" spans="1:113" ht="12.75" customHeight="1" x14ac:dyDescent="0.2">
      <c r="A52" s="24">
        <v>2.5</v>
      </c>
      <c r="B52" s="31">
        <v>135</v>
      </c>
      <c r="C52" s="194" t="s">
        <v>120</v>
      </c>
      <c r="D52" s="102"/>
      <c r="E52" s="193">
        <v>2.73</v>
      </c>
      <c r="F52" s="23">
        <f>IF(ISERROR(VLOOKUP($B52,[1]Hedef!$A$4:$ES$45409,25,0)),0,VLOOKUP($B52,[1]Hedef!$A$4:$ES$45409,25,0))+IF(ISERROR(VLOOKUP($B52,[1]Hedef!$A$4:$ES$45409,15,0)),0,VLOOKUP($B52,[1]Hedef!$A$4:$ES$45409,15,0))</f>
        <v>1.7476000000000002E-2</v>
      </c>
      <c r="G52" s="23">
        <f t="shared" ref="G52" si="248">IF((E52-F52)&lt;0, "-", (E52-F52))</f>
        <v>2.7125240000000002</v>
      </c>
      <c r="H52" s="80">
        <f t="shared" si="201"/>
        <v>0</v>
      </c>
      <c r="I52" s="24"/>
      <c r="J52" s="32">
        <v>2.601305</v>
      </c>
      <c r="K52" s="59">
        <f t="shared" si="242"/>
        <v>-0.99328183354124189</v>
      </c>
      <c r="L52" s="24"/>
      <c r="M52" s="44">
        <v>8.16</v>
      </c>
      <c r="N52" s="23">
        <f>IF(ISERROR(VLOOKUP($B52,[1]Hedef!$A$4:$ES$45409,41,0)),0,VLOOKUP($B52,[1]Hedef!$A$4:$ES$45409,41,0))</f>
        <v>0.45029999999999998</v>
      </c>
      <c r="O52" s="23">
        <f t="shared" si="203"/>
        <v>7.7096999999999998</v>
      </c>
      <c r="P52" s="80">
        <f t="shared" si="237"/>
        <v>0.05</v>
      </c>
      <c r="Q52" s="92"/>
      <c r="R52" s="32">
        <v>7.7867280999999995</v>
      </c>
      <c r="S52" s="59">
        <f t="shared" si="85"/>
        <v>-0.94217083295871085</v>
      </c>
      <c r="T52" s="102"/>
      <c r="U52" s="22">
        <v>9.51</v>
      </c>
      <c r="V52" s="23">
        <f>IF(ISERROR(VLOOKUP($B52,[1]Hedef!$A$4:$ES$45409,45,0)),0,VLOOKUP($B52,[1]Hedef!$A$4:$ES$45409,45,0))+IF(ISERROR(VLOOKUP($B52,[1]Hedef!$A$4:$ES$45409,109,0)),0,VLOOKUP($B52,[1]Hedef!$A$4:$ES$45409,109,0))</f>
        <v>0.74611280000000013</v>
      </c>
      <c r="W52" s="23">
        <f t="shared" si="204"/>
        <v>8.7638871999999992</v>
      </c>
      <c r="X52" s="80">
        <f t="shared" si="238"/>
        <v>7.0000000000000007E-2</v>
      </c>
      <c r="Y52" s="24"/>
      <c r="Z52" s="32">
        <v>9.083755199999997</v>
      </c>
      <c r="AA52" s="59">
        <f t="shared" si="87"/>
        <v>-0.91786295606028656</v>
      </c>
      <c r="AB52" s="99"/>
      <c r="AC52" s="164">
        <v>20.399999999999999</v>
      </c>
      <c r="AD52" s="23">
        <f t="shared" si="205"/>
        <v>1.2138888000000001</v>
      </c>
      <c r="AE52" s="23">
        <f t="shared" si="244"/>
        <v>19.186111199999999</v>
      </c>
      <c r="AF52" s="80">
        <f t="shared" si="206"/>
        <v>0.05</v>
      </c>
      <c r="AG52" s="22">
        <f t="shared" si="207"/>
        <v>0</v>
      </c>
      <c r="AH52" s="44">
        <f t="shared" si="91"/>
        <v>19.471788299999996</v>
      </c>
      <c r="AI52" s="59">
        <f t="shared" ref="AI52:AI56" si="249">IF(ISERROR((AD52-AH52)/AH52),0,(AD52-AH52)/AH52)</f>
        <v>-0.93765910037138189</v>
      </c>
      <c r="AJ52" s="24"/>
      <c r="AK52" s="22">
        <v>4.8499999999999996</v>
      </c>
      <c r="AL52" s="23">
        <f>IF(ISERROR(VLOOKUP($B52,[1]Hedef!$A$4:$ES$45409,97,0)),0,VLOOKUP($B52,[1]Hedef!$A$4:$ES$45409,97,0))</f>
        <v>0</v>
      </c>
      <c r="AM52" s="23">
        <f t="shared" ref="AM52" si="250">IF((AK52-AL52)&lt;0, "-", (AK52-AL52))</f>
        <v>4.8499999999999996</v>
      </c>
      <c r="AN52" s="80">
        <f t="shared" si="209"/>
        <v>0</v>
      </c>
      <c r="AO52" s="24"/>
      <c r="AP52" s="32">
        <v>4.6213199999999981</v>
      </c>
      <c r="AQ52" s="59">
        <f t="shared" ref="AQ52:AQ56" si="251">IF(ISERROR((AL52-AP52)/AP52),0,(AL52-AP52)/AP52)</f>
        <v>-1</v>
      </c>
      <c r="AR52" s="24"/>
      <c r="AS52" s="22">
        <v>2.75</v>
      </c>
      <c r="AT52" s="23">
        <f>IF(ISERROR(VLOOKUP($B52,[1]Hedef!$A$4:$ES$45409,57,0)),0,VLOOKUP($B52,[1]Hedef!$A$4:$ES$45409,57,0))</f>
        <v>0.15919599999999998</v>
      </c>
      <c r="AU52" s="23">
        <f t="shared" si="211"/>
        <v>2.5908039999999999</v>
      </c>
      <c r="AV52" s="80">
        <f t="shared" si="212"/>
        <v>0.05</v>
      </c>
      <c r="AW52" s="24"/>
      <c r="AX52" s="32">
        <v>2.6268661999999998</v>
      </c>
      <c r="AY52" s="59">
        <f t="shared" ref="AY52:AY55" si="252">IF(ISERROR((AT52-AX52)/AX52),0,(AT52-AX52)/AX52)</f>
        <v>-0.93939698946219641</v>
      </c>
      <c r="AZ52" s="92"/>
      <c r="BA52" s="22">
        <v>2.88</v>
      </c>
      <c r="BB52" s="23">
        <f>IF(ISERROR(VLOOKUP($B52,[1]Hedef!$A$4:$ES$45409,99,0)),0,VLOOKUP($B52,[1]Hedef!$A$4:$ES$45409,99,0))</f>
        <v>0.363263</v>
      </c>
      <c r="BC52" s="23">
        <f t="shared" si="245"/>
        <v>2.516737</v>
      </c>
      <c r="BD52" s="80">
        <f t="shared" si="213"/>
        <v>0.12</v>
      </c>
      <c r="BE52" s="24"/>
      <c r="BF52" s="32">
        <v>2.7485769999999996</v>
      </c>
      <c r="BG52" s="59">
        <f t="shared" si="214"/>
        <v>-0.86783597476075802</v>
      </c>
      <c r="BH52" s="24"/>
      <c r="BI52" s="22">
        <v>1.72</v>
      </c>
      <c r="BJ52" s="23">
        <f>IF(ISERROR(VLOOKUP($B52,[1]Hedef!$A$4:$ES$45409,117,0)),0,VLOOKUP($B52,[1]Hedef!$A$4:$ES$45409,117,0))</f>
        <v>0.108084</v>
      </c>
      <c r="BK52" s="23">
        <f t="shared" si="215"/>
        <v>1.6119159999999999</v>
      </c>
      <c r="BL52" s="80">
        <f t="shared" si="216"/>
        <v>0.06</v>
      </c>
      <c r="BM52" s="24"/>
      <c r="BN52" s="32">
        <v>1.6397490000000001</v>
      </c>
      <c r="BO52" s="59">
        <f t="shared" si="100"/>
        <v>-0.93408503374601837</v>
      </c>
      <c r="BP52" s="99"/>
      <c r="BQ52" s="22">
        <v>12.2</v>
      </c>
      <c r="BR52" s="23">
        <f t="shared" si="217"/>
        <v>0.63054299999999996</v>
      </c>
      <c r="BS52" s="23">
        <f t="shared" si="218"/>
        <v>11.569457</v>
      </c>
      <c r="BT52" s="80">
        <f t="shared" si="219"/>
        <v>0.05</v>
      </c>
      <c r="BU52" s="22">
        <f t="shared" si="220"/>
        <v>0</v>
      </c>
      <c r="BV52" s="22">
        <f t="shared" si="221"/>
        <v>11.636512199999999</v>
      </c>
      <c r="BW52" s="59">
        <f t="shared" si="105"/>
        <v>-0.94581340274794712</v>
      </c>
      <c r="BX52" s="183"/>
      <c r="BY52" s="22">
        <v>2.96</v>
      </c>
      <c r="BZ52" s="23">
        <f>IF(ISERROR(VLOOKUP($B52,[1]Hedef!$A$4:$ES$45409,71,0)),0,VLOOKUP($B52,[1]Hedef!$A$4:$ES$45409,71,0))</f>
        <v>0.2315711</v>
      </c>
      <c r="CA52" s="23">
        <f t="shared" si="246"/>
        <v>2.7284288999999999</v>
      </c>
      <c r="CB52" s="80">
        <f t="shared" si="222"/>
        <v>7.0000000000000007E-2</v>
      </c>
      <c r="CC52" s="32">
        <v>2.8376290000000011</v>
      </c>
      <c r="CD52" s="59">
        <f t="shared" si="223"/>
        <v>-0.91839274972168672</v>
      </c>
      <c r="CE52" s="99"/>
      <c r="CF52" s="22">
        <v>14.44</v>
      </c>
      <c r="CG52" s="23">
        <f>IF(ISERROR(VLOOKUP($B52,[1]Hedef!$A$4:$ES$45409,87,0)),0,VLOOKUP($B52,[1]Hedef!$A$4:$ES$45409,87,0))</f>
        <v>1.0550637999999997</v>
      </c>
      <c r="CH52" s="23">
        <f t="shared" si="247"/>
        <v>13.3849362</v>
      </c>
      <c r="CI52" s="80">
        <f t="shared" si="224"/>
        <v>7.0000000000000007E-2</v>
      </c>
      <c r="CJ52" s="32">
        <v>13.775572999999987</v>
      </c>
      <c r="CK52" s="59">
        <f t="shared" si="225"/>
        <v>-0.92341053254191308</v>
      </c>
      <c r="CL52" s="99"/>
      <c r="CM52" s="22">
        <v>17.399999999999999</v>
      </c>
      <c r="CN52" s="23">
        <f t="shared" si="226"/>
        <v>1.2866348999999997</v>
      </c>
      <c r="CO52" s="23">
        <f t="shared" si="227"/>
        <v>16.113365099999999</v>
      </c>
      <c r="CP52" s="80">
        <f t="shared" si="228"/>
        <v>7.0000000000000007E-2</v>
      </c>
      <c r="CQ52" s="123">
        <f t="shared" si="229"/>
        <v>0</v>
      </c>
      <c r="CR52" s="23">
        <f t="shared" si="230"/>
        <v>16.613201999999987</v>
      </c>
      <c r="CS52" s="59">
        <f t="shared" si="240"/>
        <v>-0.92255346681512684</v>
      </c>
      <c r="CT52" s="82"/>
      <c r="CU52" s="22">
        <f t="shared" si="231"/>
        <v>50</v>
      </c>
      <c r="CV52" s="23">
        <f>IF(ISERROR(VLOOKUP($B52,[1]Hedef!$A$4:$ES$45409,127,0)),0,VLOOKUP($B52,[1]Hedef!$A$4:$ES$45409,127,0))</f>
        <v>3.1310666999999999</v>
      </c>
      <c r="CW52" s="159">
        <f>IF(ISERROR(VLOOKUP($B52,[1]Hedef!$A$4:$ES$45409,47,0)),0,VLOOKUP($B52,[1]Hedef!$A$4:$ES$45409,47,0))</f>
        <v>3.1313866999999997</v>
      </c>
      <c r="CX52" s="23">
        <f t="shared" si="232"/>
        <v>46.868933300000002</v>
      </c>
      <c r="CY52" s="80">
        <f t="shared" si="233"/>
        <v>0.06</v>
      </c>
      <c r="CZ52" s="26"/>
      <c r="DA52" s="32">
        <v>47.84142730000007</v>
      </c>
      <c r="DB52" s="131">
        <f t="shared" si="234"/>
        <v>47.721502499999986</v>
      </c>
      <c r="DC52" s="59">
        <f t="shared" si="235"/>
        <v>-0.93455323395002488</v>
      </c>
      <c r="DD52" s="24"/>
      <c r="DE52" s="22">
        <v>50</v>
      </c>
      <c r="DF52" s="15">
        <f t="shared" si="236"/>
        <v>0</v>
      </c>
      <c r="DG52" s="99"/>
      <c r="DH52" s="92"/>
      <c r="DI52" s="24"/>
    </row>
    <row r="53" spans="1:113" ht="12.75" customHeight="1" x14ac:dyDescent="0.2">
      <c r="A53" s="24"/>
      <c r="B53" s="31">
        <v>222</v>
      </c>
      <c r="C53" s="194" t="s">
        <v>174</v>
      </c>
      <c r="D53" s="102"/>
      <c r="E53" s="193">
        <v>0.25</v>
      </c>
      <c r="F53" s="23">
        <f>IF(ISERROR(VLOOKUP($B53,[1]Hedef!$A$4:$ES$45409,25,0)),0,VLOOKUP($B53,[1]Hedef!$A$4:$ES$45409,25,0))+IF(ISERROR(VLOOKUP($B53,[1]Hedef!$A$4:$ES$45409,15,0)),0,VLOOKUP($B53,[1]Hedef!$A$4:$ES$45409,15,0))</f>
        <v>5.9999999999999995E-4</v>
      </c>
      <c r="G53" s="23">
        <f>IF((E53-F53)&lt;0, "-", (E53-F53))</f>
        <v>0.24940000000000001</v>
      </c>
      <c r="H53" s="80">
        <f t="shared" si="201"/>
        <v>0</v>
      </c>
      <c r="I53" s="24"/>
      <c r="J53" s="32"/>
      <c r="K53" s="59">
        <f t="shared" si="242"/>
        <v>0</v>
      </c>
      <c r="L53" s="24"/>
      <c r="M53" s="44">
        <v>0.3</v>
      </c>
      <c r="N53" s="23">
        <f>IF(ISERROR(VLOOKUP($B53,[1]Hedef!$A$4:$ES$45409,41,0)),0,VLOOKUP($B53,[1]Hedef!$A$4:$ES$45409,41,0))</f>
        <v>0</v>
      </c>
      <c r="O53" s="23">
        <f>IF((M53-N53)&lt;0, "-", (M53-N53))</f>
        <v>0.3</v>
      </c>
      <c r="P53" s="80">
        <f t="shared" si="237"/>
        <v>0</v>
      </c>
      <c r="Q53" s="92"/>
      <c r="R53" s="32"/>
      <c r="S53" s="59">
        <f t="shared" si="85"/>
        <v>0</v>
      </c>
      <c r="T53" s="102"/>
      <c r="U53" s="22">
        <v>0.3</v>
      </c>
      <c r="V53" s="23">
        <f>IF(ISERROR(VLOOKUP($B53,[1]Hedef!$A$4:$ES$45409,45,0)),0,VLOOKUP($B53,[1]Hedef!$A$4:$ES$45409,45,0))+IF(ISERROR(VLOOKUP($B53,[1]Hedef!$A$4:$ES$45409,109,0)),0,VLOOKUP($B53,[1]Hedef!$A$4:$ES$45409,109,0))</f>
        <v>1.8E-3</v>
      </c>
      <c r="W53" s="23">
        <f>IF((U53-V53)&lt;0, "-", (U53-V53))</f>
        <v>0.29819999999999997</v>
      </c>
      <c r="X53" s="80">
        <f t="shared" si="238"/>
        <v>0</v>
      </c>
      <c r="Y53" s="24"/>
      <c r="Z53" s="32"/>
      <c r="AA53" s="59">
        <f t="shared" si="87"/>
        <v>0</v>
      </c>
      <c r="AB53" s="99"/>
      <c r="AC53" s="164">
        <v>0.85</v>
      </c>
      <c r="AD53" s="23">
        <f t="shared" si="205"/>
        <v>2.3999999999999998E-3</v>
      </c>
      <c r="AE53" s="23">
        <f t="shared" si="244"/>
        <v>0.84760000000000002</v>
      </c>
      <c r="AF53" s="80">
        <f t="shared" si="206"/>
        <v>0</v>
      </c>
      <c r="AG53" s="22">
        <f>AC53-U53-M53-E53</f>
        <v>0</v>
      </c>
      <c r="AH53" s="44">
        <f t="shared" si="91"/>
        <v>0</v>
      </c>
      <c r="AI53" s="59">
        <f t="shared" si="249"/>
        <v>0</v>
      </c>
      <c r="AJ53" s="92"/>
      <c r="AK53" s="22">
        <v>1.1499999999999999</v>
      </c>
      <c r="AL53" s="23">
        <f>IF(ISERROR(VLOOKUP($B53,[1]Hedef!$A$4:$ES$45409,97,0)),0,VLOOKUP($B53,[1]Hedef!$A$4:$ES$45409,97,0))</f>
        <v>0</v>
      </c>
      <c r="AM53" s="23">
        <f>IF((AK53-AL53)&lt;0, "-", (AK53-AL53))</f>
        <v>1.1499999999999999</v>
      </c>
      <c r="AN53" s="80">
        <f t="shared" si="209"/>
        <v>0</v>
      </c>
      <c r="AO53" s="24"/>
      <c r="AP53" s="32"/>
      <c r="AQ53" s="59">
        <f t="shared" si="251"/>
        <v>0</v>
      </c>
      <c r="AR53" s="24"/>
      <c r="AS53" s="22">
        <v>1.2</v>
      </c>
      <c r="AT53" s="23">
        <f>IF(ISERROR(VLOOKUP($B53,[1]Hedef!$A$4:$ES$45409,57,0)),0,VLOOKUP($B53,[1]Hedef!$A$4:$ES$45409,57,0))</f>
        <v>7.2599999999999991E-3</v>
      </c>
      <c r="AU53" s="23">
        <f>IF((AS53-AT53)&lt;0, "-", (AS53-AT53))</f>
        <v>1.1927399999999999</v>
      </c>
      <c r="AV53" s="80">
        <f t="shared" si="212"/>
        <v>0</v>
      </c>
      <c r="AW53" s="24"/>
      <c r="AX53" s="32"/>
      <c r="AY53" s="59">
        <f t="shared" si="252"/>
        <v>0</v>
      </c>
      <c r="AZ53" s="92"/>
      <c r="BA53" s="22">
        <v>1.2</v>
      </c>
      <c r="BB53" s="23">
        <f>IF(ISERROR(VLOOKUP($B53,[1]Hedef!$A$4:$ES$45409,99,0)),0,VLOOKUP($B53,[1]Hedef!$A$4:$ES$45409,99,0))</f>
        <v>2.0999999999999999E-3</v>
      </c>
      <c r="BC53" s="23">
        <f t="shared" si="245"/>
        <v>1.1979</v>
      </c>
      <c r="BD53" s="80">
        <f t="shared" si="213"/>
        <v>0</v>
      </c>
      <c r="BE53" s="24"/>
      <c r="BF53" s="32"/>
      <c r="BG53" s="59">
        <f t="shared" si="214"/>
        <v>0</v>
      </c>
      <c r="BH53" s="24"/>
      <c r="BI53" s="22">
        <v>1</v>
      </c>
      <c r="BJ53" s="23">
        <f>IF(ISERROR(VLOOKUP($B53,[1]Hedef!$A$4:$ES$45409,117,0)),0,VLOOKUP($B53,[1]Hedef!$A$4:$ES$45409,117,0))</f>
        <v>1.5719999999999998E-2</v>
      </c>
      <c r="BK53" s="23">
        <f>IF((BI53-BJ53)&lt;0, "-", (BI53-BJ53))</f>
        <v>0.98428000000000004</v>
      </c>
      <c r="BL53" s="80">
        <f t="shared" si="216"/>
        <v>0.01</v>
      </c>
      <c r="BM53" s="24"/>
      <c r="BN53" s="32"/>
      <c r="BO53" s="59">
        <f>IF(ISERROR((BJ53-BN53)/BN53),0,(BJ53-BN53)/BN53)</f>
        <v>0</v>
      </c>
      <c r="BP53" s="99"/>
      <c r="BQ53" s="22">
        <v>4.55</v>
      </c>
      <c r="BR53" s="23">
        <f t="shared" si="217"/>
        <v>2.5079999999999998E-2</v>
      </c>
      <c r="BS53" s="23">
        <f>IF((BQ53-BR53)&lt;0, "-", (BQ53-BR53))</f>
        <v>4.5249199999999998</v>
      </c>
      <c r="BT53" s="80">
        <f t="shared" si="219"/>
        <v>0</v>
      </c>
      <c r="BU53" s="22">
        <f t="shared" si="220"/>
        <v>0</v>
      </c>
      <c r="BV53" s="22">
        <f t="shared" si="221"/>
        <v>0</v>
      </c>
      <c r="BW53" s="59">
        <f t="shared" si="105"/>
        <v>0</v>
      </c>
      <c r="BX53" s="183"/>
      <c r="BY53" s="22">
        <v>0.3</v>
      </c>
      <c r="BZ53" s="23">
        <f>IF(ISERROR(VLOOKUP($B53,[1]Hedef!$A$4:$ES$45409,71,0)),0,VLOOKUP($B53,[1]Hedef!$A$4:$ES$45409,71,0))</f>
        <v>5.6399999999999992E-3</v>
      </c>
      <c r="CA53" s="23">
        <f t="shared" si="246"/>
        <v>0.29436000000000001</v>
      </c>
      <c r="CB53" s="80">
        <f t="shared" si="222"/>
        <v>0.01</v>
      </c>
      <c r="CC53" s="32"/>
      <c r="CD53" s="59">
        <f t="shared" si="223"/>
        <v>0</v>
      </c>
      <c r="CE53" s="99"/>
      <c r="CF53" s="22">
        <v>0.3</v>
      </c>
      <c r="CG53" s="23">
        <f>IF(ISERROR(VLOOKUP($B53,[1]Hedef!$A$4:$ES$45409,87,0)),0,VLOOKUP($B53,[1]Hedef!$A$4:$ES$45409,87,0))</f>
        <v>0</v>
      </c>
      <c r="CH53" s="23">
        <f t="shared" si="247"/>
        <v>0.3</v>
      </c>
      <c r="CI53" s="80">
        <f t="shared" si="224"/>
        <v>0</v>
      </c>
      <c r="CJ53" s="32"/>
      <c r="CK53" s="59">
        <f t="shared" si="225"/>
        <v>0</v>
      </c>
      <c r="CL53" s="99"/>
      <c r="CM53" s="22">
        <v>0.6</v>
      </c>
      <c r="CN53" s="23">
        <f t="shared" si="226"/>
        <v>5.6399999999999992E-3</v>
      </c>
      <c r="CO53" s="23">
        <f>IF((CM53-CN53)&lt;0, "-", (CM53-CN53))</f>
        <v>0.59436</v>
      </c>
      <c r="CP53" s="80">
        <f t="shared" si="228"/>
        <v>0</v>
      </c>
      <c r="CQ53" s="123">
        <f t="shared" si="229"/>
        <v>0</v>
      </c>
      <c r="CR53" s="23">
        <f t="shared" si="230"/>
        <v>0</v>
      </c>
      <c r="CS53" s="59">
        <f t="shared" si="240"/>
        <v>0</v>
      </c>
      <c r="CT53" s="84"/>
      <c r="CU53" s="22">
        <f t="shared" si="231"/>
        <v>6</v>
      </c>
      <c r="CV53" s="23">
        <f>IF(ISERROR(VLOOKUP($B53,[1]Hedef!$A$4:$ES$45409,127,0)),0,VLOOKUP($B53,[1]Hedef!$A$4:$ES$45409,127,0))</f>
        <v>3.3119999999999997E-2</v>
      </c>
      <c r="CW53" s="159">
        <f>IF(ISERROR(VLOOKUP($B53,[1]Hedef!$A$4:$ES$45409,47,0)),0,VLOOKUP($B53,[1]Hedef!$A$4:$ES$45409,47,0))</f>
        <v>3.3120000000000004E-2</v>
      </c>
      <c r="CX53" s="23">
        <f>IF((CU53-CV53)&lt;0, "-", (CU53-CV53))</f>
        <v>5.9668799999999997</v>
      </c>
      <c r="CY53" s="80">
        <f t="shared" si="233"/>
        <v>0</v>
      </c>
      <c r="CZ53" s="26"/>
      <c r="DA53" s="32"/>
      <c r="DB53" s="131">
        <f t="shared" si="234"/>
        <v>0</v>
      </c>
      <c r="DC53" s="59">
        <f>IF(ISERROR((CV53-DA53)/DA53),0,(CV53-DA53)/DA53)</f>
        <v>0</v>
      </c>
      <c r="DD53" s="24"/>
      <c r="DE53" s="22">
        <v>6</v>
      </c>
      <c r="DF53" s="15">
        <f t="shared" si="236"/>
        <v>0</v>
      </c>
      <c r="DG53" s="99"/>
      <c r="DH53" s="92"/>
      <c r="DI53" s="24"/>
    </row>
    <row r="54" spans="1:113" ht="12.75" customHeight="1" x14ac:dyDescent="0.2">
      <c r="A54" s="24"/>
      <c r="B54" s="31">
        <v>28</v>
      </c>
      <c r="C54" s="194" t="s">
        <v>29</v>
      </c>
      <c r="D54" s="102"/>
      <c r="E54" s="193">
        <v>1.3</v>
      </c>
      <c r="F54" s="23">
        <f>IF(ISERROR(VLOOKUP($B54,[1]Hedef!$A$4:$ES$45409,25,0)),0,VLOOKUP($B54,[1]Hedef!$A$4:$ES$45409,25,0))+IF(ISERROR(VLOOKUP($B54,[1]Hedef!$A$4:$ES$45409,15,0)),0,VLOOKUP($B54,[1]Hedef!$A$4:$ES$45409,15,0))</f>
        <v>2.1</v>
      </c>
      <c r="G54" s="23" t="str">
        <f>IF((E54-F54)&lt;0, "-", (E54-F54))</f>
        <v>-</v>
      </c>
      <c r="H54" s="80">
        <f t="shared" si="201"/>
        <v>1.2</v>
      </c>
      <c r="I54" s="24"/>
      <c r="J54" s="32">
        <v>0.63063999999999998</v>
      </c>
      <c r="K54" s="59">
        <f t="shared" si="242"/>
        <v>2.3299505264493212</v>
      </c>
      <c r="L54" s="24"/>
      <c r="M54" s="44">
        <v>0.1</v>
      </c>
      <c r="N54" s="23">
        <f>IF(ISERROR(VLOOKUP($B54,[1]Hedef!$A$4:$ES$45409,41,0)),0,VLOOKUP($B54,[1]Hedef!$A$4:$ES$45409,41,0))</f>
        <v>2.5000000000000001E-2</v>
      </c>
      <c r="O54" s="23">
        <f>IF((M54-N54)&lt;0, "-", (M54-N54))</f>
        <v>7.5000000000000011E-2</v>
      </c>
      <c r="P54" s="80">
        <f t="shared" si="237"/>
        <v>0.25</v>
      </c>
      <c r="Q54" s="92"/>
      <c r="R54" s="32">
        <v>0.15260000000000001</v>
      </c>
      <c r="S54" s="59">
        <f t="shared" si="85"/>
        <v>-0.836173001310616</v>
      </c>
      <c r="T54" s="102"/>
      <c r="U54" s="22"/>
      <c r="V54" s="23">
        <f>IF(ISERROR(VLOOKUP($B54,[1]Hedef!$A$4:$ES$45409,45,0)),0,VLOOKUP($B54,[1]Hedef!$A$4:$ES$45409,45,0))+IF(ISERROR(VLOOKUP($B54,[1]Hedef!$A$4:$ES$45409,109,0)),0,VLOOKUP($B54,[1]Hedef!$A$4:$ES$45409,109,0))</f>
        <v>0</v>
      </c>
      <c r="W54" s="23">
        <f>IF((U54-V54)&lt;0, "-", (U54-V54))</f>
        <v>0</v>
      </c>
      <c r="X54" s="80"/>
      <c r="Y54" s="24"/>
      <c r="Z54" s="32">
        <v>0.14660000000000001</v>
      </c>
      <c r="AA54" s="59">
        <f t="shared" si="87"/>
        <v>-1</v>
      </c>
      <c r="AB54" s="99"/>
      <c r="AC54" s="164">
        <v>1.4</v>
      </c>
      <c r="AD54" s="23">
        <f t="shared" si="205"/>
        <v>2.125</v>
      </c>
      <c r="AE54" s="23" t="str">
        <f t="shared" si="244"/>
        <v>-</v>
      </c>
      <c r="AF54" s="80">
        <f t="shared" si="206"/>
        <v>1.2</v>
      </c>
      <c r="AG54" s="22">
        <f t="shared" si="207"/>
        <v>0</v>
      </c>
      <c r="AH54" s="44">
        <f t="shared" si="91"/>
        <v>0.92984</v>
      </c>
      <c r="AI54" s="59">
        <f t="shared" si="249"/>
        <v>1.2853394132323841</v>
      </c>
      <c r="AJ54" s="24"/>
      <c r="AK54" s="22">
        <v>2.2000000000000002</v>
      </c>
      <c r="AL54" s="23">
        <f>IF(ISERROR(VLOOKUP($B54,[1]Hedef!$A$4:$ES$45409,97,0)),0,VLOOKUP($B54,[1]Hedef!$A$4:$ES$45409,97,0))</f>
        <v>0</v>
      </c>
      <c r="AM54" s="23">
        <f>IF((AK54-AL54)&lt;0, "-", (AK54-AL54))</f>
        <v>2.2000000000000002</v>
      </c>
      <c r="AN54" s="80">
        <f t="shared" si="209"/>
        <v>0</v>
      </c>
      <c r="AO54" s="24"/>
      <c r="AP54" s="32">
        <v>1.4478</v>
      </c>
      <c r="AQ54" s="59">
        <f t="shared" si="251"/>
        <v>-1</v>
      </c>
      <c r="AR54" s="24"/>
      <c r="AS54" s="22">
        <v>0.7</v>
      </c>
      <c r="AT54" s="23">
        <f>IF(ISERROR(VLOOKUP($B54,[1]Hedef!$A$4:$ES$45409,57,0)),0,VLOOKUP($B54,[1]Hedef!$A$4:$ES$45409,57,0))</f>
        <v>7.4999999999999997E-2</v>
      </c>
      <c r="AU54" s="23">
        <f>IF((AS54-AT54)&lt;0, "-", (AS54-AT54))</f>
        <v>0.625</v>
      </c>
      <c r="AV54" s="80">
        <f t="shared" si="212"/>
        <v>0.1</v>
      </c>
      <c r="AW54" s="24"/>
      <c r="AX54" s="32">
        <v>0.46195999999999998</v>
      </c>
      <c r="AY54" s="59">
        <f t="shared" si="252"/>
        <v>-0.83764828123647062</v>
      </c>
      <c r="AZ54" s="92"/>
      <c r="BA54" s="22">
        <v>0.7</v>
      </c>
      <c r="BB54" s="23">
        <f>IF(ISERROR(VLOOKUP($B54,[1]Hedef!$A$4:$ES$45409,99,0)),0,VLOOKUP($B54,[1]Hedef!$A$4:$ES$45409,99,0))</f>
        <v>0.35</v>
      </c>
      <c r="BC54" s="23">
        <f t="shared" si="245"/>
        <v>0.35</v>
      </c>
      <c r="BD54" s="80">
        <f t="shared" si="213"/>
        <v>0.5</v>
      </c>
      <c r="BE54" s="24"/>
      <c r="BF54" s="32">
        <v>0.47136</v>
      </c>
      <c r="BG54" s="59">
        <f t="shared" si="214"/>
        <v>-0.25746775288526819</v>
      </c>
      <c r="BH54" s="24"/>
      <c r="BI54" s="22">
        <v>0.6</v>
      </c>
      <c r="BJ54" s="23">
        <f>IF(ISERROR(VLOOKUP($B54,[1]Hedef!$A$4:$ES$45409,117,0)),0,VLOOKUP($B54,[1]Hedef!$A$4:$ES$45409,117,0))</f>
        <v>0</v>
      </c>
      <c r="BK54" s="23">
        <f>IF((BI54-BJ54)&lt;0, "-", (BI54-BJ54))</f>
        <v>0.6</v>
      </c>
      <c r="BL54" s="80">
        <f t="shared" si="216"/>
        <v>0</v>
      </c>
      <c r="BM54" s="24"/>
      <c r="BN54" s="32">
        <v>0.41508</v>
      </c>
      <c r="BO54" s="59">
        <f>IF(ISERROR((BJ54-BN54)/BN54),0,(BJ54-BN54)/BN54)</f>
        <v>-1</v>
      </c>
      <c r="BP54" s="99"/>
      <c r="BQ54" s="22">
        <v>4.2</v>
      </c>
      <c r="BR54" s="23">
        <f t="shared" si="217"/>
        <v>0.42499999999999999</v>
      </c>
      <c r="BS54" s="23">
        <f>IF((BQ54-BR54)&lt;0, "-", (BQ54-BR54))</f>
        <v>3.7750000000000004</v>
      </c>
      <c r="BT54" s="80">
        <f t="shared" si="219"/>
        <v>0.1</v>
      </c>
      <c r="BU54" s="22">
        <f t="shared" si="220"/>
        <v>0</v>
      </c>
      <c r="BV54" s="22">
        <f t="shared" si="221"/>
        <v>2.7961999999999998</v>
      </c>
      <c r="BW54" s="59">
        <f t="shared" si="105"/>
        <v>-0.84800801087189759</v>
      </c>
      <c r="BX54" s="183"/>
      <c r="BY54" s="22">
        <v>0.86</v>
      </c>
      <c r="BZ54" s="23">
        <f>IF(ISERROR(VLOOKUP($B54,[1]Hedef!$A$4:$ES$45409,71,0)),0,VLOOKUP($B54,[1]Hedef!$A$4:$ES$45409,71,0))</f>
        <v>0.05</v>
      </c>
      <c r="CA54" s="23">
        <f t="shared" si="246"/>
        <v>0.80999999999999994</v>
      </c>
      <c r="CB54" s="80">
        <f t="shared" si="222"/>
        <v>0.05</v>
      </c>
      <c r="CC54" s="32">
        <v>0.58063999999999993</v>
      </c>
      <c r="CD54" s="59">
        <f t="shared" si="223"/>
        <v>-0.91388812344998616</v>
      </c>
      <c r="CE54" s="99"/>
      <c r="CF54" s="22">
        <v>1.04</v>
      </c>
      <c r="CG54" s="23">
        <f>IF(ISERROR(VLOOKUP($B54,[1]Hedef!$A$4:$ES$45409,87,0)),0,VLOOKUP($B54,[1]Hedef!$A$4:$ES$45409,87,0))</f>
        <v>0.05</v>
      </c>
      <c r="CH54" s="23">
        <f t="shared" si="247"/>
        <v>0.99</v>
      </c>
      <c r="CI54" s="80">
        <f t="shared" si="224"/>
        <v>0.04</v>
      </c>
      <c r="CJ54" s="32">
        <v>0.70296000000000003</v>
      </c>
      <c r="CK54" s="59">
        <f t="shared" si="225"/>
        <v>-0.92887219756458395</v>
      </c>
      <c r="CL54" s="99"/>
      <c r="CM54" s="22">
        <v>1.9</v>
      </c>
      <c r="CN54" s="23">
        <f t="shared" si="226"/>
        <v>0.1</v>
      </c>
      <c r="CO54" s="23">
        <f>IF((CM54-CN54)&lt;0, "-", (CM54-CN54))</f>
        <v>1.7999999999999998</v>
      </c>
      <c r="CP54" s="80">
        <f t="shared" si="228"/>
        <v>0.05</v>
      </c>
      <c r="CQ54" s="123">
        <f t="shared" si="229"/>
        <v>0</v>
      </c>
      <c r="CR54" s="23">
        <f t="shared" si="230"/>
        <v>1.2835999999999999</v>
      </c>
      <c r="CS54" s="59">
        <f t="shared" si="240"/>
        <v>-0.92209411031473976</v>
      </c>
      <c r="CT54" s="84"/>
      <c r="CU54" s="22">
        <f t="shared" si="231"/>
        <v>7.5</v>
      </c>
      <c r="CV54" s="23">
        <f>IF(ISERROR(VLOOKUP($B54,[1]Hedef!$A$4:$ES$45409,127,0)),0,VLOOKUP($B54,[1]Hedef!$A$4:$ES$45409,127,0))</f>
        <v>2.65</v>
      </c>
      <c r="CW54" s="159">
        <f>IF(ISERROR(VLOOKUP($B54,[1]Hedef!$A$4:$ES$45409,47,0)),0,VLOOKUP($B54,[1]Hedef!$A$4:$ES$45409,47,0))</f>
        <v>2.65</v>
      </c>
      <c r="CX54" s="23">
        <f>IF((CU54-CV54)&lt;0, "-", (CU54-CV54))</f>
        <v>4.8499999999999996</v>
      </c>
      <c r="CY54" s="80">
        <f t="shared" si="233"/>
        <v>0.35</v>
      </c>
      <c r="CZ54" s="26"/>
      <c r="DA54" s="32">
        <v>5.0096400000000001</v>
      </c>
      <c r="DB54" s="131">
        <f t="shared" si="234"/>
        <v>5.0096399999999992</v>
      </c>
      <c r="DC54" s="59">
        <f>IF(ISERROR((CV54-DA54)/DA54),0,(CV54-DA54)/DA54)</f>
        <v>-0.47101987368353815</v>
      </c>
      <c r="DD54" s="24"/>
      <c r="DE54" s="22">
        <v>7.5</v>
      </c>
      <c r="DF54" s="15">
        <f t="shared" si="236"/>
        <v>0</v>
      </c>
      <c r="DG54" s="99"/>
      <c r="DH54" s="92"/>
      <c r="DI54" s="24"/>
    </row>
    <row r="55" spans="1:113" ht="12.75" customHeight="1" x14ac:dyDescent="0.2">
      <c r="A55" s="24"/>
      <c r="B55" s="31">
        <v>32</v>
      </c>
      <c r="C55" s="194" t="s">
        <v>30</v>
      </c>
      <c r="D55" s="102"/>
      <c r="E55" s="193">
        <v>3.95</v>
      </c>
      <c r="F55" s="23">
        <f>IF(ISERROR(VLOOKUP($B55,[1]Hedef!$A$4:$ES$45409,25,0)),0,VLOOKUP($B55,[1]Hedef!$A$4:$ES$45409,25,0))+IF(ISERROR(VLOOKUP($B55,[1]Hedef!$A$4:$ES$45409,15,0)),0,VLOOKUP($B55,[1]Hedef!$A$4:$ES$45409,15,0))</f>
        <v>0.11635000000000001</v>
      </c>
      <c r="G55" s="23">
        <f t="shared" ref="G55:G56" si="253">IF((E55-F55)&lt;0, "-", (E55-F55))</f>
        <v>3.83365</v>
      </c>
      <c r="H55" s="80">
        <f t="shared" si="201"/>
        <v>0.02</v>
      </c>
      <c r="I55" s="24"/>
      <c r="J55" s="32">
        <v>4.1000999999999994</v>
      </c>
      <c r="K55" s="59">
        <f t="shared" si="242"/>
        <v>-0.97162264335016213</v>
      </c>
      <c r="L55" s="24"/>
      <c r="M55" s="44">
        <v>0.45</v>
      </c>
      <c r="N55" s="23">
        <f>IF(ISERROR(VLOOKUP($B55,[1]Hedef!$A$4:$ES$45409,41,0)),0,VLOOKUP($B55,[1]Hedef!$A$4:$ES$45409,41,0))</f>
        <v>1.406E-2</v>
      </c>
      <c r="O55" s="23">
        <f t="shared" si="203"/>
        <v>0.43593999999999999</v>
      </c>
      <c r="P55" s="80">
        <f t="shared" si="237"/>
        <v>0.03</v>
      </c>
      <c r="Q55" s="92"/>
      <c r="R55" s="32">
        <v>0.22925000000000001</v>
      </c>
      <c r="S55" s="59">
        <f t="shared" si="85"/>
        <v>-0.93866957470010914</v>
      </c>
      <c r="T55" s="102"/>
      <c r="U55" s="22">
        <v>0.5</v>
      </c>
      <c r="V55" s="23">
        <f>IF(ISERROR(VLOOKUP($B55,[1]Hedef!$A$4:$ES$45409,45,0)),0,VLOOKUP($B55,[1]Hedef!$A$4:$ES$45409,45,0))+IF(ISERROR(VLOOKUP($B55,[1]Hedef!$A$4:$ES$45409,109,0)),0,VLOOKUP($B55,[1]Hedef!$A$4:$ES$45409,109,0))</f>
        <v>0.12121999999999999</v>
      </c>
      <c r="W55" s="23">
        <f t="shared" si="204"/>
        <v>0.37878000000000001</v>
      </c>
      <c r="X55" s="80">
        <f t="shared" si="238"/>
        <v>0.24</v>
      </c>
      <c r="Y55" s="24"/>
      <c r="Z55" s="32">
        <v>0.39701000000000003</v>
      </c>
      <c r="AA55" s="59">
        <f t="shared" si="87"/>
        <v>-0.69466764061358655</v>
      </c>
      <c r="AB55" s="99"/>
      <c r="AC55" s="164">
        <v>4.9000000000000004</v>
      </c>
      <c r="AD55" s="23">
        <f t="shared" si="205"/>
        <v>0.25163000000000002</v>
      </c>
      <c r="AE55" s="23">
        <f t="shared" si="244"/>
        <v>4.6483699999999999</v>
      </c>
      <c r="AF55" s="80">
        <f t="shared" si="206"/>
        <v>0.05</v>
      </c>
      <c r="AG55" s="22">
        <f t="shared" si="207"/>
        <v>0</v>
      </c>
      <c r="AH55" s="44">
        <f t="shared" si="91"/>
        <v>4.7263599999999997</v>
      </c>
      <c r="AI55" s="59">
        <f t="shared" si="249"/>
        <v>-0.94676029756514513</v>
      </c>
      <c r="AJ55" s="24"/>
      <c r="AK55" s="22" t="s">
        <v>208</v>
      </c>
      <c r="AL55" s="23">
        <f>IF(ISERROR(VLOOKUP($B55,[1]Hedef!$A$4:$ES$45409,97,0)),0,VLOOKUP($B55,[1]Hedef!$A$4:$ES$45409,97,0))</f>
        <v>0</v>
      </c>
      <c r="AM55" s="23" t="e">
        <f t="shared" ref="AM55:AM56" si="254">IF((AK55-AL55)&lt;0, "-", (AK55-AL55))</f>
        <v>#VALUE!</v>
      </c>
      <c r="AN55" s="80" t="e">
        <f t="shared" si="209"/>
        <v>#VALUE!</v>
      </c>
      <c r="AO55" s="24"/>
      <c r="AP55" s="32">
        <v>2.7</v>
      </c>
      <c r="AQ55" s="59">
        <f t="shared" si="251"/>
        <v>-1</v>
      </c>
      <c r="AR55" s="24"/>
      <c r="AS55" s="22">
        <v>0.22</v>
      </c>
      <c r="AT55" s="23">
        <f>IF(ISERROR(VLOOKUP($B55,[1]Hedef!$A$4:$ES$45409,57,0)),0,VLOOKUP($B55,[1]Hedef!$A$4:$ES$45409,57,0))</f>
        <v>4.2050000000000004E-2</v>
      </c>
      <c r="AU55" s="23">
        <f t="shared" si="211"/>
        <v>0.17795</v>
      </c>
      <c r="AV55" s="80">
        <f t="shared" si="212"/>
        <v>0.19</v>
      </c>
      <c r="AW55" s="24"/>
      <c r="AX55" s="32">
        <v>0.20872000000000002</v>
      </c>
      <c r="AY55" s="59">
        <f t="shared" si="252"/>
        <v>-0.79853392104254506</v>
      </c>
      <c r="AZ55" s="92"/>
      <c r="BA55" s="22">
        <v>0.84</v>
      </c>
      <c r="BB55" s="23">
        <f>IF(ISERROR(VLOOKUP($B55,[1]Hedef!$A$4:$ES$45409,99,0)),0,VLOOKUP($B55,[1]Hedef!$A$4:$ES$45409,99,0))</f>
        <v>8.3299999999999999E-2</v>
      </c>
      <c r="BC55" s="23">
        <f t="shared" si="245"/>
        <v>0.75669999999999993</v>
      </c>
      <c r="BD55" s="80">
        <f t="shared" si="213"/>
        <v>0.09</v>
      </c>
      <c r="BE55" s="24"/>
      <c r="BF55" s="32">
        <v>0.80524999999999991</v>
      </c>
      <c r="BG55" s="59">
        <f t="shared" si="214"/>
        <v>-0.89655386525923619</v>
      </c>
      <c r="BH55" s="24"/>
      <c r="BI55" s="22">
        <v>0.69</v>
      </c>
      <c r="BJ55" s="23">
        <f>IF(ISERROR(VLOOKUP($B55,[1]Hedef!$A$4:$ES$45409,117,0)),0,VLOOKUP($B55,[1]Hedef!$A$4:$ES$45409,117,0))</f>
        <v>8.0359999999999987E-2</v>
      </c>
      <c r="BK55" s="23">
        <f t="shared" si="215"/>
        <v>0.60963999999999996</v>
      </c>
      <c r="BL55" s="80">
        <f t="shared" si="216"/>
        <v>0.11</v>
      </c>
      <c r="BM55" s="24"/>
      <c r="BN55" s="32">
        <v>0.66817000000000004</v>
      </c>
      <c r="BO55" s="59">
        <f t="shared" si="100"/>
        <v>-0.87973120613017652</v>
      </c>
      <c r="BP55" s="99"/>
      <c r="BQ55" s="22">
        <v>4.55</v>
      </c>
      <c r="BR55" s="23">
        <f t="shared" si="217"/>
        <v>0.20570999999999998</v>
      </c>
      <c r="BS55" s="23">
        <f t="shared" si="218"/>
        <v>4.34429</v>
      </c>
      <c r="BT55" s="80">
        <f t="shared" si="219"/>
        <v>0.04</v>
      </c>
      <c r="BU55" s="22" t="e">
        <f t="shared" si="220"/>
        <v>#VALUE!</v>
      </c>
      <c r="BV55" s="22">
        <f t="shared" si="221"/>
        <v>4.3821399999999997</v>
      </c>
      <c r="BW55" s="59">
        <f t="shared" si="105"/>
        <v>-0.95305718210737222</v>
      </c>
      <c r="BX55" s="183"/>
      <c r="BY55" s="22">
        <v>2.13</v>
      </c>
      <c r="BZ55" s="23">
        <f>IF(ISERROR(VLOOKUP($B55,[1]Hedef!$A$4:$ES$45409,71,0)),0,VLOOKUP($B55,[1]Hedef!$A$4:$ES$45409,71,0))</f>
        <v>0.19116000000000002</v>
      </c>
      <c r="CA55" s="23">
        <f t="shared" si="246"/>
        <v>1.9388399999999999</v>
      </c>
      <c r="CB55" s="80">
        <f t="shared" si="222"/>
        <v>0.08</v>
      </c>
      <c r="CC55" s="32">
        <v>2.0319500000000001</v>
      </c>
      <c r="CD55" s="59">
        <f t="shared" si="223"/>
        <v>-0.90592288196067816</v>
      </c>
      <c r="CE55" s="99"/>
      <c r="CF55" s="22">
        <v>1.42</v>
      </c>
      <c r="CG55" s="23">
        <f>IF(ISERROR(VLOOKUP($B55,[1]Hedef!$A$4:$ES$45409,87,0)),0,VLOOKUP($B55,[1]Hedef!$A$4:$ES$45409,87,0))</f>
        <v>8.7480000000000002E-2</v>
      </c>
      <c r="CH55" s="23">
        <f t="shared" si="247"/>
        <v>1.3325199999999999</v>
      </c>
      <c r="CI55" s="80">
        <f t="shared" si="224"/>
        <v>0.06</v>
      </c>
      <c r="CJ55" s="32">
        <v>1.37809</v>
      </c>
      <c r="CK55" s="59">
        <f t="shared" si="225"/>
        <v>-0.93652083681036802</v>
      </c>
      <c r="CL55" s="99"/>
      <c r="CM55" s="22">
        <v>3.55</v>
      </c>
      <c r="CN55" s="23">
        <f t="shared" si="226"/>
        <v>0.27864</v>
      </c>
      <c r="CO55" s="23">
        <f t="shared" si="227"/>
        <v>3.2713599999999996</v>
      </c>
      <c r="CP55" s="80">
        <f t="shared" si="228"/>
        <v>7.0000000000000007E-2</v>
      </c>
      <c r="CQ55" s="123">
        <f t="shared" si="229"/>
        <v>0</v>
      </c>
      <c r="CR55" s="23">
        <f t="shared" si="230"/>
        <v>3.4100400000000004</v>
      </c>
      <c r="CS55" s="59">
        <f t="shared" si="240"/>
        <v>-0.91828834852377095</v>
      </c>
      <c r="CT55" s="82"/>
      <c r="CU55" s="22">
        <f t="shared" si="231"/>
        <v>13</v>
      </c>
      <c r="CV55" s="23">
        <f>IF(ISERROR(VLOOKUP($B55,[1]Hedef!$A$4:$ES$45409,127,0)),0,VLOOKUP($B55,[1]Hedef!$A$4:$ES$45409,127,0))</f>
        <v>0.73597999999999997</v>
      </c>
      <c r="CW55" s="159">
        <f>IF(ISERROR(VLOOKUP($B55,[1]Hedef!$A$4:$ES$45409,47,0)),0,VLOOKUP($B55,[1]Hedef!$A$4:$ES$45409,47,0))</f>
        <v>0.73597999999999997</v>
      </c>
      <c r="CX55" s="23">
        <f t="shared" si="232"/>
        <v>12.26402</v>
      </c>
      <c r="CY55" s="80">
        <f t="shared" si="233"/>
        <v>0.05</v>
      </c>
      <c r="CZ55" s="26"/>
      <c r="DA55" s="32">
        <v>12.564120000000001</v>
      </c>
      <c r="DB55" s="131">
        <f t="shared" si="234"/>
        <v>12.51854</v>
      </c>
      <c r="DC55" s="59">
        <f t="shared" si="235"/>
        <v>-0.9414220812918056</v>
      </c>
      <c r="DD55" s="24"/>
      <c r="DE55" s="22">
        <v>13</v>
      </c>
      <c r="DF55" s="15">
        <f t="shared" si="236"/>
        <v>0</v>
      </c>
      <c r="DG55" s="99"/>
      <c r="DH55" s="92"/>
      <c r="DI55" s="24"/>
    </row>
    <row r="56" spans="1:113" ht="12.75" customHeight="1" thickBot="1" x14ac:dyDescent="0.25">
      <c r="A56" s="24"/>
      <c r="B56" s="31">
        <v>42</v>
      </c>
      <c r="C56" s="194" t="s">
        <v>31</v>
      </c>
      <c r="D56" s="102"/>
      <c r="E56" s="193">
        <v>64</v>
      </c>
      <c r="F56" s="23">
        <f>IF(ISERROR(VLOOKUP($B56,[1]Hedef!$A$4:$ES$45409,25,0)),0,VLOOKUP($B56,[1]Hedef!$A$4:$ES$45409,25,0))+IF(ISERROR(VLOOKUP($B56,[1]Hedef!$A$4:$ES$45409,15,0)),0,VLOOKUP($B56,[1]Hedef!$A$4:$ES$45409,15,0))</f>
        <v>5</v>
      </c>
      <c r="G56" s="23">
        <f t="shared" si="253"/>
        <v>59</v>
      </c>
      <c r="H56" s="80">
        <f t="shared" si="201"/>
        <v>7.0000000000000007E-2</v>
      </c>
      <c r="I56" s="24"/>
      <c r="J56" s="32">
        <v>55</v>
      </c>
      <c r="K56" s="59">
        <f t="shared" si="242"/>
        <v>-0.90909090909090906</v>
      </c>
      <c r="L56" s="24"/>
      <c r="M56" s="44">
        <v>35</v>
      </c>
      <c r="N56" s="23">
        <f>IF(ISERROR(VLOOKUP($B56,[1]Hedef!$A$4:$ES$45409,41,0)),0,VLOOKUP($B56,[1]Hedef!$A$4:$ES$45409,41,0))</f>
        <v>0</v>
      </c>
      <c r="O56" s="23">
        <f t="shared" si="203"/>
        <v>35</v>
      </c>
      <c r="P56" s="80">
        <f t="shared" si="237"/>
        <v>0</v>
      </c>
      <c r="Q56" s="92"/>
      <c r="R56" s="32">
        <v>1</v>
      </c>
      <c r="S56" s="59">
        <f t="shared" si="85"/>
        <v>-1</v>
      </c>
      <c r="T56" s="102"/>
      <c r="U56" s="22">
        <v>171</v>
      </c>
      <c r="V56" s="23">
        <f>IF(ISERROR(VLOOKUP($B56,[1]Hedef!$A$4:$ES$45409,45,0)),0,VLOOKUP($B56,[1]Hedef!$A$4:$ES$45409,45,0))+IF(ISERROR(VLOOKUP($B56,[1]Hedef!$A$4:$ES$45409,109,0)),0,VLOOKUP($B56,[1]Hedef!$A$4:$ES$45409,109,0))</f>
        <v>4</v>
      </c>
      <c r="W56" s="23">
        <f t="shared" si="204"/>
        <v>167</v>
      </c>
      <c r="X56" s="80">
        <f t="shared" si="238"/>
        <v>0.02</v>
      </c>
      <c r="Y56" s="24"/>
      <c r="Z56" s="32">
        <v>178</v>
      </c>
      <c r="AA56" s="59">
        <f t="shared" si="87"/>
        <v>-0.97752808988764039</v>
      </c>
      <c r="AB56" s="99"/>
      <c r="AC56" s="164">
        <v>270</v>
      </c>
      <c r="AD56" s="23">
        <f t="shared" si="205"/>
        <v>9</v>
      </c>
      <c r="AE56" s="23">
        <f t="shared" si="244"/>
        <v>261</v>
      </c>
      <c r="AF56" s="80">
        <f t="shared" si="206"/>
        <v>0.03</v>
      </c>
      <c r="AG56" s="22">
        <f t="shared" si="207"/>
        <v>0</v>
      </c>
      <c r="AH56" s="44">
        <f t="shared" si="91"/>
        <v>234</v>
      </c>
      <c r="AI56" s="59">
        <f t="shared" si="249"/>
        <v>-0.96153846153846156</v>
      </c>
      <c r="AJ56" s="24"/>
      <c r="AK56" s="22">
        <v>12</v>
      </c>
      <c r="AL56" s="23">
        <f>IF(ISERROR(VLOOKUP($B56,[1]Hedef!$A$4:$ES$45409,97,0)),0,VLOOKUP($B56,[1]Hedef!$A$4:$ES$45409,97,0))</f>
        <v>0</v>
      </c>
      <c r="AM56" s="23">
        <f t="shared" si="254"/>
        <v>12</v>
      </c>
      <c r="AN56" s="80">
        <f t="shared" si="209"/>
        <v>0</v>
      </c>
      <c r="AO56" s="24"/>
      <c r="AP56" s="32">
        <v>1</v>
      </c>
      <c r="AQ56" s="59">
        <f t="shared" si="251"/>
        <v>-1</v>
      </c>
      <c r="AR56" s="24"/>
      <c r="AS56" s="22">
        <v>20</v>
      </c>
      <c r="AT56" s="23">
        <f>IF(ISERROR(VLOOKUP($B56,[1]Hedef!$A$4:$ES$45409,57,0)),0,VLOOKUP($B56,[1]Hedef!$A$4:$ES$45409,57,0))</f>
        <v>0</v>
      </c>
      <c r="AU56" s="23">
        <f t="shared" si="211"/>
        <v>20</v>
      </c>
      <c r="AV56" s="80">
        <f t="shared" si="212"/>
        <v>0</v>
      </c>
      <c r="AW56" s="24"/>
      <c r="AX56" s="32">
        <v>19</v>
      </c>
      <c r="AY56" s="59">
        <f t="shared" si="96"/>
        <v>-1</v>
      </c>
      <c r="AZ56" s="92"/>
      <c r="BA56" s="22">
        <v>25</v>
      </c>
      <c r="BB56" s="23">
        <f>IF(ISERROR(VLOOKUP($B56,[1]Hedef!$A$4:$ES$45409,99,0)),0,VLOOKUP($B56,[1]Hedef!$A$4:$ES$45409,99,0))</f>
        <v>11</v>
      </c>
      <c r="BC56" s="23">
        <f t="shared" si="245"/>
        <v>14</v>
      </c>
      <c r="BD56" s="80">
        <f t="shared" si="213"/>
        <v>0.44</v>
      </c>
      <c r="BE56" s="24"/>
      <c r="BF56" s="32">
        <v>21</v>
      </c>
      <c r="BG56" s="59">
        <f t="shared" si="214"/>
        <v>-0.47619047619047616</v>
      </c>
      <c r="BH56" s="24"/>
      <c r="BI56" s="22">
        <v>18</v>
      </c>
      <c r="BJ56" s="23">
        <f>IF(ISERROR(VLOOKUP($B56,[1]Hedef!$A$4:$ES$45409,117,0)),0,VLOOKUP($B56,[1]Hedef!$A$4:$ES$45409,117,0))</f>
        <v>4</v>
      </c>
      <c r="BK56" s="23">
        <f t="shared" si="215"/>
        <v>14</v>
      </c>
      <c r="BL56" s="80">
        <f t="shared" si="216"/>
        <v>0.22</v>
      </c>
      <c r="BM56" s="24"/>
      <c r="BN56" s="32">
        <v>21</v>
      </c>
      <c r="BO56" s="59">
        <f t="shared" si="100"/>
        <v>-0.80952380952380953</v>
      </c>
      <c r="BP56" s="99"/>
      <c r="BQ56" s="22">
        <v>75</v>
      </c>
      <c r="BR56" s="23">
        <f t="shared" si="217"/>
        <v>15</v>
      </c>
      <c r="BS56" s="23">
        <f t="shared" si="218"/>
        <v>60</v>
      </c>
      <c r="BT56" s="80">
        <f t="shared" si="219"/>
        <v>0.2</v>
      </c>
      <c r="BU56" s="22">
        <f t="shared" si="220"/>
        <v>0</v>
      </c>
      <c r="BV56" s="22">
        <f t="shared" si="221"/>
        <v>62</v>
      </c>
      <c r="BW56" s="59">
        <f t="shared" si="105"/>
        <v>-0.75806451612903225</v>
      </c>
      <c r="BX56" s="183"/>
      <c r="BY56" s="22">
        <v>42</v>
      </c>
      <c r="BZ56" s="23">
        <f>IF(ISERROR(VLOOKUP($B56,[1]Hedef!$A$4:$ES$45409,71,0)),0,VLOOKUP($B56,[1]Hedef!$A$4:$ES$45409,71,0))</f>
        <v>11</v>
      </c>
      <c r="CA56" s="23">
        <f t="shared" si="246"/>
        <v>31</v>
      </c>
      <c r="CB56" s="80">
        <f t="shared" si="222"/>
        <v>0.26</v>
      </c>
      <c r="CC56" s="32">
        <v>37</v>
      </c>
      <c r="CD56" s="59">
        <f t="shared" si="223"/>
        <v>-0.70270270270270274</v>
      </c>
      <c r="CE56" s="99"/>
      <c r="CF56" s="22">
        <v>63</v>
      </c>
      <c r="CG56" s="23">
        <f>IF(ISERROR(VLOOKUP($B56,[1]Hedef!$A$4:$ES$45409,87,0)),0,VLOOKUP($B56,[1]Hedef!$A$4:$ES$45409,87,0))</f>
        <v>10</v>
      </c>
      <c r="CH56" s="23">
        <f t="shared" si="247"/>
        <v>53</v>
      </c>
      <c r="CI56" s="80">
        <f t="shared" si="224"/>
        <v>0.15</v>
      </c>
      <c r="CJ56" s="32">
        <v>55</v>
      </c>
      <c r="CK56" s="59">
        <f t="shared" si="225"/>
        <v>-0.81818181818181823</v>
      </c>
      <c r="CL56" s="99"/>
      <c r="CM56" s="22">
        <v>105</v>
      </c>
      <c r="CN56" s="23">
        <f t="shared" si="226"/>
        <v>21</v>
      </c>
      <c r="CO56" s="23">
        <f t="shared" si="227"/>
        <v>84</v>
      </c>
      <c r="CP56" s="80">
        <f t="shared" si="228"/>
        <v>0.2</v>
      </c>
      <c r="CQ56" s="123">
        <f t="shared" si="229"/>
        <v>0</v>
      </c>
      <c r="CR56" s="23">
        <f t="shared" si="230"/>
        <v>92</v>
      </c>
      <c r="CS56" s="59">
        <f t="shared" si="240"/>
        <v>-0.77173913043478259</v>
      </c>
      <c r="CT56" s="82"/>
      <c r="CU56" s="22">
        <f t="shared" si="231"/>
        <v>450</v>
      </c>
      <c r="CV56" s="23">
        <f>IF(ISERROR(VLOOKUP($B56,[1]Hedef!$A$4:$ES$45409,127,0)),0,VLOOKUP($B56,[1]Hedef!$A$4:$ES$45409,127,0))</f>
        <v>45</v>
      </c>
      <c r="CW56" s="159">
        <f>IF(ISERROR(VLOOKUP($B56,[1]Hedef!$A$4:$ES$45409,47,0)),0,VLOOKUP($B56,[1]Hedef!$A$4:$ES$45409,47,0))</f>
        <v>45</v>
      </c>
      <c r="CX56" s="23">
        <f t="shared" si="232"/>
        <v>405</v>
      </c>
      <c r="CY56" s="80">
        <f t="shared" si="233"/>
        <v>0.1</v>
      </c>
      <c r="CZ56" s="26"/>
      <c r="DA56" s="32">
        <v>388</v>
      </c>
      <c r="DB56" s="131">
        <f t="shared" si="234"/>
        <v>388</v>
      </c>
      <c r="DC56" s="59">
        <f t="shared" si="235"/>
        <v>-0.884020618556701</v>
      </c>
      <c r="DD56" s="24"/>
      <c r="DE56" s="22">
        <v>450</v>
      </c>
      <c r="DF56" s="15">
        <f t="shared" si="236"/>
        <v>0</v>
      </c>
      <c r="DG56" s="99"/>
      <c r="DH56" s="92"/>
      <c r="DI56" s="24"/>
    </row>
    <row r="57" spans="1:113" ht="12.75" customHeight="1" thickTop="1" thickBot="1" x14ac:dyDescent="0.25">
      <c r="A57" s="42"/>
      <c r="B57" s="71" t="s">
        <v>54</v>
      </c>
      <c r="C57" s="196" t="s">
        <v>32</v>
      </c>
      <c r="D57" s="42"/>
      <c r="E57" s="188">
        <f>SUM(E46:E56)</f>
        <v>82.31</v>
      </c>
      <c r="F57" s="67">
        <f>SUM(F46:F56)</f>
        <v>7.7518159999999998</v>
      </c>
      <c r="G57" s="67">
        <f>SUM(G46:G56)</f>
        <v>75.358183999999994</v>
      </c>
      <c r="H57" s="39">
        <f>TRUNC(IF((F57/E57)&gt;1.2,"120%",(F57/E57)),2)</f>
        <v>0.09</v>
      </c>
      <c r="I57" s="42"/>
      <c r="J57" s="67"/>
      <c r="K57" s="60"/>
      <c r="L57" s="24"/>
      <c r="M57" s="67">
        <f>SUM(M46:M56)</f>
        <v>47.98</v>
      </c>
      <c r="N57" s="67">
        <f>SUM(N46:N56)</f>
        <v>0.65004999999999991</v>
      </c>
      <c r="O57" s="67">
        <f>SUM(O46:O56)</f>
        <v>47.329949999999997</v>
      </c>
      <c r="P57" s="39">
        <f>TRUNC(IF((N57/M57)&gt;1.2,"120%",(N57/M57)),2)</f>
        <v>0.01</v>
      </c>
      <c r="Q57" s="42"/>
      <c r="R57" s="115"/>
      <c r="S57" s="60"/>
      <c r="T57" s="42"/>
      <c r="U57" s="67">
        <f>SUM(U46:U56)</f>
        <v>192.66</v>
      </c>
      <c r="V57" s="67">
        <f>SUM(V46:V56)</f>
        <v>5.2954328000000004</v>
      </c>
      <c r="W57" s="67">
        <f>SUM(W46:W56)</f>
        <v>187.38856720000001</v>
      </c>
      <c r="X57" s="39">
        <f>TRUNC(IF((V57/U57)&gt;1.2,"120%",(V57/U57)),2)</f>
        <v>0.02</v>
      </c>
      <c r="Y57" s="42"/>
      <c r="Z57" s="67"/>
      <c r="AA57" s="60"/>
      <c r="AB57" s="99"/>
      <c r="AC57" s="67">
        <f>SUM(AC46:AC56)</f>
        <v>322.95</v>
      </c>
      <c r="AD57" s="67">
        <f>SUM(AD46:AD56)</f>
        <v>13.6972988</v>
      </c>
      <c r="AE57" s="67">
        <f>SUM(AE46:AE56)</f>
        <v>309.97770120000001</v>
      </c>
      <c r="AF57" s="39">
        <f>TRUNC(IF((AD57/AC57)&gt;1.2,"120%",(AD57/AC57)),2)</f>
        <v>0.04</v>
      </c>
      <c r="AG57" s="67"/>
      <c r="AH57" s="67"/>
      <c r="AI57" s="60"/>
      <c r="AJ57" s="42"/>
      <c r="AK57" s="67">
        <f>SUM(AK46:AK56)</f>
        <v>23.21</v>
      </c>
      <c r="AL57" s="67">
        <f>SUM(AL46:AL56)</f>
        <v>0.43125000000000002</v>
      </c>
      <c r="AM57" s="67" t="e">
        <f>SUM(AM46:AM56)</f>
        <v>#VALUE!</v>
      </c>
      <c r="AN57" s="39">
        <f>TRUNC(IF((AL57/AK57)&gt;1.2,"120%",(AL57/AK57)),2)</f>
        <v>0.01</v>
      </c>
      <c r="AO57" s="42"/>
      <c r="AP57" s="67"/>
      <c r="AQ57" s="60"/>
      <c r="AR57" s="42"/>
      <c r="AS57" s="67">
        <f>SUM(AS46:AS56)</f>
        <v>27.95</v>
      </c>
      <c r="AT57" s="67">
        <f>SUM(AT46:AT56)</f>
        <v>0.83541100000000013</v>
      </c>
      <c r="AU57" s="67">
        <f>SUM(AU46:AU56)</f>
        <v>27.114588999999999</v>
      </c>
      <c r="AV57" s="39">
        <f>TRUNC(IF((AT57/AS57)&gt;1.2,"120%",(AT57/AS57)),2)</f>
        <v>0.02</v>
      </c>
      <c r="AW57" s="42"/>
      <c r="AX57" s="67"/>
      <c r="AY57" s="60"/>
      <c r="AZ57" s="42"/>
      <c r="BA57" s="67">
        <f>SUM(BA46:BA56)</f>
        <v>33.980000000000004</v>
      </c>
      <c r="BB57" s="67">
        <f>SUM(BB46:BB56)</f>
        <v>12.296987999999999</v>
      </c>
      <c r="BC57" s="67">
        <f>SUM(BC46:BC56)</f>
        <v>21.683011999999998</v>
      </c>
      <c r="BD57" s="39">
        <f>TRUNC(IF((BB57/BA57)&gt;1.2,"120%",(BB57/BA57)),2)</f>
        <v>0.36</v>
      </c>
      <c r="BE57" s="42"/>
      <c r="BF57" s="67"/>
      <c r="BG57" s="60"/>
      <c r="BH57" s="42"/>
      <c r="BI57" s="67">
        <f>SUM(BI46:BI56)</f>
        <v>26.39</v>
      </c>
      <c r="BJ57" s="67">
        <f>SUM(BJ46:BJ56)</f>
        <v>4.5484140000000002</v>
      </c>
      <c r="BK57" s="67">
        <f>SUM(BK46:BK56)</f>
        <v>21.841586</v>
      </c>
      <c r="BL57" s="39">
        <f>TRUNC(IF((BJ57/BI57)&gt;1.2,"120%",(BJ57/BI57)),2)</f>
        <v>0.17</v>
      </c>
      <c r="BM57" s="42"/>
      <c r="BN57" s="67"/>
      <c r="BO57" s="60"/>
      <c r="BP57" s="99"/>
      <c r="BQ57" s="67">
        <f>SUM(BQ46:BQ56)</f>
        <v>114.53</v>
      </c>
      <c r="BR57" s="67">
        <f>SUM(BR46:BR56)</f>
        <v>18.112062999999999</v>
      </c>
      <c r="BS57" s="67">
        <f>SUM(BS46:BS56)</f>
        <v>96.417936999999995</v>
      </c>
      <c r="BT57" s="39">
        <f>TRUNC(IF((BR57/BQ57)&gt;1.2,"120%",(BR57/BQ57)),2)</f>
        <v>0.15</v>
      </c>
      <c r="BU57" s="67"/>
      <c r="BV57" s="67"/>
      <c r="BW57" s="60"/>
      <c r="BX57" s="183"/>
      <c r="BY57" s="67">
        <f>SUM(BY46:BY56)</f>
        <v>58.730000000000004</v>
      </c>
      <c r="BZ57" s="67">
        <f>SUM(BZ46:BZ56)</f>
        <v>12.2249011</v>
      </c>
      <c r="CA57" s="67">
        <f>SUM(CA46:CA56)</f>
        <v>46.5050989</v>
      </c>
      <c r="CB57" s="39">
        <f>TRUNC(IF((BZ57/BY57)&gt;1.2,"120%",(BZ57/BY57)),2)</f>
        <v>0.2</v>
      </c>
      <c r="CC57" s="67"/>
      <c r="CD57" s="60"/>
      <c r="CE57" s="99"/>
      <c r="CF57" s="67">
        <f>SUM(CF46:CF56)</f>
        <v>91.669999999999987</v>
      </c>
      <c r="CG57" s="67">
        <f>SUM(CG46:CG56)</f>
        <v>11.9020338</v>
      </c>
      <c r="CH57" s="67">
        <f>SUM(CH46:CH56)</f>
        <v>79.767966200000004</v>
      </c>
      <c r="CI57" s="39">
        <f>TRUNC(IF((CG57/CF57)&gt;1.2,"120%",(CG57/CF57)),2)</f>
        <v>0.12</v>
      </c>
      <c r="CJ57" s="67"/>
      <c r="CK57" s="60"/>
      <c r="CL57" s="99"/>
      <c r="CM57" s="67">
        <f>SUM(CM46:CM56)</f>
        <v>150.64999999999998</v>
      </c>
      <c r="CN57" s="67">
        <f>SUM(CN46:CN56)</f>
        <v>24.126934900000002</v>
      </c>
      <c r="CO57" s="67">
        <f>SUM(CO46:CO56)</f>
        <v>126.5230651</v>
      </c>
      <c r="CP57" s="39">
        <f>TRUNC(IF((CN57/CM57)&gt;1.2,"120%",(CN57/CM57)),2)</f>
        <v>0.16</v>
      </c>
      <c r="CQ57" s="67"/>
      <c r="CR57" s="67"/>
      <c r="CS57" s="60"/>
      <c r="CT57" s="83"/>
      <c r="CU57" s="67">
        <f>SUM(CU46:CU56)</f>
        <v>588.13</v>
      </c>
      <c r="CV57" s="67">
        <f>SUM(CV46:CV56)</f>
        <v>55.9362967</v>
      </c>
      <c r="CW57" s="160">
        <f>SUM(CW46:CW56)</f>
        <v>56.036666699999998</v>
      </c>
      <c r="CX57" s="40">
        <f>SUM(CX46:CX56)</f>
        <v>532.19370330000004</v>
      </c>
      <c r="CY57" s="39">
        <f>TRUNC(IF((CV57/CU57)&gt;1.2,"120%",(CV57/CU57)),2)</f>
        <v>0.09</v>
      </c>
      <c r="CZ57" s="43"/>
      <c r="DA57" s="67"/>
      <c r="DB57" s="67"/>
      <c r="DC57" s="60"/>
      <c r="DD57" s="42"/>
      <c r="DE57" s="67">
        <f>SUM(DE46:DE56)</f>
        <v>588.13</v>
      </c>
      <c r="DF57" s="8">
        <v>0</v>
      </c>
      <c r="DG57" s="99"/>
      <c r="DH57" s="92"/>
      <c r="DI57" s="42"/>
    </row>
    <row r="58" spans="1:113" ht="15" customHeight="1" thickTop="1" x14ac:dyDescent="0.2">
      <c r="A58" s="24"/>
      <c r="B58" s="26"/>
      <c r="C58" s="24"/>
      <c r="D58" s="24"/>
      <c r="E58" s="25"/>
      <c r="F58" s="24"/>
      <c r="G58" s="24"/>
      <c r="H58" s="24"/>
      <c r="I58" s="24"/>
      <c r="J58" s="25"/>
      <c r="K58" s="24"/>
      <c r="L58" s="24"/>
      <c r="M58" s="25"/>
      <c r="N58" s="24"/>
      <c r="O58" s="24"/>
      <c r="P58" s="24"/>
      <c r="Q58" s="24"/>
      <c r="R58" s="4"/>
      <c r="S58" s="24"/>
      <c r="T58" s="24"/>
      <c r="U58" s="25"/>
      <c r="V58" s="24"/>
      <c r="W58" s="24"/>
      <c r="X58" s="24"/>
      <c r="Y58" s="24"/>
      <c r="Z58" s="25"/>
      <c r="AA58" s="24"/>
      <c r="AB58" s="99"/>
      <c r="AC58" s="25"/>
      <c r="AD58" s="24"/>
      <c r="AE58" s="24"/>
      <c r="AF58" s="24"/>
      <c r="AG58" s="26"/>
      <c r="AH58" s="25"/>
      <c r="AI58" s="24"/>
      <c r="AJ58" s="24"/>
      <c r="AK58" s="13"/>
      <c r="AL58" s="24"/>
      <c r="AM58" s="24"/>
      <c r="AN58" s="24"/>
      <c r="AO58" s="24"/>
      <c r="AP58" s="24"/>
      <c r="AQ58" s="24"/>
      <c r="AR58" s="24"/>
      <c r="AS58" s="25"/>
      <c r="AT58" s="24"/>
      <c r="AU58" s="24"/>
      <c r="AV58" s="24"/>
      <c r="AW58" s="24"/>
      <c r="AX58" s="4"/>
      <c r="AY58" s="24"/>
      <c r="AZ58" s="24"/>
      <c r="BA58" s="25"/>
      <c r="BB58" s="24"/>
      <c r="BC58" s="24"/>
      <c r="BD58" s="24"/>
      <c r="BE58" s="24"/>
      <c r="BF58" s="25"/>
      <c r="BG58" s="24"/>
      <c r="BH58" s="24"/>
      <c r="BI58" s="25"/>
      <c r="BJ58" s="24"/>
      <c r="BK58" s="24"/>
      <c r="BL58" s="24"/>
      <c r="BM58" s="24"/>
      <c r="BN58" s="25"/>
      <c r="BO58" s="24"/>
      <c r="BP58" s="99"/>
      <c r="BQ58" s="25"/>
      <c r="BR58" s="24"/>
      <c r="BS58" s="24"/>
      <c r="BT58" s="24"/>
      <c r="BU58" s="26"/>
      <c r="BV58" s="25"/>
      <c r="BW58" s="24"/>
      <c r="BX58" s="182"/>
      <c r="BY58" s="13"/>
      <c r="BZ58" s="24"/>
      <c r="CA58" s="24"/>
      <c r="CB58" s="13"/>
      <c r="CC58" s="13"/>
      <c r="CD58" s="13"/>
      <c r="CE58" s="24"/>
      <c r="CF58" s="13"/>
      <c r="CG58" s="24"/>
      <c r="CH58" s="24"/>
      <c r="CI58" s="24"/>
      <c r="CJ58" s="4"/>
      <c r="CK58" s="24"/>
      <c r="CL58" s="24"/>
      <c r="CM58" s="25"/>
      <c r="CN58" s="24"/>
      <c r="CO58" s="24"/>
      <c r="CP58" s="24"/>
      <c r="CQ58" s="26"/>
      <c r="CR58" s="25"/>
      <c r="CS58" s="24"/>
      <c r="CT58" s="24"/>
      <c r="CU58" s="25"/>
      <c r="CV58" s="24"/>
      <c r="CW58" s="24"/>
      <c r="CX58" s="24"/>
      <c r="CY58" s="24"/>
      <c r="CZ58" s="26"/>
      <c r="DA58" s="25"/>
      <c r="DB58" s="25"/>
      <c r="DC58" s="24"/>
      <c r="DD58" s="24"/>
      <c r="DE58" s="26">
        <v>595.5</v>
      </c>
      <c r="DF58" s="64"/>
      <c r="DG58" s="99"/>
      <c r="DH58" s="92"/>
      <c r="DI58" s="24"/>
    </row>
    <row r="59" spans="1:113" ht="15" customHeight="1" x14ac:dyDescent="0.2">
      <c r="A59" s="24"/>
      <c r="B59" s="31"/>
      <c r="C59" s="49"/>
      <c r="D59" s="24"/>
      <c r="E59" s="25"/>
      <c r="F59" s="24"/>
      <c r="G59" s="24"/>
      <c r="H59" s="37">
        <f>TRUNC((H56+H55+H46+H44+H41+H40+H38+H37+H36+H35+H34+H33+H32+H31+H11+H29+H28+H27+H26+H25+H23+H22+H19+H18+H16+H15+H14+H12+H10+H9+H8+H7+H6+H5+H48+H24+H52+H42+H54+H43+H50+H47+H51+H49+H53)/45,2)</f>
        <v>0.12</v>
      </c>
      <c r="I59" s="24"/>
      <c r="J59" s="69" t="s">
        <v>41</v>
      </c>
      <c r="K59" s="61">
        <f>COUNTIF(K5:K56,"&gt;10%")</f>
        <v>3</v>
      </c>
      <c r="L59" s="61"/>
      <c r="M59" s="25"/>
      <c r="N59" s="24"/>
      <c r="O59" s="24"/>
      <c r="P59" s="37">
        <f>TRUNC((P56+P55+P46+P44+P41+P40+P38+P37+P36+P35+P34+P33+P32+P31+P11+P29+P28+P27+P26+P25+P23+P22+P19+P18+P16+P15+P14+P12+P10+P9+P8+P7+P6+P5+P48+P24+P52+P42+P54+P43+P50+P47+P51+P49+P53)/42,2)</f>
        <v>0.03</v>
      </c>
      <c r="Q59" s="24"/>
      <c r="R59" s="69" t="s">
        <v>41</v>
      </c>
      <c r="S59" s="61">
        <f>COUNTIF(S5:S56,"&gt;10%")</f>
        <v>0</v>
      </c>
      <c r="T59" s="24"/>
      <c r="U59" s="25"/>
      <c r="V59" s="24"/>
      <c r="W59" s="24"/>
      <c r="X59" s="37">
        <f>TRUNC((X56+X55+X46+X44+X41+X40+X38+X37+X36+X35+X34+X33+X32+X31+X11+X29+X28+X27+X26+X25+X23+X22+X19+X18+X16+X15+X14+X12+X10+X9+X8+X7+X6+X5+X48+X24+X52+X42+X54+X43+X50+X47+X51+X49+X53)/41,2)</f>
        <v>7.0000000000000007E-2</v>
      </c>
      <c r="Y59" s="24"/>
      <c r="Z59" s="69" t="s">
        <v>41</v>
      </c>
      <c r="AA59" s="61">
        <f>COUNTIF(AA5:AA56,"&gt;10%")</f>
        <v>1</v>
      </c>
      <c r="AB59" s="24"/>
      <c r="AC59" s="25"/>
      <c r="AD59" s="24"/>
      <c r="AE59" s="24"/>
      <c r="AF59" s="37">
        <f>TRUNC((AF56+AF55+AF46+AF44+AF41+AF40+AF38+AF37+AF36+AF35+AF34+AF33+AF32+AF31+AF11+AF29+AF28+AF27+AF26+AF25+AF23+AF22+AF19+AF18+AF16+AF15+AF14+AF12+AF10+AF9+AF8+AF7+AF6+AF5+AF48+AF24+AF52+AF42+AF54+AF43+AF50+AF47+AF51+AF49+AF53)/45,2)</f>
        <v>0.08</v>
      </c>
      <c r="AG59" s="76"/>
      <c r="AH59" s="69" t="s">
        <v>41</v>
      </c>
      <c r="AI59" s="62">
        <f>COUNTIF(AI5:AI56,"&gt;10%")</f>
        <v>1</v>
      </c>
      <c r="AJ59" s="24"/>
      <c r="AK59" s="13"/>
      <c r="AL59" s="24"/>
      <c r="AM59" s="24"/>
      <c r="AN59" s="37" t="e">
        <f>TRUNC((AN56+AN55+AN46+AN44+AN41+AN40+AN38+AN37+AN36+AN35+AN34+AN33+AN32+AN31+AN11+AN29+AN28+AN27+AN26+AN25+AN23+AN22+AN19+AN18+AN16+AN15+AN14+AN12+AN10+AN9+AN8+AN7+AN6+AN5+AN48+AN24+AN52+AN42+AN54+AN43+AN50+AN47+AN51+AN49+AN53)/45,2)</f>
        <v>#VALUE!</v>
      </c>
      <c r="AO59" s="24"/>
      <c r="AP59" s="69" t="s">
        <v>41</v>
      </c>
      <c r="AQ59" s="62">
        <f>COUNTIF(AQ5:AQ56,"&gt;10%")</f>
        <v>0</v>
      </c>
      <c r="AR59" s="24"/>
      <c r="AS59" s="25"/>
      <c r="AT59" s="24"/>
      <c r="AU59" s="24"/>
      <c r="AV59" s="37">
        <f>TRUNC((AV56+AV55+AV46+AV44+AV41+AV40+AV38+AV37+AV36+AV35+AV34+AV33+AV32+AV31+AV11+AV29+AV28+AV27+AV26+AV25+AV23+AV22+AV19+AV18+AV16+AV15+AV14+AV12+AV10+AV9+AV8+AV7+AV6+AV5+AV48+AV24+AV52+AV42+AV54+AV43+AV50+AV47+AV51+AV49+AV53)/43,2)</f>
        <v>0.09</v>
      </c>
      <c r="AW59" s="24"/>
      <c r="AX59" s="69" t="s">
        <v>41</v>
      </c>
      <c r="AY59" s="62">
        <f>COUNTIF(AY5:AY56,"&gt;10%")</f>
        <v>2</v>
      </c>
      <c r="AZ59" s="24"/>
      <c r="BA59" s="25"/>
      <c r="BB59" s="24"/>
      <c r="BC59" s="24"/>
      <c r="BD59" s="37" t="e">
        <f>TRUNC((BD56+BD55+BD46+BD44+BD41+BD40+BD38+BD37+BD36+BD35+BD34+BD33+BD32+BD31+BD11+BD29+BD28+BD27+BD26+BD25+BD23+BD22+BD19+BD18+BD16+BD15+BD14+BD12+BD10+BD9+BD8+BD7+BD6+BD5+BD48+BD24+BD52+BD42+BD54+BD43+BD50+BD47+BD51+BD49+BD53)/45,2)</f>
        <v>#DIV/0!</v>
      </c>
      <c r="BE59" s="24"/>
      <c r="BF59" s="69" t="s">
        <v>41</v>
      </c>
      <c r="BG59" s="62">
        <f>COUNTIF(BG5:BG56,"&gt;10%")</f>
        <v>0</v>
      </c>
      <c r="BH59" s="24"/>
      <c r="BI59" s="25"/>
      <c r="BJ59" s="24"/>
      <c r="BK59" s="24"/>
      <c r="BL59" s="37">
        <f>TRUNC((BL56+BL55+BL46+BL44+BL41+BL40+BL38+BL37+BL36+BL35+BL34+BL33+BL32+BL31+BL11+BL29+BL28+BL27+BL26+BL25+BL23+BL22+BL19+BL18+BL16+BL15+BL14+BL12+BL10+BL9+BL8+BL7+BL6+BL5+BL48+BL24+BL52+BL42+BL54+BL43+BL50+BL47+BL51+BL49+BL53)/44,2)</f>
        <v>0.08</v>
      </c>
      <c r="BM59" s="24"/>
      <c r="BN59" s="69" t="s">
        <v>41</v>
      </c>
      <c r="BO59" s="62">
        <f>COUNTIF(BO5:BO56,"&gt;10%")</f>
        <v>0</v>
      </c>
      <c r="BP59" s="99"/>
      <c r="BQ59" s="25"/>
      <c r="BR59" s="24"/>
      <c r="BS59" s="24"/>
      <c r="BT59" s="37">
        <f>TRUNC((BT56+BT55+BT46+BT44+BT41+BT40+BT38+BT37+BT36+BT35+BT34+BT33+BT32+BT31+BT11+BT29+BT28+BT27+BT26+BT25+BT23+BT22+BT19+BT18+BT16+BT15+BT14+BT12+BT10+BT9+BT8+BT7+BT6+BT5+BT48+BT24+BT52+BT42+BT54+BT43+BT50+BT47+BT51+BT49+BT53)/45,2)</f>
        <v>0.06</v>
      </c>
      <c r="BU59" s="76"/>
      <c r="BV59" s="69" t="s">
        <v>41</v>
      </c>
      <c r="BW59" s="62">
        <f>COUNTIF(BW5:BW56,"&gt;10%")</f>
        <v>0</v>
      </c>
      <c r="BX59" s="182"/>
      <c r="BY59" s="13"/>
      <c r="BZ59" s="24"/>
      <c r="CA59" s="24"/>
      <c r="CB59" s="37">
        <f>TRUNC((CB56+CB55+CB46+CB44+CB41+CB40+CB38+CB37+CB36+CB35+CB34+CB33+CB32+CB31+CB11+CB29+CB28+CB27+CB26+CB25+CB23+CB22+CB19+CB18+CB16+CB15+CB14+CB12+CB10+CB9+CB8+CB7+CB6+CB5+CB48+CB24+CB52+CB42+CB54+CB43+CB50+CB47+CB51+CB49+CB53)/45,2)</f>
        <v>0.14000000000000001</v>
      </c>
      <c r="CC59" s="69" t="s">
        <v>41</v>
      </c>
      <c r="CD59" s="62">
        <f>COUNTIF(CD5:CD56,"&gt;10%")</f>
        <v>2</v>
      </c>
      <c r="CE59" s="62"/>
      <c r="CF59" s="13"/>
      <c r="CG59" s="24"/>
      <c r="CH59" s="24"/>
      <c r="CI59" s="37">
        <f>TRUNC((CI56+CI55+CI46+CI44+CI41+CI40+CI38+CI37+CI36+CI35+CI34+CI33+CI32+CI31+CI11+CI29+CI28+CI27+CI26+CI25+CI23+CI22+CI19+CI18+CI16+CI15+CI14+CI12+CI10+CI9+CI8+CI7+CI6+CI5+CI48+CI24+CI52+CI42+CI54+CI43+CI50+CI47+CI51+CI49+CI53)/44,2)</f>
        <v>0.06</v>
      </c>
      <c r="CJ59" s="69" t="s">
        <v>41</v>
      </c>
      <c r="CK59" s="62">
        <f>COUNTIF(CK5:CK56,"&gt;10%")</f>
        <v>0</v>
      </c>
      <c r="CL59" s="24"/>
      <c r="CM59" s="25"/>
      <c r="CN59" s="24"/>
      <c r="CO59" s="24"/>
      <c r="CP59" s="37">
        <f>TRUNC((CP56+CP55+CP46+CP44+CP41+CP40+CP38+CP37+CP36+CP35+CP34+CP33+CP32+CP31+CP11+CP29+CP28+CP27+CP26+CP25+CP23+CP22+CP19+CP18+CP16+CP15+CP14+CP12+CP10+CP9+CP8+CP7+CP6+CP5+CP48+CP24+CP52+CP42+CP54+CP43+CP50+CP47+CP51+CP49+CP53)/45,2)</f>
        <v>0.09</v>
      </c>
      <c r="CQ59" s="76"/>
      <c r="CR59" s="69" t="s">
        <v>41</v>
      </c>
      <c r="CS59" s="62">
        <f>COUNTIF(CS5:CS56,"&gt;10%")</f>
        <v>0</v>
      </c>
      <c r="CT59" s="62"/>
      <c r="CU59" s="25"/>
      <c r="CV59" s="24"/>
      <c r="CW59" s="24"/>
      <c r="CX59" s="24"/>
      <c r="CY59" s="37">
        <f>TRUNC((CY56+CY55+CY46+CY44+CY41+CY40+CY38+CY37+CY36+CY35+CY34+CY33+CY32+CY31+CY11+CY29+CY28+CY27+CY26+CY25+CY23+CY22+CY19+CY18+CY16+CY15+CY14+CY12+CY10+CY9+CY8+CY7+CY6+CY5+CY48+CY24+CY52+CY42+CY54+CY43+CY50+CY47+CY51+CY49+CY53)/45,2)</f>
        <v>0.06</v>
      </c>
      <c r="CZ59" s="26"/>
      <c r="DA59" s="69" t="s">
        <v>41</v>
      </c>
      <c r="DB59" s="69"/>
      <c r="DC59" s="62">
        <f>COUNTIF(DC5:DC56,"&gt;10%")</f>
        <v>0</v>
      </c>
      <c r="DD59" s="62"/>
      <c r="DE59" s="76"/>
      <c r="DF59" s="64"/>
      <c r="DG59" s="26"/>
      <c r="DH59" s="24"/>
      <c r="DI59" s="24"/>
    </row>
    <row r="60" spans="1:113" ht="15" customHeight="1" x14ac:dyDescent="0.2">
      <c r="A60" s="49"/>
      <c r="B60" s="26"/>
      <c r="C60" s="49"/>
      <c r="D60" s="49"/>
      <c r="E60" s="50"/>
      <c r="F60" s="49"/>
      <c r="G60" s="49"/>
      <c r="H60" s="51"/>
      <c r="I60" s="49"/>
      <c r="J60" s="25"/>
      <c r="K60" s="61"/>
      <c r="L60" s="61"/>
      <c r="M60" s="50"/>
      <c r="N60" s="49"/>
      <c r="O60" s="49"/>
      <c r="P60" s="51"/>
      <c r="Q60" s="49"/>
      <c r="R60" s="25"/>
      <c r="S60" s="61"/>
      <c r="T60" s="49"/>
      <c r="U60" s="50"/>
      <c r="V60" s="49"/>
      <c r="W60" s="49"/>
      <c r="X60" s="51"/>
      <c r="Y60" s="49"/>
      <c r="Z60" s="25"/>
      <c r="AA60" s="61"/>
      <c r="AB60" s="49"/>
      <c r="AC60" s="50"/>
      <c r="AD60" s="49"/>
      <c r="AE60" s="49"/>
      <c r="AF60" s="51"/>
      <c r="AG60" s="26"/>
      <c r="AH60" s="25"/>
      <c r="AI60" s="61"/>
      <c r="AJ60" s="49"/>
      <c r="AK60" s="13"/>
      <c r="AL60" s="49"/>
      <c r="AM60" s="49"/>
      <c r="AN60" s="51"/>
      <c r="AO60" s="49"/>
      <c r="AP60" s="54"/>
      <c r="AQ60" s="61"/>
      <c r="AR60" s="49"/>
      <c r="AS60" s="50"/>
      <c r="AT60" s="49"/>
      <c r="AU60" s="49"/>
      <c r="AV60" s="51"/>
      <c r="AW60" s="49"/>
      <c r="AX60" s="25"/>
      <c r="AY60" s="61"/>
      <c r="AZ60" s="49"/>
      <c r="BA60" s="50"/>
      <c r="BB60" s="49"/>
      <c r="BC60" s="49"/>
      <c r="BD60" s="51"/>
      <c r="BE60" s="49"/>
      <c r="BF60" s="25"/>
      <c r="BG60" s="61"/>
      <c r="BH60" s="49"/>
      <c r="BI60" s="50"/>
      <c r="BJ60" s="49"/>
      <c r="BK60" s="49"/>
      <c r="BL60" s="51"/>
      <c r="BM60" s="49"/>
      <c r="BN60" s="25"/>
      <c r="BO60" s="61"/>
      <c r="BP60" s="49"/>
      <c r="BQ60" s="50"/>
      <c r="BR60" s="49"/>
      <c r="BS60" s="49"/>
      <c r="BT60" s="51"/>
      <c r="BU60" s="26"/>
      <c r="BV60" s="25"/>
      <c r="BW60" s="61"/>
      <c r="BX60" s="184"/>
      <c r="BY60" s="13"/>
      <c r="BZ60" s="49"/>
      <c r="CA60" s="49"/>
      <c r="CB60" s="51"/>
      <c r="CC60" s="25"/>
      <c r="CD60" s="61"/>
      <c r="CE60" s="61"/>
      <c r="CF60" s="13"/>
      <c r="CG60" s="49"/>
      <c r="CH60" s="49"/>
      <c r="CI60" s="51"/>
      <c r="CJ60" s="25"/>
      <c r="CK60" s="61"/>
      <c r="CL60" s="24"/>
      <c r="CM60" s="50"/>
      <c r="CN60" s="49"/>
      <c r="CO60" s="49"/>
      <c r="CP60" s="51"/>
      <c r="CQ60" s="26"/>
      <c r="CR60" s="25"/>
      <c r="CS60" s="61"/>
      <c r="CT60" s="61"/>
      <c r="CU60" s="50"/>
      <c r="CV60" s="49"/>
      <c r="CW60" s="49"/>
      <c r="CX60" s="49"/>
      <c r="CY60" s="51"/>
      <c r="CZ60" s="49"/>
      <c r="DA60" s="25"/>
      <c r="DB60" s="25"/>
      <c r="DC60" s="61"/>
      <c r="DD60" s="61"/>
      <c r="DE60" s="26"/>
      <c r="DF60" s="64"/>
      <c r="DG60" s="26"/>
      <c r="DH60" s="49"/>
      <c r="DI60" s="49"/>
    </row>
    <row r="61" spans="1:113" ht="15" customHeight="1" thickBot="1" x14ac:dyDescent="0.25">
      <c r="A61" s="24"/>
      <c r="B61" s="26"/>
      <c r="C61" s="24"/>
      <c r="D61" s="24"/>
      <c r="E61" s="25"/>
      <c r="F61" s="24"/>
      <c r="G61" s="24"/>
      <c r="H61" s="37"/>
      <c r="I61" s="24"/>
      <c r="J61" s="25"/>
      <c r="K61" s="24"/>
      <c r="L61" s="24"/>
      <c r="M61" s="25"/>
      <c r="N61" s="24"/>
      <c r="O61" s="24"/>
      <c r="P61" s="37"/>
      <c r="Q61" s="24"/>
      <c r="R61" s="25"/>
      <c r="S61" s="24"/>
      <c r="T61" s="24"/>
      <c r="U61" s="25"/>
      <c r="V61" s="24"/>
      <c r="W61" s="24"/>
      <c r="X61" s="37"/>
      <c r="Y61" s="24"/>
      <c r="Z61" s="25"/>
      <c r="AA61" s="24"/>
      <c r="AB61" s="24"/>
      <c r="AC61" s="25"/>
      <c r="AD61" s="24"/>
      <c r="AE61" s="24"/>
      <c r="AF61" s="37"/>
      <c r="AG61" s="26"/>
      <c r="AH61" s="25"/>
      <c r="AI61" s="24"/>
      <c r="AJ61" s="24"/>
      <c r="AK61" s="13"/>
      <c r="AL61" s="24"/>
      <c r="AM61" s="24"/>
      <c r="AN61" s="37"/>
      <c r="AO61" s="24"/>
      <c r="AP61" s="13"/>
      <c r="AQ61" s="24"/>
      <c r="AR61" s="24"/>
      <c r="AS61" s="25"/>
      <c r="AT61" s="24"/>
      <c r="AU61" s="24"/>
      <c r="AV61" s="37"/>
      <c r="AW61" s="24"/>
      <c r="AX61" s="25"/>
      <c r="AY61" s="24"/>
      <c r="AZ61" s="24"/>
      <c r="BA61" s="25"/>
      <c r="BB61" s="24"/>
      <c r="BC61" s="24"/>
      <c r="BD61" s="37"/>
      <c r="BE61" s="24"/>
      <c r="BF61" s="25"/>
      <c r="BG61" s="24"/>
      <c r="BH61" s="24"/>
      <c r="BI61" s="25"/>
      <c r="BJ61" s="24"/>
      <c r="BK61" s="24"/>
      <c r="BL61" s="37"/>
      <c r="BM61" s="24"/>
      <c r="BN61" s="25"/>
      <c r="BO61" s="24"/>
      <c r="BP61" s="24"/>
      <c r="BQ61" s="25"/>
      <c r="BR61" s="24"/>
      <c r="BS61" s="24"/>
      <c r="BT61" s="37"/>
      <c r="BU61" s="26"/>
      <c r="BV61" s="25"/>
      <c r="BW61" s="24"/>
      <c r="BX61" s="182"/>
      <c r="BY61" s="13"/>
      <c r="BZ61" s="24"/>
      <c r="CA61" s="24"/>
      <c r="CB61" s="37"/>
      <c r="CC61" s="25"/>
      <c r="CD61" s="24"/>
      <c r="CE61" s="24"/>
      <c r="CF61" s="13"/>
      <c r="CG61" s="24"/>
      <c r="CH61" s="24"/>
      <c r="CI61" s="37"/>
      <c r="CJ61" s="25"/>
      <c r="CK61" s="24"/>
      <c r="CL61" s="24"/>
      <c r="CM61" s="25"/>
      <c r="CN61" s="24"/>
      <c r="CO61" s="24"/>
      <c r="CP61" s="37"/>
      <c r="CQ61" s="26"/>
      <c r="CR61" s="25"/>
      <c r="CS61" s="24"/>
      <c r="CT61" s="24"/>
      <c r="CU61" s="25"/>
      <c r="CV61" s="24"/>
      <c r="CW61" s="24"/>
      <c r="CX61" s="24"/>
      <c r="CY61" s="37"/>
      <c r="CZ61" s="26"/>
      <c r="DA61" s="25"/>
      <c r="DB61" s="25"/>
      <c r="DC61" s="24"/>
      <c r="DD61" s="24"/>
      <c r="DE61" s="26"/>
      <c r="DF61" s="64"/>
      <c r="DG61" s="26"/>
      <c r="DH61" s="24"/>
      <c r="DI61" s="24"/>
    </row>
    <row r="62" spans="1:113" ht="15" customHeight="1" thickTop="1" thickBot="1" x14ac:dyDescent="0.25">
      <c r="A62" s="42"/>
      <c r="B62" s="71" t="s">
        <v>40</v>
      </c>
      <c r="C62" s="33" t="s">
        <v>39</v>
      </c>
      <c r="D62" s="42"/>
      <c r="E62" s="41"/>
      <c r="F62" s="41">
        <f>IF(ISERROR(VLOOKUP($B62,[1]Hedef!$A$4:$ES$45409,26,0)),0,VLOOKUP($B62,[1]Hedef!$A$4:$ES$45409,26,0))+IF(ISERROR(VLOOKUP($B62,[1]Hedef!$A$4:$ES$45409,16,0)),0,VLOOKUP($B62,[1]Hedef!$A$4:$ES$45409,16,0))</f>
        <v>128304.59999999999</v>
      </c>
      <c r="G62" s="41" t="str">
        <f>IF((E62-F62)&lt;0, "-", (E62-F62))</f>
        <v>-</v>
      </c>
      <c r="H62" s="39" t="e">
        <f>IF((F62/E62)&gt;1,"100.0%",(F62/E62))</f>
        <v>#DIV/0!</v>
      </c>
      <c r="I62" s="42"/>
      <c r="J62" s="25"/>
      <c r="K62" s="24"/>
      <c r="L62" s="24"/>
      <c r="M62" s="41"/>
      <c r="N62" s="41">
        <f>IF(ISERROR(VLOOKUP($B62,[1]Hedef!$A$4:$ES$45409,42,0)),0,VLOOKUP($B62,[1]Hedef!$A$4:$ES$45409,42,0))</f>
        <v>39372.28</v>
      </c>
      <c r="O62" s="41" t="str">
        <f>IF((M62-N62)&lt;0, "-", (M62-N62))</f>
        <v>-</v>
      </c>
      <c r="P62" s="39" t="e">
        <f>IF((N62/M62)&gt;1,"100.0%",(N62/M62))</f>
        <v>#DIV/0!</v>
      </c>
      <c r="Q62" s="42"/>
      <c r="R62" s="107"/>
      <c r="S62" s="24"/>
      <c r="T62" s="42"/>
      <c r="U62" s="41"/>
      <c r="V62" s="41">
        <f>IF(ISERROR(VLOOKUP($B62,[1]Hedef!$A$4:$ES$45409,45,0)),0,VLOOKUP($B62,[1]Hedef!$A$4:$ES$45409,45,0))+IF(ISERROR(VLOOKUP($B62,[1]Hedef!$A$4:$ES$45409,110,0)),0,VLOOKUP($B62,[1]Hedef!$A$4:$ES$45409,110,0))</f>
        <v>90489.7</v>
      </c>
      <c r="W62" s="41" t="str">
        <f>IF((U62-V62)&lt;0, "-", (U62-V62))</f>
        <v>-</v>
      </c>
      <c r="X62" s="39" t="e">
        <f>IF((V62/U62)&gt;1,"100.0%",(V62/U62))</f>
        <v>#DIV/0!</v>
      </c>
      <c r="Y62" s="42"/>
      <c r="Z62" s="25"/>
      <c r="AA62" s="24"/>
      <c r="AB62" s="42"/>
      <c r="AC62" s="41"/>
      <c r="AD62" s="41">
        <f>+N62+V62+F62</f>
        <v>258166.58</v>
      </c>
      <c r="AE62" s="41" t="str">
        <f>IF((AC62-AD62)&lt;0, "-", (AC62-AD62))</f>
        <v>-</v>
      </c>
      <c r="AF62" s="39" t="e">
        <f>IF((AD62/AC62)&gt;1,"100.0%",(AD62/AC62))</f>
        <v>#DIV/0!</v>
      </c>
      <c r="AG62" s="26"/>
      <c r="AH62" s="25"/>
      <c r="AI62" s="24"/>
      <c r="AJ62" s="42"/>
      <c r="AK62" s="36"/>
      <c r="AL62" s="41">
        <f>IF(ISERROR(VLOOKUP($B62,[1]Hedef!$A$4:$ES$45409,98,0)),0,VLOOKUP($B62,[1]Hedef!$A$4:$ES$45409,98,0))</f>
        <v>2960.19</v>
      </c>
      <c r="AM62" s="41" t="str">
        <f>IF((AK62-AL62)&lt;0, "-", (AK62-AL62))</f>
        <v>-</v>
      </c>
      <c r="AN62" s="39" t="e">
        <f>IF((AL62/AK62)&gt;1,"100.0%",(AL62/AK62))</f>
        <v>#DIV/0!</v>
      </c>
      <c r="AO62" s="42"/>
      <c r="AP62" s="13"/>
      <c r="AQ62" s="24"/>
      <c r="AR62" s="42"/>
      <c r="AS62" s="41"/>
      <c r="AT62" s="41">
        <f>IF(ISERROR(VLOOKUP($B62,[1]Hedef!$A$4:$ES$45409,58,0)),0,VLOOKUP($B62,[1]Hedef!$A$4:$ES$45409,58,0))</f>
        <v>57938.92</v>
      </c>
      <c r="AU62" s="41" t="str">
        <f>IF((AS62-AT62)&lt;0, "-", (AS62-AT62))</f>
        <v>-</v>
      </c>
      <c r="AV62" s="39" t="e">
        <f>IF((AT62/AS62)&gt;1,"100.0%",(AT62/AS62))</f>
        <v>#DIV/0!</v>
      </c>
      <c r="AW62" s="42"/>
      <c r="AX62" s="25"/>
      <c r="AY62" s="24"/>
      <c r="AZ62" s="42"/>
      <c r="BA62" s="91"/>
      <c r="BB62" s="41">
        <f>IF(ISERROR(VLOOKUP($B62,[1]Hedef!$A$4:$ES$45409,100,0)),0,VLOOKUP($B62,[1]Hedef!$A$4:$ES$45409,100,0))</f>
        <v>78436.03</v>
      </c>
      <c r="BC62" s="41" t="str">
        <f>IF((BA62-BB62)&lt;0, "-", (BA62-BB62))</f>
        <v>-</v>
      </c>
      <c r="BD62" s="39" t="e">
        <f>IF((BB62/BA62)&gt;1,"100.0%",(BB62/BA62))</f>
        <v>#DIV/0!</v>
      </c>
      <c r="BE62" s="42"/>
      <c r="BF62" s="25"/>
      <c r="BG62" s="24"/>
      <c r="BH62" s="42"/>
      <c r="BI62" s="91"/>
      <c r="BJ62" s="41">
        <f>IF(ISERROR(VLOOKUP($B62,[1]Hedef!$A$4:$ES$45409,118,0)),0,VLOOKUP($B62,[1]Hedef!$A$4:$ES$45409,118,0))</f>
        <v>44530.41</v>
      </c>
      <c r="BK62" s="41" t="str">
        <f>IF((BI62-BJ62)&lt;0, "-", (BI62-BJ62))</f>
        <v>-</v>
      </c>
      <c r="BL62" s="39" t="e">
        <f>IF((BJ62/BI62)&gt;1,"100.0%",(BJ62/BI62))</f>
        <v>#DIV/0!</v>
      </c>
      <c r="BM62" s="42"/>
      <c r="BN62" s="25"/>
      <c r="BO62" s="24"/>
      <c r="BP62" s="42"/>
      <c r="BQ62" s="41"/>
      <c r="BR62" s="41">
        <f>+BJ62+BB62+AT62+AL62</f>
        <v>183865.55</v>
      </c>
      <c r="BS62" s="41" t="str">
        <f>IF((BQ62-BR62)&lt;0, "-", (BQ62-BR62))</f>
        <v>-</v>
      </c>
      <c r="BT62" s="39" t="e">
        <f>IF((BR62/BQ62)&gt;1,"100.0%",(BR62/BQ62))</f>
        <v>#DIV/0!</v>
      </c>
      <c r="BU62" s="26"/>
      <c r="BV62" s="25"/>
      <c r="BW62" s="24"/>
      <c r="BX62" s="182"/>
      <c r="BY62" s="63">
        <v>0</v>
      </c>
      <c r="BZ62" s="41">
        <f>IF(ISERROR(VLOOKUP($B62,[1]Hedef!$A$4:$ES$45409,72,0)),0,VLOOKUP($B62,[1]Hedef!$A$4:$ES$45409,72,0))</f>
        <v>98170.63</v>
      </c>
      <c r="CA62" s="41" t="str">
        <f>IF((BY62-BZ62)&lt;0, "-", (BY62-BZ62))</f>
        <v>-</v>
      </c>
      <c r="CB62" s="39" t="e">
        <f>IF((BZ62/BY62)&gt;1,"100.0%",(BZ62/BY62))</f>
        <v>#DIV/0!</v>
      </c>
      <c r="CC62" s="25"/>
      <c r="CD62" s="24"/>
      <c r="CE62" s="24"/>
      <c r="CF62" s="36">
        <v>0</v>
      </c>
      <c r="CG62" s="41">
        <f>IF(ISERROR(VLOOKUP($B62,[1]Hedef!$A$4:$ES$45409,88,0)),0,VLOOKUP($B62,[1]Hedef!$A$4:$ES$45409,88,0))</f>
        <v>83931.839999999997</v>
      </c>
      <c r="CH62" s="41" t="str">
        <f>IF((CF62-CG62)&lt;0, "-", (CF62-CG62))</f>
        <v>-</v>
      </c>
      <c r="CI62" s="39" t="e">
        <f>IF((CG62/CF62)&gt;1,"100.0%",(CG62/CF62))</f>
        <v>#DIV/0!</v>
      </c>
      <c r="CJ62" s="25"/>
      <c r="CK62" s="24"/>
      <c r="CL62" s="24"/>
      <c r="CM62" s="41"/>
      <c r="CN62" s="41">
        <f>CG62+BZ62</f>
        <v>182102.47</v>
      </c>
      <c r="CO62" s="41" t="str">
        <f>IF((CM62-CN62)&lt;0, "-", (CM62-CN62))</f>
        <v>-</v>
      </c>
      <c r="CP62" s="39" t="e">
        <f>IF((CN62/CM62)&gt;1,"100.0%",(CN62/CM62))</f>
        <v>#DIV/0!</v>
      </c>
      <c r="CQ62" s="26"/>
      <c r="CR62" s="25"/>
      <c r="CS62" s="24"/>
      <c r="CT62" s="24"/>
      <c r="CU62" s="41"/>
      <c r="CV62" s="41">
        <f>IF(ISERROR(VLOOKUP($B62,[1]Hedef!$A$4:$ES$45409,48,0)),0,VLOOKUP($B62,[1]Hedef!$A$4:$ES$45409,48,0))</f>
        <v>653098.68999999994</v>
      </c>
      <c r="CW62" s="41">
        <f>IF(ISERROR(VLOOKUP($B62,[1]Hedef!$A$4:$ES$45409,48,0)),0,VLOOKUP($B62,[1]Hedef!$A$4:$ES$45409,48,0))</f>
        <v>653098.68999999994</v>
      </c>
      <c r="CX62" s="41" t="str">
        <f>IF((CU62-CV62)&lt;0, "-", (CU62-CV62))</f>
        <v>-</v>
      </c>
      <c r="CY62" s="39" t="e">
        <f>IF((CV62/CU62)&gt;1,"100.0%",(CV62/CU62))</f>
        <v>#DIV/0!</v>
      </c>
      <c r="CZ62" s="62"/>
      <c r="DA62" s="25"/>
      <c r="DB62" s="25"/>
      <c r="DC62" s="24"/>
      <c r="DD62" s="24"/>
      <c r="DE62" s="26"/>
      <c r="DF62" s="66"/>
      <c r="DG62" s="26"/>
      <c r="DH62" s="42"/>
      <c r="DI62" s="42"/>
    </row>
    <row r="63" spans="1:113" ht="15" customHeight="1" thickTop="1" thickBot="1" x14ac:dyDescent="0.25">
      <c r="A63" s="24"/>
      <c r="B63" s="26"/>
      <c r="C63" s="24"/>
      <c r="D63" s="24"/>
      <c r="E63" s="25"/>
      <c r="F63" s="24"/>
      <c r="G63" s="24"/>
      <c r="H63" s="24"/>
      <c r="I63" s="24"/>
      <c r="J63" s="25"/>
      <c r="K63" s="24"/>
      <c r="L63" s="24"/>
      <c r="M63" s="25"/>
      <c r="N63" s="24"/>
      <c r="O63" s="24"/>
      <c r="P63" s="24"/>
      <c r="Q63" s="24"/>
      <c r="R63" s="107"/>
      <c r="S63" s="24"/>
      <c r="T63" s="24"/>
      <c r="U63" s="25"/>
      <c r="V63" s="24"/>
      <c r="W63" s="24"/>
      <c r="X63" s="24"/>
      <c r="Y63" s="24"/>
      <c r="Z63" s="25"/>
      <c r="AA63" s="24"/>
      <c r="AB63" s="24"/>
      <c r="AC63" s="25"/>
      <c r="AD63" s="24"/>
      <c r="AE63" s="24"/>
      <c r="AF63" s="24"/>
      <c r="AG63" s="26"/>
      <c r="AH63" s="25"/>
      <c r="AI63" s="24"/>
      <c r="AJ63" s="24"/>
      <c r="AK63" s="13"/>
      <c r="AL63" s="24"/>
      <c r="AM63" s="24"/>
      <c r="AN63" s="24"/>
      <c r="AO63" s="24"/>
      <c r="AP63" s="13"/>
      <c r="AQ63" s="24"/>
      <c r="AR63" s="24"/>
      <c r="AS63" s="25"/>
      <c r="AT63" s="24"/>
      <c r="AU63" s="24"/>
      <c r="AV63" s="24"/>
      <c r="AW63" s="24"/>
      <c r="AX63" s="25"/>
      <c r="AY63" s="24"/>
      <c r="AZ63" s="24"/>
      <c r="BA63" s="25"/>
      <c r="BB63" s="24"/>
      <c r="BC63" s="24"/>
      <c r="BD63" s="24"/>
      <c r="BE63" s="24"/>
      <c r="BF63" s="25"/>
      <c r="BG63" s="24"/>
      <c r="BH63" s="24"/>
      <c r="BI63" s="25"/>
      <c r="BJ63" s="24"/>
      <c r="BK63" s="24"/>
      <c r="BL63" s="24"/>
      <c r="BM63" s="24"/>
      <c r="BN63" s="25"/>
      <c r="BO63" s="24"/>
      <c r="BP63" s="24"/>
      <c r="BQ63" s="25"/>
      <c r="BR63" s="24"/>
      <c r="BS63" s="24"/>
      <c r="BT63" s="24"/>
      <c r="BU63" s="26"/>
      <c r="BV63" s="25"/>
      <c r="BW63" s="24"/>
      <c r="BX63" s="182"/>
      <c r="BY63" s="13"/>
      <c r="BZ63" s="24"/>
      <c r="CA63" s="24"/>
      <c r="CB63" s="24"/>
      <c r="CC63" s="25"/>
      <c r="CD63" s="24"/>
      <c r="CE63" s="24"/>
      <c r="CF63" s="13"/>
      <c r="CG63" s="24"/>
      <c r="CH63" s="24"/>
      <c r="CI63" s="24"/>
      <c r="CJ63" s="25"/>
      <c r="CK63" s="24"/>
      <c r="CL63" s="24"/>
      <c r="CM63" s="25"/>
      <c r="CN63" s="24"/>
      <c r="CO63" s="24"/>
      <c r="CP63" s="24"/>
      <c r="CQ63" s="26"/>
      <c r="CR63" s="25"/>
      <c r="CS63" s="24"/>
      <c r="CT63" s="24"/>
      <c r="CU63" s="25"/>
      <c r="CV63" s="24"/>
      <c r="CW63" s="24"/>
      <c r="CX63" s="24"/>
      <c r="CY63" s="24"/>
      <c r="CZ63" s="26"/>
      <c r="DA63" s="25"/>
      <c r="DB63" s="25"/>
      <c r="DC63" s="24"/>
      <c r="DD63" s="24"/>
      <c r="DE63" s="26"/>
      <c r="DF63" s="64"/>
      <c r="DG63" s="26"/>
      <c r="DH63" s="24"/>
      <c r="DI63" s="24"/>
    </row>
    <row r="64" spans="1:113" ht="15" customHeight="1" thickTop="1" thickBot="1" x14ac:dyDescent="0.25">
      <c r="A64" s="42"/>
      <c r="B64" s="55" t="s">
        <v>42</v>
      </c>
      <c r="C64" s="33" t="s">
        <v>43</v>
      </c>
      <c r="D64" s="42"/>
      <c r="E64" s="25"/>
      <c r="F64" s="41">
        <f>IF(ISERROR(VLOOKUP($B64,[1]Hedef!$A$4:$ES$45409,26,0)),0,VLOOKUP($B64,[1]Hedef!$A$4:$ES$45409,26,0))+IF(ISERROR(VLOOKUP($B64,[1]Hedef!$A$4:$ES$45409,16,0)),0,VLOOKUP($B64,[1]Hedef!$A$4:$ES$45409,16,0))</f>
        <v>0</v>
      </c>
      <c r="G64" s="56">
        <f>F64/F62</f>
        <v>0</v>
      </c>
      <c r="H64" s="25"/>
      <c r="I64" s="42"/>
      <c r="J64" s="25"/>
      <c r="K64" s="24"/>
      <c r="L64" s="24"/>
      <c r="M64" s="25"/>
      <c r="N64" s="41">
        <f>IF(ISERROR(VLOOKUP($B64,[1]Hedef!$A$4:$ES$45409,42,0)),0,VLOOKUP($B64,[1]Hedef!$A$4:$ES$45409,42,0))</f>
        <v>1778.44</v>
      </c>
      <c r="O64" s="56">
        <f>N64/N62</f>
        <v>4.51698504633209E-2</v>
      </c>
      <c r="P64" s="25"/>
      <c r="Q64" s="42"/>
      <c r="R64" s="107"/>
      <c r="S64" s="24"/>
      <c r="T64" s="42"/>
      <c r="U64" s="25"/>
      <c r="V64" s="41">
        <f>IF(ISERROR(VLOOKUP($B64,[1]Hedef!$A$4:$ES$45409,45,0)),0,VLOOKUP($B64,[1]Hedef!$A$4:$ES$45409,45,0))+IF(ISERROR(VLOOKUP($B64,[1]Hedef!$A$4:$ES$45409,110,0)),0,VLOOKUP($B64,[1]Hedef!$A$4:$ES$45409,110,0))</f>
        <v>3724.16</v>
      </c>
      <c r="W64" s="56">
        <f>V64/V62</f>
        <v>4.1155623236677763E-2</v>
      </c>
      <c r="X64" s="25"/>
      <c r="Y64" s="42"/>
      <c r="Z64" s="25"/>
      <c r="AA64" s="24"/>
      <c r="AB64" s="42"/>
      <c r="AC64" s="25"/>
      <c r="AD64" s="41">
        <f>+N64+V64+F64</f>
        <v>5502.6</v>
      </c>
      <c r="AE64" s="56">
        <f>AD64/AD62</f>
        <v>2.131414530881573E-2</v>
      </c>
      <c r="AF64" s="25"/>
      <c r="AG64" s="26"/>
      <c r="AH64" s="25"/>
      <c r="AI64" s="24"/>
      <c r="AJ64" s="42"/>
      <c r="AK64" s="13"/>
      <c r="AL64" s="41">
        <f>IF(ISERROR(VLOOKUP($B64,[1]Hedef!$A$4:$ES$45409,98,0)),0,VLOOKUP($B64,[1]Hedef!$A$4:$ES$45409,98,0))</f>
        <v>0</v>
      </c>
      <c r="AM64" s="56">
        <f>AL64/AL62</f>
        <v>0</v>
      </c>
      <c r="AN64" s="25"/>
      <c r="AO64" s="42"/>
      <c r="AP64" s="13"/>
      <c r="AQ64" s="24"/>
      <c r="AR64" s="42"/>
      <c r="AS64" s="25"/>
      <c r="AT64" s="41">
        <f>IF(ISERROR(VLOOKUP($B64,[1]Hedef!$A$4:$ES$45409,58,0)),0,VLOOKUP($B64,[1]Hedef!$A$4:$ES$45409,58,0))</f>
        <v>901.18</v>
      </c>
      <c r="AU64" s="56">
        <f>AT64/AT62</f>
        <v>1.5553966142275347E-2</v>
      </c>
      <c r="AV64" s="25"/>
      <c r="AW64" s="42"/>
      <c r="AX64" s="25"/>
      <c r="AY64" s="24"/>
      <c r="AZ64" s="42"/>
      <c r="BA64" s="25"/>
      <c r="BB64" s="41">
        <f>IF(ISERROR(VLOOKUP($B64,[1]Hedef!$A$4:$ES$45409,100,0)),0,VLOOKUP($B64,[1]Hedef!$A$4:$ES$45409,100,0))</f>
        <v>24.16</v>
      </c>
      <c r="BC64" s="56">
        <f>BB64/BB62</f>
        <v>3.0802170890087118E-4</v>
      </c>
      <c r="BD64" s="25"/>
      <c r="BE64" s="42"/>
      <c r="BF64" s="25"/>
      <c r="BG64" s="24"/>
      <c r="BH64" s="42"/>
      <c r="BI64" s="25"/>
      <c r="BJ64" s="41">
        <f>IF(ISERROR(VLOOKUP($B64,[1]Hedef!$A$4:$ES$45409,118,0)),0,VLOOKUP($B64,[1]Hedef!$A$4:$ES$45409,118,0))</f>
        <v>207.36</v>
      </c>
      <c r="BK64" s="56">
        <f>BJ64/BJ62</f>
        <v>4.6565931012088144E-3</v>
      </c>
      <c r="BL64" s="25"/>
      <c r="BM64" s="42"/>
      <c r="BN64" s="25"/>
      <c r="BO64" s="24"/>
      <c r="BP64" s="42"/>
      <c r="BQ64" s="25"/>
      <c r="BR64" s="41">
        <f>+BJ64+BB64+AT64+AL64</f>
        <v>1132.7</v>
      </c>
      <c r="BS64" s="56">
        <f>BR64/BR62</f>
        <v>6.1604797636098775E-3</v>
      </c>
      <c r="BT64" s="25"/>
      <c r="BU64" s="26"/>
      <c r="BV64" s="25"/>
      <c r="BW64" s="24"/>
      <c r="BX64" s="182"/>
      <c r="BY64" s="13"/>
      <c r="BZ64" s="41">
        <f>IF(ISERROR(VLOOKUP($B64,[1]Hedef!$A$4:$ES$45409,72,0)),0,VLOOKUP($B64,[1]Hedef!$A$4:$ES$45409,72,0))</f>
        <v>2206.09</v>
      </c>
      <c r="CA64" s="56">
        <f>BZ64/BZ62</f>
        <v>2.2471995952353573E-2</v>
      </c>
      <c r="CB64" s="25"/>
      <c r="CC64" s="25"/>
      <c r="CD64" s="24"/>
      <c r="CE64" s="24"/>
      <c r="CF64" s="13"/>
      <c r="CG64" s="41">
        <f>IF(ISERROR(VLOOKUP($B64,[1]Hedef!$A$4:$ES$45409,88,0)),0,VLOOKUP($B64,[1]Hedef!$A$4:$ES$45409,88,0))</f>
        <v>291.14</v>
      </c>
      <c r="CH64" s="56">
        <f>CG64/CG62</f>
        <v>3.4687670376343472E-3</v>
      </c>
      <c r="CI64" s="25"/>
      <c r="CJ64" s="25"/>
      <c r="CK64" s="24"/>
      <c r="CL64" s="24"/>
      <c r="CM64" s="25"/>
      <c r="CN64" s="41">
        <f>CG64+BZ64</f>
        <v>2497.23</v>
      </c>
      <c r="CO64" s="56">
        <f>CN64/CN62</f>
        <v>1.3713323053772966E-2</v>
      </c>
      <c r="CP64" s="25"/>
      <c r="CQ64" s="26"/>
      <c r="CR64" s="25"/>
      <c r="CS64" s="24"/>
      <c r="CT64" s="24"/>
      <c r="CU64" s="25"/>
      <c r="CV64" s="41">
        <f>IF(ISERROR(VLOOKUP($B64,[1]Hedef!$A$4:$ES$45409,48,0)),0,VLOOKUP($B64,[1]Hedef!$A$4:$ES$45409,48,0))</f>
        <v>9132.5300000000007</v>
      </c>
      <c r="CW64" s="41">
        <f>IF(ISERROR(VLOOKUP($B64,[1]Hedef!$A$4:$ES$45409,48,0)),0,VLOOKUP($B64,[1]Hedef!$A$4:$ES$45409,48,0))</f>
        <v>9132.5300000000007</v>
      </c>
      <c r="CX64" s="56">
        <f>CV64/CV62</f>
        <v>1.3983384348849331E-2</v>
      </c>
      <c r="CY64" s="25"/>
      <c r="CZ64" s="43"/>
      <c r="DA64" s="25"/>
      <c r="DB64" s="25"/>
      <c r="DC64" s="24"/>
      <c r="DD64" s="24"/>
      <c r="DE64" s="26"/>
      <c r="DF64" s="66"/>
      <c r="DG64" s="26"/>
      <c r="DH64" s="42"/>
      <c r="DI64" s="42"/>
    </row>
    <row r="65" spans="1:113" ht="16" thickTop="1" x14ac:dyDescent="0.2">
      <c r="A65" s="24"/>
      <c r="B65" s="26"/>
      <c r="C65" s="24"/>
      <c r="D65" s="24"/>
      <c r="E65" s="25"/>
      <c r="F65" s="24"/>
      <c r="G65" s="24"/>
      <c r="H65" s="24"/>
      <c r="I65" s="24"/>
      <c r="J65" s="25"/>
      <c r="K65" s="25"/>
      <c r="L65" s="25"/>
      <c r="M65" s="25"/>
      <c r="N65" s="24"/>
      <c r="O65" s="24"/>
      <c r="P65" s="24"/>
      <c r="Q65" s="24"/>
      <c r="R65" s="25"/>
      <c r="S65" s="25"/>
      <c r="T65" s="24"/>
      <c r="U65" s="25"/>
      <c r="V65" s="24"/>
      <c r="W65" s="24"/>
      <c r="X65" s="24"/>
      <c r="Y65" s="24"/>
      <c r="Z65" s="25"/>
      <c r="AA65" s="24"/>
      <c r="AB65" s="24"/>
      <c r="AC65" s="25"/>
      <c r="AD65" s="24"/>
      <c r="AE65" s="24"/>
      <c r="AF65" s="24"/>
      <c r="AG65" s="26"/>
      <c r="AH65" s="25"/>
      <c r="AI65" s="24"/>
      <c r="AJ65" s="24"/>
      <c r="AK65" s="13"/>
      <c r="AL65" s="24"/>
      <c r="AM65" s="24"/>
      <c r="AN65" s="24"/>
      <c r="AO65" s="24"/>
      <c r="AP65" s="13"/>
      <c r="AQ65" s="24"/>
      <c r="AR65" s="24"/>
      <c r="AS65" s="25"/>
      <c r="AT65" s="24"/>
      <c r="AU65" s="24"/>
      <c r="AV65" s="24"/>
      <c r="AW65" s="24"/>
      <c r="AX65" s="25"/>
      <c r="AY65" s="24"/>
      <c r="AZ65" s="24"/>
      <c r="BA65" s="25"/>
      <c r="BB65" s="24"/>
      <c r="BC65" s="24"/>
      <c r="BD65" s="24"/>
      <c r="BE65" s="24"/>
      <c r="BF65" s="25"/>
      <c r="BG65" s="24"/>
      <c r="BH65" s="24"/>
      <c r="BI65" s="25"/>
      <c r="BJ65" s="24"/>
      <c r="BK65" s="24"/>
      <c r="BL65" s="24"/>
      <c r="BM65" s="24"/>
      <c r="BN65" s="25"/>
      <c r="BO65" s="24"/>
      <c r="BP65" s="24"/>
      <c r="BQ65" s="25"/>
      <c r="BR65" s="24"/>
      <c r="BS65" s="24"/>
      <c r="BT65" s="24"/>
      <c r="BU65" s="26"/>
      <c r="BV65" s="25"/>
      <c r="BW65" s="24"/>
      <c r="BX65" s="182"/>
      <c r="BY65" s="13"/>
      <c r="BZ65" s="24"/>
      <c r="CA65" s="24"/>
      <c r="CB65" s="24"/>
      <c r="CC65" s="25"/>
      <c r="CD65" s="24"/>
      <c r="CE65" s="24"/>
      <c r="CF65" s="13"/>
      <c r="CG65" s="24"/>
      <c r="CH65" s="24"/>
      <c r="CI65" s="24"/>
      <c r="CJ65" s="25"/>
      <c r="CK65" s="24"/>
      <c r="CL65" s="24"/>
      <c r="CM65" s="25"/>
      <c r="CN65" s="24"/>
      <c r="CO65" s="24"/>
      <c r="CP65" s="24"/>
      <c r="CQ65" s="26"/>
      <c r="CR65" s="25"/>
      <c r="CS65" s="24"/>
      <c r="CT65" s="24"/>
      <c r="CU65" s="25"/>
      <c r="CV65" s="24"/>
      <c r="CW65" s="24"/>
      <c r="CX65" s="24"/>
      <c r="CY65" s="24"/>
      <c r="CZ65" s="26"/>
      <c r="DA65" s="25"/>
      <c r="DB65" s="25"/>
      <c r="DC65" s="24"/>
      <c r="DD65" s="24"/>
      <c r="DE65" s="26"/>
      <c r="DF65" s="64"/>
      <c r="DG65" s="26"/>
      <c r="DH65" s="24"/>
      <c r="DI65" s="24"/>
    </row>
    <row r="66" spans="1:113" x14ac:dyDescent="0.2">
      <c r="A66" s="24"/>
      <c r="B66" s="26"/>
      <c r="C66" s="24"/>
      <c r="D66" s="24"/>
      <c r="E66" s="25"/>
      <c r="F66" s="24"/>
      <c r="G66" s="24"/>
      <c r="H66" s="24"/>
      <c r="I66" s="24"/>
      <c r="J66" s="25"/>
      <c r="K66" s="24"/>
      <c r="L66" s="24"/>
      <c r="M66" s="25"/>
      <c r="N66" s="24"/>
      <c r="O66" s="24"/>
      <c r="P66" s="24"/>
      <c r="Q66" s="24"/>
      <c r="R66" s="25"/>
      <c r="S66" s="24"/>
      <c r="T66" s="24"/>
      <c r="U66" s="25"/>
      <c r="V66" s="24"/>
      <c r="W66" s="24"/>
      <c r="X66" s="24"/>
      <c r="Y66" s="24"/>
      <c r="Z66" s="25"/>
      <c r="AA66" s="24"/>
      <c r="AB66" s="24"/>
      <c r="AC66" s="25"/>
      <c r="AD66" s="24"/>
      <c r="AE66" s="24"/>
      <c r="AF66" s="24"/>
      <c r="AG66" s="26"/>
      <c r="AH66" s="25"/>
      <c r="AI66" s="24"/>
      <c r="AJ66" s="24"/>
      <c r="AK66" s="13"/>
      <c r="AL66" s="24"/>
      <c r="AM66" s="24"/>
      <c r="AN66" s="24"/>
      <c r="AO66" s="24"/>
      <c r="AP66" s="13"/>
      <c r="AQ66" s="24"/>
      <c r="AR66" s="24"/>
      <c r="AS66" s="25"/>
      <c r="AT66" s="24"/>
      <c r="AU66" s="24"/>
      <c r="AV66" s="24"/>
      <c r="AW66" s="24"/>
      <c r="AX66" s="25"/>
      <c r="AY66" s="24"/>
      <c r="AZ66" s="24"/>
      <c r="BA66" s="25"/>
      <c r="BB66" s="24"/>
      <c r="BC66" s="24"/>
      <c r="BD66" s="24"/>
      <c r="BE66" s="24"/>
      <c r="BF66" s="25"/>
      <c r="BG66" s="24"/>
      <c r="BH66" s="24"/>
      <c r="BI66" s="25"/>
      <c r="BJ66" s="24"/>
      <c r="BK66" s="24"/>
      <c r="BL66" s="24"/>
      <c r="BM66" s="24"/>
      <c r="BN66" s="25"/>
      <c r="BO66" s="24"/>
      <c r="BP66" s="24"/>
      <c r="BQ66" s="25"/>
      <c r="BR66" s="24"/>
      <c r="BS66" s="24"/>
      <c r="BT66" s="24"/>
      <c r="BU66" s="26"/>
      <c r="BV66" s="25"/>
      <c r="BW66" s="24"/>
      <c r="BX66" s="182"/>
      <c r="BY66" s="13"/>
      <c r="BZ66" s="24"/>
      <c r="CA66" s="24"/>
      <c r="CB66" s="24"/>
      <c r="CC66" s="25"/>
      <c r="CD66" s="24"/>
      <c r="CE66" s="24"/>
      <c r="CF66" s="13"/>
      <c r="CG66" s="24"/>
      <c r="CH66" s="24"/>
      <c r="CI66" s="24"/>
      <c r="CJ66" s="25"/>
      <c r="CK66" s="24"/>
      <c r="CL66" s="24"/>
      <c r="CM66" s="25"/>
      <c r="CN66" s="24"/>
      <c r="CO66" s="24"/>
      <c r="CP66" s="24"/>
      <c r="CQ66" s="26"/>
      <c r="CR66" s="25"/>
      <c r="CS66" s="24"/>
      <c r="CT66" s="24"/>
      <c r="CU66" s="25"/>
      <c r="CV66" s="24"/>
      <c r="CW66" s="24"/>
      <c r="CX66" s="24"/>
      <c r="CY66" s="24"/>
      <c r="CZ66" s="26"/>
      <c r="DA66" s="25"/>
      <c r="DB66" s="25"/>
      <c r="DC66" s="24"/>
      <c r="DD66" s="24"/>
      <c r="DE66" s="26"/>
      <c r="DF66" s="64"/>
      <c r="DG66" s="26"/>
      <c r="DH66" s="24"/>
      <c r="DI66" s="24"/>
    </row>
    <row r="67" spans="1:113" s="227" customFormat="1" ht="15" customHeight="1" x14ac:dyDescent="0.2"/>
    <row r="68" spans="1:113" s="227" customFormat="1" x14ac:dyDescent="0.2"/>
    <row r="69" spans="1:113" s="227" customFormat="1" x14ac:dyDescent="0.2"/>
    <row r="70" spans="1:113" s="227" customFormat="1" x14ac:dyDescent="0.2"/>
    <row r="71" spans="1:113" s="227" customFormat="1" x14ac:dyDescent="0.2"/>
    <row r="72" spans="1:113" s="227" customFormat="1" x14ac:dyDescent="0.2"/>
    <row r="73" spans="1:113" s="227" customFormat="1" x14ac:dyDescent="0.2"/>
    <row r="74" spans="1:113" s="227" customFormat="1" x14ac:dyDescent="0.2"/>
    <row r="75" spans="1:113" s="227" customFormat="1" x14ac:dyDescent="0.2"/>
    <row r="76" spans="1:113" s="227" customFormat="1" x14ac:dyDescent="0.2"/>
    <row r="77" spans="1:113" s="227" customFormat="1" x14ac:dyDescent="0.2"/>
    <row r="78" spans="1:113" s="227" customFormat="1" x14ac:dyDescent="0.2"/>
    <row r="79" spans="1:113" s="227" customFormat="1" x14ac:dyDescent="0.2"/>
    <row r="80" spans="1:113" s="227" customFormat="1" x14ac:dyDescent="0.2"/>
    <row r="81" s="227" customFormat="1" x14ac:dyDescent="0.2"/>
    <row r="82" s="227" customFormat="1" x14ac:dyDescent="0.2"/>
    <row r="83" s="227" customFormat="1" x14ac:dyDescent="0.2"/>
    <row r="84" s="227" customFormat="1" x14ac:dyDescent="0.2"/>
    <row r="85" s="227" customFormat="1" x14ac:dyDescent="0.2"/>
    <row r="86" s="227" customFormat="1" x14ac:dyDescent="0.2"/>
    <row r="87" s="227" customFormat="1" x14ac:dyDescent="0.2"/>
    <row r="88" s="227" customFormat="1" x14ac:dyDescent="0.2"/>
    <row r="89" s="227" customFormat="1" x14ac:dyDescent="0.2"/>
    <row r="90" s="227" customFormat="1" x14ac:dyDescent="0.2"/>
    <row r="91" s="227" customFormat="1" x14ac:dyDescent="0.2"/>
    <row r="92" s="227" customFormat="1" x14ac:dyDescent="0.2"/>
    <row r="93" s="227" customFormat="1" x14ac:dyDescent="0.2"/>
    <row r="94" s="227" customFormat="1" x14ac:dyDescent="0.2"/>
    <row r="95" s="227" customFormat="1" x14ac:dyDescent="0.2"/>
    <row r="96" s="227" customFormat="1" x14ac:dyDescent="0.2"/>
    <row r="97" s="227" customFormat="1" x14ac:dyDescent="0.2"/>
    <row r="98" s="227" customFormat="1" x14ac:dyDescent="0.2"/>
    <row r="99" s="227" customFormat="1" x14ac:dyDescent="0.2"/>
    <row r="100" s="227" customFormat="1" x14ac:dyDescent="0.2"/>
  </sheetData>
  <autoFilter ref="A4:DI57" xr:uid="{CEEAD50C-F104-406C-810F-EF4BB818CF04}"/>
  <mergeCells count="21">
    <mergeCell ref="BI2:BL2"/>
    <mergeCell ref="BQ2:BT3"/>
    <mergeCell ref="BY2:CB2"/>
    <mergeCell ref="CF2:CI2"/>
    <mergeCell ref="AK2:AN2"/>
    <mergeCell ref="A67:XFD100"/>
    <mergeCell ref="C2:C4"/>
    <mergeCell ref="E2:H3"/>
    <mergeCell ref="M2:P3"/>
    <mergeCell ref="U2:X3"/>
    <mergeCell ref="AC2:AF3"/>
    <mergeCell ref="CM2:CP3"/>
    <mergeCell ref="CU2:CY3"/>
    <mergeCell ref="AK3:AN3"/>
    <mergeCell ref="AS3:AV3"/>
    <mergeCell ref="BA3:BD3"/>
    <mergeCell ref="BI3:BL3"/>
    <mergeCell ref="BY3:CB3"/>
    <mergeCell ref="CF3:CI3"/>
    <mergeCell ref="AS2:AV2"/>
    <mergeCell ref="BA2:BD2"/>
  </mergeCells>
  <conditionalFormatting sqref="H5:H12">
    <cfRule type="cellIs" dxfId="133" priority="1" operator="greaterThanOrEqual">
      <formula>1.2</formula>
    </cfRule>
    <cfRule type="cellIs" dxfId="132" priority="2" operator="greaterThanOrEqual">
      <formula>120</formula>
    </cfRule>
  </conditionalFormatting>
  <conditionalFormatting sqref="H14:H16 H18:H19 H31:H38 H40:H44">
    <cfRule type="cellIs" dxfId="131" priority="85" operator="greaterThanOrEqual">
      <formula>1.2</formula>
    </cfRule>
    <cfRule type="cellIs" dxfId="130" priority="86" operator="greaterThanOrEqual">
      <formula>120</formula>
    </cfRule>
  </conditionalFormatting>
  <conditionalFormatting sqref="H22:H29">
    <cfRule type="cellIs" dxfId="129" priority="27" operator="greaterThanOrEqual">
      <formula>1.2</formula>
    </cfRule>
    <cfRule type="cellIs" dxfId="128" priority="28" operator="greaterThanOrEqual">
      <formula>120</formula>
    </cfRule>
  </conditionalFormatting>
  <conditionalFormatting sqref="H46:H56">
    <cfRule type="cellIs" dxfId="127" priority="51" operator="greaterThanOrEqual">
      <formula>1.2</formula>
    </cfRule>
    <cfRule type="cellIs" dxfId="126" priority="52" operator="greaterThanOrEqual">
      <formula>120</formula>
    </cfRule>
  </conditionalFormatting>
  <conditionalFormatting sqref="P5:P12">
    <cfRule type="cellIs" dxfId="125" priority="3" operator="greaterThanOrEqual">
      <formula>1.2</formula>
    </cfRule>
    <cfRule type="cellIs" dxfId="124" priority="4" operator="greaterThanOrEqual">
      <formula>120</formula>
    </cfRule>
  </conditionalFormatting>
  <conditionalFormatting sqref="P14:P16 P18:P19 P31:P38 P40:P44">
    <cfRule type="cellIs" dxfId="123" priority="87" operator="greaterThanOrEqual">
      <formula>1.2</formula>
    </cfRule>
    <cfRule type="cellIs" dxfId="122" priority="88" operator="greaterThanOrEqual">
      <formula>120</formula>
    </cfRule>
  </conditionalFormatting>
  <conditionalFormatting sqref="P22:P29">
    <cfRule type="cellIs" dxfId="121" priority="29" operator="greaterThanOrEqual">
      <formula>1.2</formula>
    </cfRule>
    <cfRule type="cellIs" dxfId="120" priority="30" operator="greaterThanOrEqual">
      <formula>120</formula>
    </cfRule>
  </conditionalFormatting>
  <conditionalFormatting sqref="P46:P56">
    <cfRule type="cellIs" dxfId="119" priority="77" operator="greaterThanOrEqual">
      <formula>1.2</formula>
    </cfRule>
    <cfRule type="cellIs" dxfId="118" priority="78" operator="greaterThanOrEqual">
      <formula>120</formula>
    </cfRule>
  </conditionalFormatting>
  <conditionalFormatting sqref="X5:X12">
    <cfRule type="cellIs" dxfId="117" priority="5" operator="greaterThanOrEqual">
      <formula>1.2</formula>
    </cfRule>
    <cfRule type="cellIs" dxfId="116" priority="6" operator="greaterThanOrEqual">
      <formula>120</formula>
    </cfRule>
  </conditionalFormatting>
  <conditionalFormatting sqref="X14:X16 X18:X19 X22:X29 X31:X38 X40:X44">
    <cfRule type="cellIs" dxfId="115" priority="89" operator="greaterThanOrEqual">
      <formula>1.2</formula>
    </cfRule>
    <cfRule type="cellIs" dxfId="114" priority="90" operator="greaterThanOrEqual">
      <formula>120</formula>
    </cfRule>
  </conditionalFormatting>
  <conditionalFormatting sqref="X46:X56">
    <cfRule type="cellIs" dxfId="113" priority="53" operator="greaterThanOrEqual">
      <formula>1.2</formula>
    </cfRule>
    <cfRule type="cellIs" dxfId="112" priority="54" operator="greaterThanOrEqual">
      <formula>120</formula>
    </cfRule>
  </conditionalFormatting>
  <conditionalFormatting sqref="AF5:AF12">
    <cfRule type="cellIs" dxfId="111" priority="7" operator="greaterThanOrEqual">
      <formula>1.2</formula>
    </cfRule>
    <cfRule type="cellIs" dxfId="110" priority="8" operator="greaterThanOrEqual">
      <formula>120</formula>
    </cfRule>
  </conditionalFormatting>
  <conditionalFormatting sqref="AF14:AF16 AV14:AV16 BL14:BL16 BT14:BT16 CB14:CB16 CI14:CI16 CP14:CP16 CY14:CY16 AF18:AF19 AV18:AV19 BL18:BL19 BT18:BT19 CB18:CB19 CI18:CI19 CP18:CP19 CY18:CY19 AF31:AF38 AV31:AV38 BL31:BL38 BT31:BT38 CB31:CB38 CI31:CI38 CP31:CP38 CY31:CY38 AF40:AF44 AV40:AV44 BL40:BL44 BT40:BT44 CB40:CB44 CI40:CI44 CP40:CP44 CY40:CY44">
    <cfRule type="cellIs" dxfId="109" priority="121" operator="greaterThanOrEqual">
      <formula>1.2</formula>
    </cfRule>
    <cfRule type="cellIs" dxfId="108" priority="122" operator="greaterThanOrEqual">
      <formula>120</formula>
    </cfRule>
  </conditionalFormatting>
  <conditionalFormatting sqref="AF22:AF29">
    <cfRule type="cellIs" dxfId="107" priority="31" operator="greaterThanOrEqual">
      <formula>1.2</formula>
    </cfRule>
    <cfRule type="cellIs" dxfId="106" priority="32" operator="greaterThanOrEqual">
      <formula>120</formula>
    </cfRule>
  </conditionalFormatting>
  <conditionalFormatting sqref="AF46:AF56">
    <cfRule type="cellIs" dxfId="105" priority="55" operator="greaterThanOrEqual">
      <formula>1.2</formula>
    </cfRule>
    <cfRule type="cellIs" dxfId="104" priority="56" operator="greaterThanOrEqual">
      <formula>120</formula>
    </cfRule>
  </conditionalFormatting>
  <conditionalFormatting sqref="AN5:AN12">
    <cfRule type="cellIs" dxfId="103" priority="9" operator="greaterThanOrEqual">
      <formula>1.2</formula>
    </cfRule>
    <cfRule type="cellIs" dxfId="102" priority="10" operator="greaterThanOrEqual">
      <formula>120</formula>
    </cfRule>
  </conditionalFormatting>
  <conditionalFormatting sqref="AN14:AN16 AN18:AN19 AN31:AN38 AN40:AN44">
    <cfRule type="cellIs" dxfId="101" priority="93" operator="greaterThanOrEqual">
      <formula>1.2</formula>
    </cfRule>
    <cfRule type="cellIs" dxfId="100" priority="94" operator="greaterThanOrEqual">
      <formula>120</formula>
    </cfRule>
  </conditionalFormatting>
  <conditionalFormatting sqref="AN22:AN29">
    <cfRule type="cellIs" dxfId="99" priority="33" operator="greaterThanOrEqual">
      <formula>1.2</formula>
    </cfRule>
    <cfRule type="cellIs" dxfId="98" priority="34" operator="greaterThanOrEqual">
      <formula>120</formula>
    </cfRule>
  </conditionalFormatting>
  <conditionalFormatting sqref="AN46:AN56">
    <cfRule type="cellIs" dxfId="97" priority="57" operator="greaterThanOrEqual">
      <formula>1.2</formula>
    </cfRule>
    <cfRule type="cellIs" dxfId="96" priority="58" operator="greaterThanOrEqual">
      <formula>120</formula>
    </cfRule>
  </conditionalFormatting>
  <conditionalFormatting sqref="AV5:AV12">
    <cfRule type="cellIs" dxfId="95" priority="11" operator="greaterThanOrEqual">
      <formula>1.2</formula>
    </cfRule>
    <cfRule type="cellIs" dxfId="94" priority="12" operator="greaterThanOrEqual">
      <formula>120</formula>
    </cfRule>
  </conditionalFormatting>
  <conditionalFormatting sqref="AV22:AV29">
    <cfRule type="cellIs" dxfId="93" priority="35" operator="greaterThanOrEqual">
      <formula>1.2</formula>
    </cfRule>
    <cfRule type="cellIs" dxfId="92" priority="36" operator="greaterThanOrEqual">
      <formula>120</formula>
    </cfRule>
  </conditionalFormatting>
  <conditionalFormatting sqref="AV46:AV56">
    <cfRule type="cellIs" dxfId="91" priority="73" operator="greaterThanOrEqual">
      <formula>1.2</formula>
    </cfRule>
    <cfRule type="cellIs" dxfId="90" priority="74" operator="greaterThanOrEqual">
      <formula>120</formula>
    </cfRule>
  </conditionalFormatting>
  <conditionalFormatting sqref="BD5:BD12">
    <cfRule type="cellIs" dxfId="89" priority="13" operator="greaterThanOrEqual">
      <formula>1.2</formula>
    </cfRule>
    <cfRule type="cellIs" dxfId="88" priority="14" operator="greaterThanOrEqual">
      <formula>120</formula>
    </cfRule>
  </conditionalFormatting>
  <conditionalFormatting sqref="BD14:BD16 BD18:BD19 BD31:BD38 BD40:BD44">
    <cfRule type="cellIs" dxfId="87" priority="97" operator="greaterThanOrEqual">
      <formula>1.2</formula>
    </cfRule>
    <cfRule type="cellIs" dxfId="86" priority="98" operator="greaterThanOrEqual">
      <formula>120</formula>
    </cfRule>
  </conditionalFormatting>
  <conditionalFormatting sqref="BD22:BD29">
    <cfRule type="cellIs" dxfId="85" priority="37" operator="greaterThanOrEqual">
      <formula>1.2</formula>
    </cfRule>
    <cfRule type="cellIs" dxfId="84" priority="38" operator="greaterThanOrEqual">
      <formula>120</formula>
    </cfRule>
  </conditionalFormatting>
  <conditionalFormatting sqref="BD46:BD56">
    <cfRule type="cellIs" dxfId="83" priority="59" operator="greaterThanOrEqual">
      <formula>1.2</formula>
    </cfRule>
    <cfRule type="cellIs" dxfId="82" priority="60" operator="greaterThanOrEqual">
      <formula>120</formula>
    </cfRule>
  </conditionalFormatting>
  <conditionalFormatting sqref="BL5:BL12">
    <cfRule type="cellIs" dxfId="81" priority="15" operator="greaterThanOrEqual">
      <formula>1.2</formula>
    </cfRule>
    <cfRule type="cellIs" dxfId="80" priority="16" operator="greaterThanOrEqual">
      <formula>120</formula>
    </cfRule>
  </conditionalFormatting>
  <conditionalFormatting sqref="BL22:BL29">
    <cfRule type="cellIs" dxfId="79" priority="39" operator="greaterThanOrEqual">
      <formula>1.2</formula>
    </cfRule>
    <cfRule type="cellIs" dxfId="78" priority="40" operator="greaterThanOrEqual">
      <formula>120</formula>
    </cfRule>
  </conditionalFormatting>
  <conditionalFormatting sqref="BL46:BL56">
    <cfRule type="cellIs" dxfId="77" priority="61" operator="greaterThanOrEqual">
      <formula>1.2</formula>
    </cfRule>
    <cfRule type="cellIs" dxfId="76" priority="62" operator="greaterThanOrEqual">
      <formula>120</formula>
    </cfRule>
  </conditionalFormatting>
  <conditionalFormatting sqref="BT5:BT12">
    <cfRule type="cellIs" dxfId="75" priority="17" operator="greaterThanOrEqual">
      <formula>1.2</formula>
    </cfRule>
    <cfRule type="cellIs" dxfId="74" priority="18" operator="greaterThanOrEqual">
      <formula>120</formula>
    </cfRule>
  </conditionalFormatting>
  <conditionalFormatting sqref="BT22:BT29">
    <cfRule type="cellIs" dxfId="73" priority="41" operator="greaterThanOrEqual">
      <formula>1.2</formula>
    </cfRule>
    <cfRule type="cellIs" dxfId="72" priority="42" operator="greaterThanOrEqual">
      <formula>120</formula>
    </cfRule>
  </conditionalFormatting>
  <conditionalFormatting sqref="BT46:BT56">
    <cfRule type="cellIs" dxfId="71" priority="63" operator="greaterThanOrEqual">
      <formula>1.2</formula>
    </cfRule>
    <cfRule type="cellIs" dxfId="70" priority="64" operator="greaterThanOrEqual">
      <formula>120</formula>
    </cfRule>
  </conditionalFormatting>
  <conditionalFormatting sqref="CB5:CB12">
    <cfRule type="cellIs" dxfId="69" priority="19" operator="greaterThanOrEqual">
      <formula>1.2</formula>
    </cfRule>
    <cfRule type="cellIs" dxfId="68" priority="20" operator="greaterThanOrEqual">
      <formula>120</formula>
    </cfRule>
  </conditionalFormatting>
  <conditionalFormatting sqref="CB22:CB29">
    <cfRule type="cellIs" dxfId="67" priority="43" operator="greaterThanOrEqual">
      <formula>1.2</formula>
    </cfRule>
    <cfRule type="cellIs" dxfId="66" priority="44" operator="greaterThanOrEqual">
      <formula>120</formula>
    </cfRule>
  </conditionalFormatting>
  <conditionalFormatting sqref="CB46:CB56">
    <cfRule type="cellIs" dxfId="65" priority="65" operator="greaterThanOrEqual">
      <formula>1.2</formula>
    </cfRule>
    <cfRule type="cellIs" dxfId="64" priority="66" operator="greaterThanOrEqual">
      <formula>120</formula>
    </cfRule>
  </conditionalFormatting>
  <conditionalFormatting sqref="CI5:CI12">
    <cfRule type="cellIs" dxfId="63" priority="21" operator="greaterThanOrEqual">
      <formula>1.2</formula>
    </cfRule>
    <cfRule type="cellIs" dxfId="62" priority="22" operator="greaterThanOrEqual">
      <formula>120</formula>
    </cfRule>
  </conditionalFormatting>
  <conditionalFormatting sqref="CI22:CI29">
    <cfRule type="cellIs" dxfId="61" priority="45" operator="greaterThanOrEqual">
      <formula>1.2</formula>
    </cfRule>
    <cfRule type="cellIs" dxfId="60" priority="46" operator="greaterThanOrEqual">
      <formula>120</formula>
    </cfRule>
  </conditionalFormatting>
  <conditionalFormatting sqref="CI46:CI56">
    <cfRule type="cellIs" dxfId="59" priority="67" operator="greaterThanOrEqual">
      <formula>1.2</formula>
    </cfRule>
    <cfRule type="cellIs" dxfId="58" priority="68" operator="greaterThanOrEqual">
      <formula>120</formula>
    </cfRule>
  </conditionalFormatting>
  <conditionalFormatting sqref="CP5:CP12">
    <cfRule type="cellIs" dxfId="57" priority="23" operator="greaterThanOrEqual">
      <formula>1.2</formula>
    </cfRule>
    <cfRule type="cellIs" dxfId="56" priority="24" operator="greaterThanOrEqual">
      <formula>120</formula>
    </cfRule>
  </conditionalFormatting>
  <conditionalFormatting sqref="CP22:CP29">
    <cfRule type="cellIs" dxfId="55" priority="47" operator="greaterThanOrEqual">
      <formula>1.2</formula>
    </cfRule>
    <cfRule type="cellIs" dxfId="54" priority="48" operator="greaterThanOrEqual">
      <formula>120</formula>
    </cfRule>
  </conditionalFormatting>
  <conditionalFormatting sqref="CP46:CP56">
    <cfRule type="cellIs" dxfId="53" priority="69" operator="greaterThanOrEqual">
      <formula>1.2</formula>
    </cfRule>
    <cfRule type="cellIs" dxfId="52" priority="70" operator="greaterThanOrEqual">
      <formula>120</formula>
    </cfRule>
  </conditionalFormatting>
  <conditionalFormatting sqref="CY5:CY12">
    <cfRule type="cellIs" dxfId="51" priority="25" operator="greaterThanOrEqual">
      <formula>1.2</formula>
    </cfRule>
    <cfRule type="cellIs" dxfId="50" priority="26" operator="greaterThanOrEqual">
      <formula>120</formula>
    </cfRule>
  </conditionalFormatting>
  <conditionalFormatting sqref="CY22:CY29">
    <cfRule type="cellIs" dxfId="49" priority="49" operator="greaterThanOrEqual">
      <formula>1.2</formula>
    </cfRule>
    <cfRule type="cellIs" dxfId="48" priority="50" operator="greaterThanOrEqual">
      <formula>120</formula>
    </cfRule>
  </conditionalFormatting>
  <conditionalFormatting sqref="CY46:CY56">
    <cfRule type="cellIs" dxfId="47" priority="71" operator="greaterThanOrEqual">
      <formula>1.2</formula>
    </cfRule>
    <cfRule type="cellIs" dxfId="46" priority="72" operator="greaterThanOrEqual">
      <formula>120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D209"/>
  <sheetViews>
    <sheetView showGridLines="0" tabSelected="1" zoomScale="136" zoomScaleNormal="110" workbookViewId="0">
      <pane xSplit="4" ySplit="4" topLeftCell="E5" activePane="bottomRight" state="frozen"/>
      <selection activeCell="C53" sqref="C53"/>
      <selection pane="topRight" activeCell="C53" sqref="C53"/>
      <selection pane="bottomLeft" activeCell="C53" sqref="C53"/>
      <selection pane="bottomRight" activeCell="U15" sqref="U15"/>
    </sheetView>
  </sheetViews>
  <sheetFormatPr baseColWidth="10" defaultColWidth="8.83203125" defaultRowHeight="15" x14ac:dyDescent="0.2"/>
  <cols>
    <col min="1" max="1" width="0.6640625" customWidth="1"/>
    <col min="2" max="2" width="2" customWidth="1"/>
    <col min="3" max="3" width="37.1640625" customWidth="1"/>
    <col min="4" max="4" width="0.83203125" customWidth="1"/>
    <col min="5" max="5" width="9.6640625" style="162" customWidth="1"/>
    <col min="6" max="6" width="9.33203125" customWidth="1"/>
    <col min="7" max="7" width="7.1640625" customWidth="1"/>
    <col min="8" max="8" width="9.33203125" customWidth="1"/>
    <col min="9" max="9" width="0.83203125" customWidth="1"/>
    <col min="10" max="10" width="8.5" customWidth="1"/>
    <col min="11" max="11" width="6.6640625" customWidth="1"/>
    <col min="12" max="12" width="0.83203125" customWidth="1"/>
    <col min="13" max="13" width="9.6640625" style="162" customWidth="1"/>
    <col min="14" max="14" width="9.33203125" customWidth="1"/>
    <col min="15" max="15" width="7.1640625" customWidth="1"/>
    <col min="16" max="16" width="9.33203125" customWidth="1"/>
    <col min="17" max="17" width="0.83203125" customWidth="1"/>
    <col min="18" max="18" width="8.5" customWidth="1"/>
    <col min="19" max="19" width="6.1640625" customWidth="1"/>
    <col min="20" max="20" width="0.83203125" customWidth="1"/>
    <col min="21" max="21" width="9.6640625" style="162" customWidth="1"/>
    <col min="22" max="22" width="9.33203125" customWidth="1"/>
    <col min="23" max="23" width="7.1640625" customWidth="1"/>
    <col min="24" max="24" width="9.33203125" customWidth="1"/>
    <col min="25" max="25" width="0.83203125" customWidth="1"/>
    <col min="26" max="26" width="8.5" customWidth="1"/>
    <col min="27" max="27" width="5.5" customWidth="1"/>
    <col min="28" max="28" width="0.83203125" customWidth="1"/>
    <col min="29" max="29" width="9.6640625" customWidth="1"/>
    <col min="30" max="30" width="9.33203125" customWidth="1"/>
    <col min="31" max="31" width="7.1640625" customWidth="1"/>
    <col min="32" max="32" width="9.33203125" customWidth="1"/>
    <col min="33" max="33" width="0.83203125" customWidth="1"/>
    <col min="34" max="34" width="8.5" style="25" customWidth="1"/>
    <col min="35" max="35" width="7" customWidth="1"/>
    <col min="36" max="36" width="0.83203125" customWidth="1"/>
    <col min="37" max="37" width="7.1640625" customWidth="1"/>
    <col min="38" max="38" width="8.5" customWidth="1"/>
    <col min="40" max="40" width="9.1640625" style="157"/>
  </cols>
  <sheetData>
    <row r="1" spans="1:108" ht="16" thickBot="1" x14ac:dyDescent="0.25">
      <c r="A1" s="4"/>
      <c r="B1" s="17"/>
      <c r="C1" s="3" t="s">
        <v>209</v>
      </c>
      <c r="D1" s="4"/>
      <c r="E1" s="3"/>
      <c r="F1" s="4"/>
      <c r="G1" s="4"/>
      <c r="H1" s="4"/>
      <c r="I1" s="4"/>
      <c r="J1" s="13"/>
      <c r="K1" s="4"/>
      <c r="L1" s="4"/>
      <c r="M1" s="25"/>
      <c r="N1" s="4"/>
      <c r="O1" s="4"/>
      <c r="P1" s="4"/>
      <c r="Q1" s="4"/>
      <c r="R1" s="13"/>
      <c r="S1" s="4"/>
      <c r="T1" s="4"/>
      <c r="U1" s="25"/>
      <c r="V1" s="4"/>
      <c r="W1" s="4"/>
      <c r="X1" s="4"/>
      <c r="Y1" s="4"/>
      <c r="Z1" s="13"/>
      <c r="AA1" s="4"/>
      <c r="AB1" s="4"/>
      <c r="AC1" s="13"/>
      <c r="AD1" s="4"/>
      <c r="AE1" s="4"/>
      <c r="AF1" s="4"/>
      <c r="AG1" s="4"/>
      <c r="AI1" s="4"/>
      <c r="AJ1" s="4"/>
      <c r="AK1" s="13"/>
      <c r="AL1" s="4"/>
      <c r="AM1" s="4"/>
      <c r="AN1" s="155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</row>
    <row r="2" spans="1:108" ht="12" customHeight="1" thickTop="1" thickBot="1" x14ac:dyDescent="0.25">
      <c r="A2" s="4"/>
      <c r="B2" s="17"/>
      <c r="C2" s="211" t="s">
        <v>0</v>
      </c>
      <c r="D2" s="4"/>
      <c r="E2" s="203" t="s">
        <v>203</v>
      </c>
      <c r="F2" s="204"/>
      <c r="G2" s="204"/>
      <c r="H2" s="205"/>
      <c r="I2" s="4"/>
      <c r="J2" s="13"/>
      <c r="K2" s="4"/>
      <c r="L2" s="4"/>
      <c r="M2" s="203" t="s">
        <v>205</v>
      </c>
      <c r="N2" s="204"/>
      <c r="O2" s="204"/>
      <c r="P2" s="205"/>
      <c r="Q2" s="4"/>
      <c r="R2" s="13"/>
      <c r="S2" s="4"/>
      <c r="T2" s="4"/>
      <c r="U2" s="203" t="s">
        <v>206</v>
      </c>
      <c r="V2" s="204"/>
      <c r="W2" s="204"/>
      <c r="X2" s="205"/>
      <c r="Y2" s="4"/>
      <c r="Z2" s="13"/>
      <c r="AA2" s="4"/>
      <c r="AB2" s="4"/>
      <c r="AC2" s="214" t="s">
        <v>204</v>
      </c>
      <c r="AD2" s="215"/>
      <c r="AE2" s="215"/>
      <c r="AF2" s="216"/>
      <c r="AG2" s="4"/>
      <c r="AI2" s="4"/>
      <c r="AJ2" s="4"/>
      <c r="AK2" s="13"/>
      <c r="AL2" s="4"/>
      <c r="AM2" s="4"/>
      <c r="AN2" s="155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</row>
    <row r="3" spans="1:108" ht="12" customHeight="1" thickBot="1" x14ac:dyDescent="0.25">
      <c r="A3" s="4"/>
      <c r="B3" s="17"/>
      <c r="C3" s="212"/>
      <c r="D3" s="4"/>
      <c r="E3" s="206"/>
      <c r="F3" s="207"/>
      <c r="G3" s="207"/>
      <c r="H3" s="208"/>
      <c r="I3" s="4"/>
      <c r="J3" s="13"/>
      <c r="K3" s="4"/>
      <c r="L3" s="4"/>
      <c r="M3" s="206"/>
      <c r="N3" s="207"/>
      <c r="O3" s="207"/>
      <c r="P3" s="208"/>
      <c r="Q3" s="4"/>
      <c r="R3" s="13"/>
      <c r="S3" s="4"/>
      <c r="T3" s="4"/>
      <c r="U3" s="206"/>
      <c r="V3" s="207"/>
      <c r="W3" s="207"/>
      <c r="X3" s="208"/>
      <c r="Y3" s="4"/>
      <c r="Z3" s="13"/>
      <c r="AA3" s="4"/>
      <c r="AB3" s="4"/>
      <c r="AC3" s="217"/>
      <c r="AD3" s="218"/>
      <c r="AE3" s="218"/>
      <c r="AF3" s="219"/>
      <c r="AG3" s="4"/>
      <c r="AI3" s="4"/>
      <c r="AJ3" s="4"/>
      <c r="AK3" s="13"/>
      <c r="AL3" s="4"/>
      <c r="AM3" s="4"/>
      <c r="AN3" s="155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</row>
    <row r="4" spans="1:108" ht="12" customHeight="1" thickTop="1" thickBot="1" x14ac:dyDescent="0.25">
      <c r="A4" s="4"/>
      <c r="B4" s="17"/>
      <c r="C4" s="213"/>
      <c r="D4" s="4"/>
      <c r="E4" s="27" t="s">
        <v>33</v>
      </c>
      <c r="F4" s="6" t="s">
        <v>34</v>
      </c>
      <c r="G4" s="6" t="s">
        <v>35</v>
      </c>
      <c r="H4" s="7" t="s">
        <v>36</v>
      </c>
      <c r="I4" s="4"/>
      <c r="J4" s="30">
        <v>2022</v>
      </c>
      <c r="K4" s="10"/>
      <c r="L4" s="4"/>
      <c r="M4" s="27" t="s">
        <v>33</v>
      </c>
      <c r="N4" s="6" t="s">
        <v>34</v>
      </c>
      <c r="O4" s="6" t="s">
        <v>35</v>
      </c>
      <c r="P4" s="7" t="s">
        <v>36</v>
      </c>
      <c r="Q4" s="4"/>
      <c r="R4" s="30">
        <v>2022</v>
      </c>
      <c r="S4" s="10"/>
      <c r="T4" s="4"/>
      <c r="U4" s="27" t="s">
        <v>33</v>
      </c>
      <c r="V4" s="6" t="s">
        <v>34</v>
      </c>
      <c r="W4" s="6" t="s">
        <v>35</v>
      </c>
      <c r="X4" s="7" t="s">
        <v>36</v>
      </c>
      <c r="Y4" s="4"/>
      <c r="Z4" s="30">
        <v>2022</v>
      </c>
      <c r="AA4" s="10"/>
      <c r="AB4" s="4"/>
      <c r="AC4" s="5" t="s">
        <v>33</v>
      </c>
      <c r="AD4" s="6" t="s">
        <v>34</v>
      </c>
      <c r="AE4" s="6" t="s">
        <v>35</v>
      </c>
      <c r="AF4" s="7" t="s">
        <v>36</v>
      </c>
      <c r="AG4" s="4"/>
      <c r="AH4" s="30">
        <v>2022</v>
      </c>
      <c r="AI4" s="10"/>
      <c r="AJ4" s="4"/>
      <c r="AK4" s="209" t="s">
        <v>37</v>
      </c>
      <c r="AL4" s="210"/>
      <c r="AM4" s="4"/>
      <c r="AN4" s="155"/>
      <c r="AO4" s="4"/>
      <c r="AP4" s="14"/>
      <c r="AQ4" s="4"/>
      <c r="AR4" s="4"/>
      <c r="AS4" s="4"/>
    </row>
    <row r="5" spans="1:108" ht="12" customHeight="1" thickTop="1" x14ac:dyDescent="0.2">
      <c r="A5" s="4"/>
      <c r="B5" s="31">
        <v>10000</v>
      </c>
      <c r="C5" s="1" t="s">
        <v>1</v>
      </c>
      <c r="D5" s="4"/>
      <c r="E5" s="20">
        <v>0.5</v>
      </c>
      <c r="F5" s="23"/>
      <c r="G5" s="21">
        <f>IF((E5-F5)&lt;0, "-", (E5-F5))</f>
        <v>0.5</v>
      </c>
      <c r="H5" s="80">
        <f>TRUNC(IF((F5/E5)&gt;1.2,"120%",(F5/E5)),2)</f>
        <v>0</v>
      </c>
      <c r="I5" s="4"/>
      <c r="J5" s="32"/>
      <c r="K5" s="11">
        <f>IF(ISERROR((F5-J5)/J5),0,(F5-J5)/J5)</f>
        <v>0</v>
      </c>
      <c r="L5" s="4"/>
      <c r="M5" s="20">
        <v>0.5</v>
      </c>
      <c r="N5" s="23"/>
      <c r="O5" s="21">
        <f>IF((M5-N5)&lt;0, "-", (M5-N5))</f>
        <v>0.5</v>
      </c>
      <c r="P5" s="80">
        <f t="shared" ref="P5:P12" si="0">TRUNC(IF((N5/M5)&gt;1.2,"120%",(N5/M5)),2)</f>
        <v>0</v>
      </c>
      <c r="Q5" s="4"/>
      <c r="R5" s="32"/>
      <c r="S5" s="11">
        <f t="shared" ref="S5:S12" si="1">IF(ISERROR((N5-R5)/R5),0,(N5-R5)/R5)</f>
        <v>0</v>
      </c>
      <c r="T5" s="4"/>
      <c r="U5" s="20">
        <v>1</v>
      </c>
      <c r="V5" s="23"/>
      <c r="W5" s="21">
        <f>IF((U5-V5)&lt;0, "-", (U5-V5))</f>
        <v>1</v>
      </c>
      <c r="X5" s="80">
        <f t="shared" ref="X5:X12" si="2">TRUNC(IF((V5/U5)&gt;1.2,"120%",(V5/U5)),2)</f>
        <v>0</v>
      </c>
      <c r="Y5" s="4"/>
      <c r="Z5" s="32"/>
      <c r="AA5" s="11">
        <f t="shared" ref="AA5:AA12" si="3">IF(ISERROR((V5-Z5)/Z5),0,(V5-Z5)/Z5)</f>
        <v>0</v>
      </c>
      <c r="AB5" s="4"/>
      <c r="AC5" s="22">
        <f>SUM(E5,M5,U5)</f>
        <v>2</v>
      </c>
      <c r="AD5" s="23">
        <f>F5+N5+V5</f>
        <v>0</v>
      </c>
      <c r="AE5" s="21">
        <f t="shared" ref="AE5:AE12" si="4">IF((AC5-AD5)&lt;0, "-", (AC5-AD5))</f>
        <v>2</v>
      </c>
      <c r="AF5" s="80">
        <f t="shared" ref="AF5:AF12" si="5">TRUNC(IF((AD5/AC5)&gt;1.2,"120%",(AD5/AC5)),2)</f>
        <v>0</v>
      </c>
      <c r="AG5" s="4"/>
      <c r="AH5" s="22"/>
      <c r="AI5" s="11">
        <f t="shared" ref="AI5:AI12" si="6">IF(ISERROR((AD5-AH5)/AH5),0,(AD5-AH5)/AH5)</f>
        <v>0</v>
      </c>
      <c r="AJ5" s="4"/>
      <c r="AK5" s="12"/>
      <c r="AL5" s="15">
        <f>AD5-V5-N5-F5</f>
        <v>0</v>
      </c>
      <c r="AM5" s="45">
        <f>AK5*-1</f>
        <v>0</v>
      </c>
      <c r="AN5" s="155"/>
      <c r="AO5" s="158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</row>
    <row r="6" spans="1:108" ht="12" customHeight="1" x14ac:dyDescent="0.2">
      <c r="A6" s="4"/>
      <c r="B6" s="18">
        <v>2</v>
      </c>
      <c r="C6" s="1" t="s">
        <v>2</v>
      </c>
      <c r="D6" s="4"/>
      <c r="E6" s="22">
        <v>2</v>
      </c>
      <c r="F6" s="23"/>
      <c r="G6" s="21">
        <f t="shared" ref="G6:G19" si="7">IF((E6-F6)&lt;0, "-", (E6-F6))</f>
        <v>2</v>
      </c>
      <c r="H6" s="80">
        <f t="shared" ref="H6:H12" si="8">TRUNC(IF((F6/E6)&gt;1.2,"120%",(F6/E6)),2)</f>
        <v>0</v>
      </c>
      <c r="I6" s="4"/>
      <c r="J6" s="32"/>
      <c r="K6" s="11">
        <f>IF(ISERROR((F6-J6)/J6),0,(F6-J6)/J6)</f>
        <v>0</v>
      </c>
      <c r="L6" s="4"/>
      <c r="M6" s="22">
        <v>2</v>
      </c>
      <c r="N6" s="23"/>
      <c r="O6" s="21">
        <f t="shared" ref="O6:O19" si="9">IF((M6-N6)&lt;0, "-", (M6-N6))</f>
        <v>2</v>
      </c>
      <c r="P6" s="80">
        <f t="shared" si="0"/>
        <v>0</v>
      </c>
      <c r="Q6" s="4"/>
      <c r="R6" s="32"/>
      <c r="S6" s="11">
        <f t="shared" si="1"/>
        <v>0</v>
      </c>
      <c r="T6" s="4"/>
      <c r="U6" s="22">
        <v>1.5</v>
      </c>
      <c r="V6" s="23"/>
      <c r="W6" s="21">
        <f t="shared" ref="W6:W19" si="10">IF((U6-V6)&lt;0, "-", (U6-V6))</f>
        <v>1.5</v>
      </c>
      <c r="X6" s="80">
        <f t="shared" si="2"/>
        <v>0</v>
      </c>
      <c r="Y6" s="4"/>
      <c r="Z6" s="32"/>
      <c r="AA6" s="11">
        <f t="shared" si="3"/>
        <v>0</v>
      </c>
      <c r="AB6" s="4"/>
      <c r="AC6" s="22">
        <f t="shared" ref="AC6:AC12" si="11">SUM(E6,M6,U6)</f>
        <v>5.5</v>
      </c>
      <c r="AD6" s="23">
        <f t="shared" ref="AD6:AD19" si="12">F6+N6+V6</f>
        <v>0</v>
      </c>
      <c r="AE6" s="23">
        <f t="shared" si="4"/>
        <v>5.5</v>
      </c>
      <c r="AF6" s="80">
        <f t="shared" si="5"/>
        <v>0</v>
      </c>
      <c r="AG6" s="4"/>
      <c r="AH6" s="22"/>
      <c r="AI6" s="11">
        <f t="shared" si="6"/>
        <v>0</v>
      </c>
      <c r="AJ6" s="4"/>
      <c r="AK6" s="12"/>
      <c r="AL6" s="15">
        <f t="shared" ref="AL6:AL12" si="13">AD6-V6-N6-F6</f>
        <v>0</v>
      </c>
      <c r="AM6" s="45">
        <f t="shared" ref="AM6:AM56" si="14">AK6*-1</f>
        <v>0</v>
      </c>
      <c r="AN6" s="155"/>
      <c r="AO6" s="158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</row>
    <row r="7" spans="1:108" ht="12" customHeight="1" x14ac:dyDescent="0.2">
      <c r="A7" s="4"/>
      <c r="B7" s="18">
        <v>3</v>
      </c>
      <c r="C7" s="1" t="s">
        <v>65</v>
      </c>
      <c r="D7" s="4"/>
      <c r="E7" s="22">
        <v>7</v>
      </c>
      <c r="F7" s="23"/>
      <c r="G7" s="21">
        <f t="shared" si="7"/>
        <v>7</v>
      </c>
      <c r="H7" s="80">
        <f t="shared" si="8"/>
        <v>0</v>
      </c>
      <c r="I7" s="4"/>
      <c r="J7" s="32"/>
      <c r="K7" s="11">
        <f>IF(ISERROR((F7-J7)/J7),0,(F7-J7)/J7)</f>
        <v>0</v>
      </c>
      <c r="L7" s="4"/>
      <c r="M7" s="22">
        <v>7</v>
      </c>
      <c r="N7" s="23"/>
      <c r="O7" s="21">
        <f t="shared" si="9"/>
        <v>7</v>
      </c>
      <c r="P7" s="80">
        <f t="shared" si="0"/>
        <v>0</v>
      </c>
      <c r="Q7" s="4"/>
      <c r="R7" s="32"/>
      <c r="S7" s="11">
        <f t="shared" si="1"/>
        <v>0</v>
      </c>
      <c r="T7" s="4"/>
      <c r="U7" s="22">
        <v>5</v>
      </c>
      <c r="V7" s="23"/>
      <c r="W7" s="21">
        <f t="shared" si="10"/>
        <v>5</v>
      </c>
      <c r="X7" s="80">
        <f t="shared" si="2"/>
        <v>0</v>
      </c>
      <c r="Y7" s="4"/>
      <c r="Z7" s="32"/>
      <c r="AA7" s="11">
        <f t="shared" si="3"/>
        <v>0</v>
      </c>
      <c r="AB7" s="4"/>
      <c r="AC7" s="22">
        <f t="shared" si="11"/>
        <v>19</v>
      </c>
      <c r="AD7" s="23">
        <f t="shared" si="12"/>
        <v>0</v>
      </c>
      <c r="AE7" s="23">
        <f t="shared" si="4"/>
        <v>19</v>
      </c>
      <c r="AF7" s="80">
        <f t="shared" si="5"/>
        <v>0</v>
      </c>
      <c r="AG7" s="4"/>
      <c r="AH7" s="22"/>
      <c r="AI7" s="11">
        <f t="shared" si="6"/>
        <v>0</v>
      </c>
      <c r="AJ7" s="4"/>
      <c r="AK7" s="12"/>
      <c r="AL7" s="15">
        <f t="shared" si="13"/>
        <v>0</v>
      </c>
      <c r="AM7" s="45">
        <f t="shared" si="14"/>
        <v>0</v>
      </c>
      <c r="AN7" s="155"/>
      <c r="AO7" s="158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</row>
    <row r="8" spans="1:108" ht="12" customHeight="1" x14ac:dyDescent="0.2">
      <c r="A8" s="4"/>
      <c r="B8" s="18">
        <v>4</v>
      </c>
      <c r="C8" s="1" t="s">
        <v>3</v>
      </c>
      <c r="D8" s="4"/>
      <c r="E8" s="22">
        <v>7</v>
      </c>
      <c r="F8" s="23"/>
      <c r="G8" s="21">
        <f t="shared" si="7"/>
        <v>7</v>
      </c>
      <c r="H8" s="80">
        <f t="shared" si="8"/>
        <v>0</v>
      </c>
      <c r="I8" s="4"/>
      <c r="J8" s="32"/>
      <c r="K8" s="11">
        <f t="shared" ref="K8:K16" si="15">IF(ISERROR((F8-J8)/J8),0,(F8-J8)/J8)</f>
        <v>0</v>
      </c>
      <c r="L8" s="4"/>
      <c r="M8" s="22">
        <v>7</v>
      </c>
      <c r="N8" s="23"/>
      <c r="O8" s="21">
        <f t="shared" si="9"/>
        <v>7</v>
      </c>
      <c r="P8" s="80">
        <f t="shared" si="0"/>
        <v>0</v>
      </c>
      <c r="Q8" s="4"/>
      <c r="R8" s="32"/>
      <c r="S8" s="11">
        <f t="shared" si="1"/>
        <v>0</v>
      </c>
      <c r="T8" s="4"/>
      <c r="U8" s="22">
        <v>4</v>
      </c>
      <c r="V8" s="23"/>
      <c r="W8" s="21">
        <f t="shared" si="10"/>
        <v>4</v>
      </c>
      <c r="X8" s="80">
        <f t="shared" si="2"/>
        <v>0</v>
      </c>
      <c r="Y8" s="4"/>
      <c r="Z8" s="32"/>
      <c r="AA8" s="11">
        <f t="shared" si="3"/>
        <v>0</v>
      </c>
      <c r="AB8" s="4"/>
      <c r="AC8" s="22">
        <f t="shared" si="11"/>
        <v>18</v>
      </c>
      <c r="AD8" s="23">
        <f t="shared" si="12"/>
        <v>0</v>
      </c>
      <c r="AE8" s="23">
        <f t="shared" si="4"/>
        <v>18</v>
      </c>
      <c r="AF8" s="80">
        <f t="shared" si="5"/>
        <v>0</v>
      </c>
      <c r="AG8" s="4"/>
      <c r="AH8" s="22"/>
      <c r="AI8" s="11">
        <f t="shared" si="6"/>
        <v>0</v>
      </c>
      <c r="AJ8" s="4"/>
      <c r="AK8" s="12"/>
      <c r="AL8" s="15">
        <f t="shared" si="13"/>
        <v>0</v>
      </c>
      <c r="AM8" s="45">
        <f t="shared" si="14"/>
        <v>0</v>
      </c>
      <c r="AN8" s="155"/>
      <c r="AO8" s="158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</row>
    <row r="9" spans="1:108" ht="12" customHeight="1" x14ac:dyDescent="0.2">
      <c r="A9" s="4"/>
      <c r="B9" s="18">
        <v>5</v>
      </c>
      <c r="C9" s="1" t="s">
        <v>4</v>
      </c>
      <c r="D9" s="4"/>
      <c r="E9" s="22">
        <v>2</v>
      </c>
      <c r="F9" s="23"/>
      <c r="G9" s="21">
        <f t="shared" si="7"/>
        <v>2</v>
      </c>
      <c r="H9" s="80">
        <f t="shared" si="8"/>
        <v>0</v>
      </c>
      <c r="I9" s="4"/>
      <c r="J9" s="32"/>
      <c r="K9" s="11">
        <f t="shared" si="15"/>
        <v>0</v>
      </c>
      <c r="L9" s="4"/>
      <c r="M9" s="22">
        <v>2</v>
      </c>
      <c r="N9" s="23"/>
      <c r="O9" s="21">
        <f t="shared" si="9"/>
        <v>2</v>
      </c>
      <c r="P9" s="80">
        <f t="shared" si="0"/>
        <v>0</v>
      </c>
      <c r="Q9" s="4"/>
      <c r="R9" s="32"/>
      <c r="S9" s="11">
        <f t="shared" si="1"/>
        <v>0</v>
      </c>
      <c r="T9" s="4"/>
      <c r="U9" s="22">
        <v>1</v>
      </c>
      <c r="V9" s="23"/>
      <c r="W9" s="21">
        <f t="shared" si="10"/>
        <v>1</v>
      </c>
      <c r="X9" s="80">
        <f t="shared" si="2"/>
        <v>0</v>
      </c>
      <c r="Y9" s="4"/>
      <c r="Z9" s="32"/>
      <c r="AA9" s="11">
        <f t="shared" si="3"/>
        <v>0</v>
      </c>
      <c r="AB9" s="4"/>
      <c r="AC9" s="22">
        <f t="shared" si="11"/>
        <v>5</v>
      </c>
      <c r="AD9" s="23">
        <f t="shared" si="12"/>
        <v>0</v>
      </c>
      <c r="AE9" s="23">
        <f t="shared" si="4"/>
        <v>5</v>
      </c>
      <c r="AF9" s="80">
        <f t="shared" si="5"/>
        <v>0</v>
      </c>
      <c r="AG9" s="4"/>
      <c r="AH9" s="22"/>
      <c r="AI9" s="11">
        <f t="shared" si="6"/>
        <v>0</v>
      </c>
      <c r="AJ9" s="4"/>
      <c r="AK9" s="12"/>
      <c r="AL9" s="15">
        <f t="shared" si="13"/>
        <v>0</v>
      </c>
      <c r="AM9" s="45">
        <f>AK9*-1</f>
        <v>0</v>
      </c>
      <c r="AN9" s="155"/>
      <c r="AO9" s="158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</row>
    <row r="10" spans="1:108" ht="12" customHeight="1" x14ac:dyDescent="0.2">
      <c r="A10" s="4"/>
      <c r="B10" s="18">
        <v>6</v>
      </c>
      <c r="C10" s="1" t="s">
        <v>5</v>
      </c>
      <c r="D10" s="4"/>
      <c r="E10" s="22">
        <v>0.1</v>
      </c>
      <c r="F10" s="23"/>
      <c r="G10" s="21">
        <f t="shared" si="7"/>
        <v>0.1</v>
      </c>
      <c r="H10" s="80">
        <f t="shared" si="8"/>
        <v>0</v>
      </c>
      <c r="I10" s="4"/>
      <c r="J10" s="32"/>
      <c r="K10" s="11">
        <f t="shared" si="15"/>
        <v>0</v>
      </c>
      <c r="L10" s="4"/>
      <c r="M10" s="22">
        <v>0.1</v>
      </c>
      <c r="N10" s="23"/>
      <c r="O10" s="21">
        <f t="shared" si="9"/>
        <v>0.1</v>
      </c>
      <c r="P10" s="80">
        <f t="shared" si="0"/>
        <v>0</v>
      </c>
      <c r="Q10" s="4"/>
      <c r="R10" s="32"/>
      <c r="S10" s="11">
        <f t="shared" si="1"/>
        <v>0</v>
      </c>
      <c r="T10" s="4"/>
      <c r="U10" s="22">
        <v>0.1</v>
      </c>
      <c r="V10" s="23"/>
      <c r="W10" s="21">
        <f t="shared" si="10"/>
        <v>0.1</v>
      </c>
      <c r="X10" s="80">
        <f t="shared" si="2"/>
        <v>0</v>
      </c>
      <c r="Y10" s="4"/>
      <c r="Z10" s="32"/>
      <c r="AA10" s="11">
        <f t="shared" si="3"/>
        <v>0</v>
      </c>
      <c r="AB10" s="4"/>
      <c r="AC10" s="22">
        <f t="shared" si="11"/>
        <v>0.30000000000000004</v>
      </c>
      <c r="AD10" s="23">
        <f t="shared" si="12"/>
        <v>0</v>
      </c>
      <c r="AE10" s="23">
        <f t="shared" si="4"/>
        <v>0.30000000000000004</v>
      </c>
      <c r="AF10" s="80">
        <f t="shared" si="5"/>
        <v>0</v>
      </c>
      <c r="AG10" s="4"/>
      <c r="AH10" s="22"/>
      <c r="AI10" s="11">
        <f t="shared" si="6"/>
        <v>0</v>
      </c>
      <c r="AJ10" s="4"/>
      <c r="AK10" s="12"/>
      <c r="AL10" s="15">
        <f t="shared" si="13"/>
        <v>0</v>
      </c>
      <c r="AM10" s="45">
        <f t="shared" si="14"/>
        <v>0</v>
      </c>
      <c r="AN10" s="155"/>
      <c r="AO10" s="158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</row>
    <row r="11" spans="1:108" ht="12" customHeight="1" x14ac:dyDescent="0.2">
      <c r="A11" s="4"/>
      <c r="B11" s="31">
        <v>54</v>
      </c>
      <c r="C11" s="1" t="s">
        <v>151</v>
      </c>
      <c r="D11" s="4"/>
      <c r="E11" s="22">
        <v>0.1</v>
      </c>
      <c r="F11" s="23"/>
      <c r="G11" s="21">
        <f t="shared" si="7"/>
        <v>0.1</v>
      </c>
      <c r="H11" s="80">
        <f t="shared" si="8"/>
        <v>0</v>
      </c>
      <c r="I11" s="4"/>
      <c r="J11" s="32"/>
      <c r="K11" s="11">
        <f t="shared" ref="K11" si="16">IF(ISERROR((F11-J11)/J11),0,(F11-J11)/J11)</f>
        <v>0</v>
      </c>
      <c r="L11" s="4"/>
      <c r="M11" s="22">
        <v>0.1</v>
      </c>
      <c r="N11" s="23"/>
      <c r="O11" s="21">
        <f t="shared" si="9"/>
        <v>0.1</v>
      </c>
      <c r="P11" s="80">
        <f t="shared" si="0"/>
        <v>0</v>
      </c>
      <c r="Q11" s="4"/>
      <c r="R11" s="32"/>
      <c r="S11" s="11">
        <f t="shared" ref="S11" si="17">IF(ISERROR((N11-R11)/R11),0,(N11-R11)/R11)</f>
        <v>0</v>
      </c>
      <c r="T11" s="4"/>
      <c r="U11" s="22">
        <v>0.1</v>
      </c>
      <c r="V11" s="23"/>
      <c r="W11" s="21">
        <f t="shared" si="10"/>
        <v>0.1</v>
      </c>
      <c r="X11" s="80">
        <f t="shared" si="2"/>
        <v>0</v>
      </c>
      <c r="Y11" s="4"/>
      <c r="Z11" s="32"/>
      <c r="AA11" s="11">
        <f t="shared" ref="AA11" si="18">IF(ISERROR((V11-Z11)/Z11),0,(V11-Z11)/Z11)</f>
        <v>0</v>
      </c>
      <c r="AB11" s="4"/>
      <c r="AC11" s="22">
        <f t="shared" si="11"/>
        <v>0.30000000000000004</v>
      </c>
      <c r="AD11" s="23">
        <f t="shared" si="12"/>
        <v>0</v>
      </c>
      <c r="AE11" s="23">
        <f t="shared" ref="AE11" si="19">IF((AC11-AD11)&lt;0, "-", (AC11-AD11))</f>
        <v>0.30000000000000004</v>
      </c>
      <c r="AF11" s="80">
        <f t="shared" si="5"/>
        <v>0</v>
      </c>
      <c r="AG11" s="4"/>
      <c r="AH11" s="22"/>
      <c r="AI11" s="11">
        <f t="shared" ref="AI11" si="20">IF(ISERROR((AD11-AH11)/AH11),0,(AD11-AH11)/AH11)</f>
        <v>0</v>
      </c>
      <c r="AJ11" s="4"/>
      <c r="AK11" s="12"/>
      <c r="AL11" s="15">
        <f t="shared" si="13"/>
        <v>0</v>
      </c>
      <c r="AM11" s="45">
        <f t="shared" ref="AM11" si="21">AK11*-1</f>
        <v>0</v>
      </c>
      <c r="AN11" s="155"/>
      <c r="AO11" s="158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</row>
    <row r="12" spans="1:108" ht="12" customHeight="1" thickBot="1" x14ac:dyDescent="0.25">
      <c r="A12" s="4"/>
      <c r="B12" s="18">
        <v>7</v>
      </c>
      <c r="C12" s="1" t="s">
        <v>6</v>
      </c>
      <c r="D12" s="4"/>
      <c r="E12" s="22">
        <v>1</v>
      </c>
      <c r="F12" s="23"/>
      <c r="G12" s="21">
        <f t="shared" si="7"/>
        <v>1</v>
      </c>
      <c r="H12" s="80">
        <f t="shared" si="8"/>
        <v>0</v>
      </c>
      <c r="I12" s="4"/>
      <c r="J12" s="32"/>
      <c r="K12" s="11">
        <f t="shared" si="15"/>
        <v>0</v>
      </c>
      <c r="L12" s="4"/>
      <c r="M12" s="22">
        <v>0.5</v>
      </c>
      <c r="N12" s="23"/>
      <c r="O12" s="21">
        <f t="shared" si="9"/>
        <v>0.5</v>
      </c>
      <c r="P12" s="80">
        <f t="shared" si="0"/>
        <v>0</v>
      </c>
      <c r="Q12" s="4"/>
      <c r="R12" s="32"/>
      <c r="S12" s="11">
        <f t="shared" si="1"/>
        <v>0</v>
      </c>
      <c r="T12" s="4"/>
      <c r="U12" s="22">
        <v>1</v>
      </c>
      <c r="V12" s="23"/>
      <c r="W12" s="21">
        <f t="shared" si="10"/>
        <v>1</v>
      </c>
      <c r="X12" s="80">
        <f t="shared" si="2"/>
        <v>0</v>
      </c>
      <c r="Y12" s="4"/>
      <c r="Z12" s="32"/>
      <c r="AA12" s="11">
        <f t="shared" si="3"/>
        <v>0</v>
      </c>
      <c r="AB12" s="4"/>
      <c r="AC12" s="22">
        <f t="shared" si="11"/>
        <v>2.5</v>
      </c>
      <c r="AD12" s="23">
        <f t="shared" si="12"/>
        <v>0</v>
      </c>
      <c r="AE12" s="23">
        <f t="shared" si="4"/>
        <v>2.5</v>
      </c>
      <c r="AF12" s="80">
        <f t="shared" si="5"/>
        <v>0</v>
      </c>
      <c r="AG12" s="4"/>
      <c r="AH12" s="22"/>
      <c r="AI12" s="11">
        <f t="shared" si="6"/>
        <v>0</v>
      </c>
      <c r="AJ12" s="4"/>
      <c r="AK12" s="12"/>
      <c r="AL12" s="15">
        <f t="shared" si="13"/>
        <v>0</v>
      </c>
      <c r="AM12" s="45">
        <f t="shared" si="14"/>
        <v>0</v>
      </c>
      <c r="AN12" s="155"/>
      <c r="AO12" s="158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</row>
    <row r="13" spans="1:108" s="142" customFormat="1" ht="12" customHeight="1" thickTop="1" thickBot="1" x14ac:dyDescent="0.2">
      <c r="A13" s="136"/>
      <c r="B13" s="18"/>
      <c r="C13" s="2" t="s">
        <v>7</v>
      </c>
      <c r="D13" s="136"/>
      <c r="E13" s="135">
        <f>SUM(E5:E12)</f>
        <v>19.700000000000003</v>
      </c>
      <c r="F13" s="135">
        <f>SUM(F5:F12)</f>
        <v>0</v>
      </c>
      <c r="G13" s="135">
        <f>SUM(G5:G12)</f>
        <v>19.700000000000003</v>
      </c>
      <c r="H13" s="137">
        <f>TRUNC(IF((F13/E13)&gt;1.2,"120%",(F13/E13)),2)</f>
        <v>0</v>
      </c>
      <c r="I13" s="138"/>
      <c r="J13" s="135"/>
      <c r="K13" s="139"/>
      <c r="L13" s="138"/>
      <c r="M13" s="135">
        <f>SUM(M5:M12)</f>
        <v>19.200000000000003</v>
      </c>
      <c r="N13" s="135">
        <f>SUM(N5:N12)</f>
        <v>0</v>
      </c>
      <c r="O13" s="135">
        <f>SUM(O5:O12)</f>
        <v>19.200000000000003</v>
      </c>
      <c r="P13" s="137">
        <f>TRUNC(IF((N13/M13)&gt;1.2,"120%",(N13/M13)),2)</f>
        <v>0</v>
      </c>
      <c r="Q13" s="138"/>
      <c r="R13" s="135"/>
      <c r="S13" s="139"/>
      <c r="T13" s="138"/>
      <c r="U13" s="135">
        <f>SUM(U5:U12)</f>
        <v>13.7</v>
      </c>
      <c r="V13" s="135">
        <f>SUM(V5:V12)</f>
        <v>0</v>
      </c>
      <c r="W13" s="135">
        <f>SUM(W5:W12)</f>
        <v>13.7</v>
      </c>
      <c r="X13" s="137">
        <f>TRUNC(IF((V13/U13)&gt;1.2,"120%",(V13/U13)),2)</f>
        <v>0</v>
      </c>
      <c r="Y13" s="138"/>
      <c r="Z13" s="135"/>
      <c r="AA13" s="139"/>
      <c r="AB13" s="138"/>
      <c r="AC13" s="135">
        <f>SUM(AC5:AC12)</f>
        <v>52.599999999999994</v>
      </c>
      <c r="AD13" s="135">
        <f>SUM(AD5:AD12)</f>
        <v>0</v>
      </c>
      <c r="AE13" s="135">
        <f>SUM(AE5:AE12)</f>
        <v>52.599999999999994</v>
      </c>
      <c r="AF13" s="137">
        <f>TRUNC(IF((AD13/AC13)&gt;1.2,"120%",(AD13/AC13)),2)</f>
        <v>0</v>
      </c>
      <c r="AG13" s="136"/>
      <c r="AH13" s="135"/>
      <c r="AI13" s="139"/>
      <c r="AJ13" s="136"/>
      <c r="AK13" s="140"/>
      <c r="AL13" s="89"/>
      <c r="AM13" s="141">
        <f t="shared" si="14"/>
        <v>0</v>
      </c>
      <c r="AN13" s="156"/>
      <c r="AO13" s="158"/>
      <c r="AP13" s="136"/>
      <c r="AQ13" s="136"/>
      <c r="AR13" s="136"/>
      <c r="AS13" s="136"/>
      <c r="AT13" s="136"/>
      <c r="AU13" s="136"/>
      <c r="AV13" s="136"/>
      <c r="AW13" s="136"/>
      <c r="AX13" s="136"/>
      <c r="AY13" s="136"/>
      <c r="AZ13" s="136"/>
      <c r="BA13" s="136"/>
      <c r="BB13" s="136"/>
      <c r="BC13" s="136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</row>
    <row r="14" spans="1:108" ht="12" customHeight="1" thickTop="1" x14ac:dyDescent="0.2">
      <c r="A14" s="4"/>
      <c r="B14" s="18">
        <v>4000</v>
      </c>
      <c r="C14" s="1" t="s">
        <v>8</v>
      </c>
      <c r="D14" s="4"/>
      <c r="E14" s="22">
        <v>3</v>
      </c>
      <c r="F14" s="23"/>
      <c r="G14" s="21">
        <f t="shared" si="7"/>
        <v>3</v>
      </c>
      <c r="H14" s="80">
        <f t="shared" ref="H14:H16" si="22">TRUNC(IF((F14/E14)&gt;1.2,"120%",(F14/E14)),2)</f>
        <v>0</v>
      </c>
      <c r="I14" s="4"/>
      <c r="J14" s="32" t="s">
        <v>207</v>
      </c>
      <c r="K14" s="11">
        <f t="shared" si="15"/>
        <v>0</v>
      </c>
      <c r="L14" s="4"/>
      <c r="M14" s="22">
        <v>3</v>
      </c>
      <c r="N14" s="23"/>
      <c r="O14" s="21">
        <f t="shared" si="9"/>
        <v>3</v>
      </c>
      <c r="P14" s="80">
        <f t="shared" ref="P14:P16" si="23">TRUNC(IF((N14/M14)&gt;1.2,"120%",(N14/M14)),2)</f>
        <v>0</v>
      </c>
      <c r="Q14" s="4"/>
      <c r="R14" s="32"/>
      <c r="S14" s="11">
        <f>IF(ISERROR((N14-R14)/R14),0,(N14-R14)/R14)</f>
        <v>0</v>
      </c>
      <c r="T14" s="4"/>
      <c r="U14" s="22">
        <v>2</v>
      </c>
      <c r="V14" s="23"/>
      <c r="W14" s="21">
        <f t="shared" si="10"/>
        <v>2</v>
      </c>
      <c r="X14" s="80">
        <f t="shared" ref="X14:X16" si="24">TRUNC(IF((V14/U14)&gt;1.2,"120%",(V14/U14)),2)</f>
        <v>0</v>
      </c>
      <c r="Y14" s="4"/>
      <c r="Z14" s="32"/>
      <c r="AA14" s="11">
        <f>IF(ISERROR((V14-Z14)/Z14),0,(V14-Z14)/Z14)</f>
        <v>0</v>
      </c>
      <c r="AB14" s="4"/>
      <c r="AC14" s="22">
        <f>SUM(E14,M14,U14)</f>
        <v>8</v>
      </c>
      <c r="AD14" s="23">
        <f t="shared" si="12"/>
        <v>0</v>
      </c>
      <c r="AE14" s="23">
        <f>IF((AC14-AD14)&lt;0, "-", (AC14-AD14))</f>
        <v>8</v>
      </c>
      <c r="AF14" s="80">
        <f t="shared" ref="AF14:AF16" si="25">TRUNC(IF((AD14/AC14)&gt;1.2,"120%",(AD14/AC14)),2)</f>
        <v>0</v>
      </c>
      <c r="AG14" s="4"/>
      <c r="AH14" s="22"/>
      <c r="AI14" s="11">
        <f>IF(ISERROR((AD14-AH14)/AH14),0,(AD14-AH14)/AH14)</f>
        <v>0</v>
      </c>
      <c r="AJ14" s="4"/>
      <c r="AK14" s="12"/>
      <c r="AL14" s="15">
        <f t="shared" ref="AL14:AL16" si="26">AD14-V14-N14-F14</f>
        <v>0</v>
      </c>
      <c r="AM14" s="45">
        <f t="shared" si="14"/>
        <v>0</v>
      </c>
      <c r="AN14" s="155"/>
      <c r="AO14" s="158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</row>
    <row r="15" spans="1:108" ht="12" customHeight="1" x14ac:dyDescent="0.2">
      <c r="A15" s="4"/>
      <c r="B15" s="18">
        <v>3000</v>
      </c>
      <c r="C15" s="1" t="s">
        <v>9</v>
      </c>
      <c r="D15" s="4"/>
      <c r="E15" s="22">
        <v>0.2</v>
      </c>
      <c r="F15" s="23"/>
      <c r="G15" s="21">
        <f t="shared" si="7"/>
        <v>0.2</v>
      </c>
      <c r="H15" s="80">
        <f t="shared" si="22"/>
        <v>0</v>
      </c>
      <c r="I15" s="4"/>
      <c r="J15" s="32"/>
      <c r="K15" s="11">
        <f t="shared" si="15"/>
        <v>0</v>
      </c>
      <c r="L15" s="4"/>
      <c r="M15" s="22">
        <v>0.1</v>
      </c>
      <c r="N15" s="23"/>
      <c r="O15" s="21">
        <f t="shared" si="9"/>
        <v>0.1</v>
      </c>
      <c r="P15" s="80">
        <f t="shared" si="23"/>
        <v>0</v>
      </c>
      <c r="Q15" s="4"/>
      <c r="R15" s="32"/>
      <c r="S15" s="11">
        <f>IF(ISERROR((N15-R15)/R15),0,(N15-R15)/R15)</f>
        <v>0</v>
      </c>
      <c r="T15" s="4"/>
      <c r="U15" s="22">
        <v>0.2</v>
      </c>
      <c r="V15" s="23"/>
      <c r="W15" s="21">
        <f t="shared" si="10"/>
        <v>0.2</v>
      </c>
      <c r="X15" s="80">
        <f t="shared" si="24"/>
        <v>0</v>
      </c>
      <c r="Y15" s="4"/>
      <c r="Z15" s="32"/>
      <c r="AA15" s="11">
        <f>IF(ISERROR((V15-Z15)/Z15),0,(V15-Z15)/Z15)</f>
        <v>0</v>
      </c>
      <c r="AB15" s="4"/>
      <c r="AC15" s="22">
        <f t="shared" ref="AC15:AC16" si="27">SUM(E15,M15,U15)</f>
        <v>0.5</v>
      </c>
      <c r="AD15" s="23">
        <f t="shared" si="12"/>
        <v>0</v>
      </c>
      <c r="AE15" s="23">
        <f>IF((AC15-AD15)&lt;0, "-", (AC15-AD15))</f>
        <v>0.5</v>
      </c>
      <c r="AF15" s="80">
        <f t="shared" si="25"/>
        <v>0</v>
      </c>
      <c r="AG15" s="4"/>
      <c r="AH15" s="22"/>
      <c r="AI15" s="11">
        <f>IF(ISERROR((AD15-AH15)/AH15),0,(AD15-AH15)/AH15)</f>
        <v>0</v>
      </c>
      <c r="AJ15" s="4"/>
      <c r="AK15" s="12"/>
      <c r="AL15" s="15">
        <f t="shared" si="26"/>
        <v>0</v>
      </c>
      <c r="AM15" s="45">
        <f t="shared" si="14"/>
        <v>0</v>
      </c>
      <c r="AN15" s="155"/>
      <c r="AO15" s="158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</row>
    <row r="16" spans="1:108" ht="12" customHeight="1" thickBot="1" x14ac:dyDescent="0.25">
      <c r="A16" s="4"/>
      <c r="B16" s="18">
        <v>5000</v>
      </c>
      <c r="C16" s="1" t="s">
        <v>10</v>
      </c>
      <c r="D16" s="4"/>
      <c r="E16" s="22">
        <v>1.65</v>
      </c>
      <c r="F16" s="23"/>
      <c r="G16" s="21">
        <f t="shared" si="7"/>
        <v>1.65</v>
      </c>
      <c r="H16" s="80">
        <f t="shared" si="22"/>
        <v>0</v>
      </c>
      <c r="I16" s="4"/>
      <c r="J16" s="32"/>
      <c r="K16" s="11">
        <f t="shared" si="15"/>
        <v>0</v>
      </c>
      <c r="L16" s="4"/>
      <c r="M16" s="22">
        <v>1.65</v>
      </c>
      <c r="N16" s="23"/>
      <c r="O16" s="21">
        <f t="shared" si="9"/>
        <v>1.65</v>
      </c>
      <c r="P16" s="80">
        <f t="shared" si="23"/>
        <v>0</v>
      </c>
      <c r="Q16" s="4"/>
      <c r="R16" s="32"/>
      <c r="S16" s="11">
        <f>IF(ISERROR((N16-R16)/R16),0,(N16-R16)/R16)</f>
        <v>0</v>
      </c>
      <c r="T16" s="4"/>
      <c r="U16" s="22">
        <v>1.3</v>
      </c>
      <c r="V16" s="23"/>
      <c r="W16" s="21">
        <f t="shared" si="10"/>
        <v>1.3</v>
      </c>
      <c r="X16" s="80">
        <f t="shared" si="24"/>
        <v>0</v>
      </c>
      <c r="Y16" s="4"/>
      <c r="Z16" s="32"/>
      <c r="AA16" s="11">
        <f>IF(ISERROR((V16-Z16)/Z16),0,(V16-Z16)/Z16)</f>
        <v>0</v>
      </c>
      <c r="AB16" s="4"/>
      <c r="AC16" s="22">
        <f t="shared" si="27"/>
        <v>4.5999999999999996</v>
      </c>
      <c r="AD16" s="23">
        <f t="shared" si="12"/>
        <v>0</v>
      </c>
      <c r="AE16" s="23">
        <f>IF((AC16-AD16)&lt;0, "-", (AC16-AD16))</f>
        <v>4.5999999999999996</v>
      </c>
      <c r="AF16" s="80">
        <f t="shared" si="25"/>
        <v>0</v>
      </c>
      <c r="AG16" s="4"/>
      <c r="AH16" s="22"/>
      <c r="AI16" s="11">
        <f>IF(ISERROR((AD16-AH16)/AH16),0,(AD16-AH16)/AH16)</f>
        <v>0</v>
      </c>
      <c r="AJ16" s="4"/>
      <c r="AK16" s="12"/>
      <c r="AL16" s="15">
        <f t="shared" si="26"/>
        <v>0</v>
      </c>
      <c r="AM16" s="45">
        <f t="shared" si="14"/>
        <v>0</v>
      </c>
      <c r="AN16" s="155"/>
      <c r="AO16" s="158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</row>
    <row r="17" spans="1:85" s="142" customFormat="1" ht="12" customHeight="1" thickTop="1" thickBot="1" x14ac:dyDescent="0.2">
      <c r="A17" s="136"/>
      <c r="B17" s="18" t="s">
        <v>55</v>
      </c>
      <c r="C17" s="2" t="s">
        <v>11</v>
      </c>
      <c r="D17" s="136"/>
      <c r="E17" s="135">
        <f>SUM(E14:E16)</f>
        <v>4.8499999999999996</v>
      </c>
      <c r="F17" s="135">
        <f>SUM(F14:F16)</f>
        <v>0</v>
      </c>
      <c r="G17" s="135">
        <f>SUM(G14:G16)</f>
        <v>4.8499999999999996</v>
      </c>
      <c r="H17" s="137">
        <f>TRUNC(IF((F17/E17)&gt;1.2,"120%",(F17/E17)),2)</f>
        <v>0</v>
      </c>
      <c r="I17" s="138"/>
      <c r="J17" s="135"/>
      <c r="K17" s="139"/>
      <c r="L17" s="138"/>
      <c r="M17" s="135">
        <f>SUM(M14:M16)</f>
        <v>4.75</v>
      </c>
      <c r="N17" s="135">
        <f>SUM(N14:N16)</f>
        <v>0</v>
      </c>
      <c r="O17" s="135">
        <f>SUM(O14:O16)</f>
        <v>4.75</v>
      </c>
      <c r="P17" s="137">
        <f>TRUNC(IF((N17/M17)&gt;1.2,"120%",(N17/M17)),2)</f>
        <v>0</v>
      </c>
      <c r="Q17" s="138"/>
      <c r="R17" s="135"/>
      <c r="S17" s="139"/>
      <c r="T17" s="138"/>
      <c r="U17" s="135">
        <f>SUM(U14:U16)</f>
        <v>3.5</v>
      </c>
      <c r="V17" s="135">
        <f>SUM(V14:V16)</f>
        <v>0</v>
      </c>
      <c r="W17" s="135">
        <f>SUM(W14:W16)</f>
        <v>3.5</v>
      </c>
      <c r="X17" s="137">
        <f>TRUNC(IF((V17/U17)&gt;1.2,"120%",(V17/U17)),2)</f>
        <v>0</v>
      </c>
      <c r="Y17" s="138"/>
      <c r="Z17" s="135"/>
      <c r="AA17" s="139"/>
      <c r="AB17" s="138"/>
      <c r="AC17" s="135">
        <f>SUM(AC14:AC16)</f>
        <v>13.1</v>
      </c>
      <c r="AD17" s="135">
        <f>SUM(AD14:AD16)</f>
        <v>0</v>
      </c>
      <c r="AE17" s="135">
        <f>SUM(AE14:AE16)</f>
        <v>13.1</v>
      </c>
      <c r="AF17" s="137">
        <f>TRUNC(IF((AD17/AC17)&gt;1.2,"120%",(AD17/AC17)),2)</f>
        <v>0</v>
      </c>
      <c r="AG17" s="136"/>
      <c r="AH17" s="135"/>
      <c r="AI17" s="139"/>
      <c r="AJ17" s="136"/>
      <c r="AK17" s="140"/>
      <c r="AL17" s="89"/>
      <c r="AM17" s="141">
        <f t="shared" si="14"/>
        <v>0</v>
      </c>
      <c r="AN17" s="156"/>
      <c r="AO17" s="158"/>
      <c r="AP17" s="136"/>
      <c r="AQ17" s="136"/>
      <c r="AR17" s="136"/>
      <c r="AS17" s="136"/>
      <c r="AT17" s="136"/>
      <c r="AU17" s="136"/>
      <c r="AV17" s="136"/>
      <c r="AW17" s="136"/>
      <c r="AX17" s="136"/>
      <c r="AY17" s="136"/>
      <c r="AZ17" s="136"/>
      <c r="BA17" s="136"/>
      <c r="BB17" s="136"/>
      <c r="BC17" s="136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</row>
    <row r="18" spans="1:85" ht="12" customHeight="1" thickTop="1" x14ac:dyDescent="0.2">
      <c r="A18" s="4"/>
      <c r="B18" s="18">
        <v>1000</v>
      </c>
      <c r="C18" s="1" t="s">
        <v>105</v>
      </c>
      <c r="D18" s="4"/>
      <c r="E18" s="22">
        <v>0.5</v>
      </c>
      <c r="F18" s="23"/>
      <c r="G18" s="21">
        <f t="shared" si="7"/>
        <v>0.5</v>
      </c>
      <c r="H18" s="80">
        <f t="shared" ref="H18:H21" si="28">TRUNC(IF((F18/E18)&gt;1.2,"120%",(F18/E18)),2)</f>
        <v>0</v>
      </c>
      <c r="I18" s="4"/>
      <c r="J18" s="32"/>
      <c r="K18" s="11">
        <f>IF(ISERROR((F18-J18)/J18),0,(F18-J18)/J18)</f>
        <v>0</v>
      </c>
      <c r="L18" s="4"/>
      <c r="M18" s="22">
        <v>0.5</v>
      </c>
      <c r="N18" s="23"/>
      <c r="O18" s="21">
        <f t="shared" si="9"/>
        <v>0.5</v>
      </c>
      <c r="P18" s="80">
        <f t="shared" ref="P18:P21" si="29">TRUNC(IF((N18/M18)&gt;1.2,"120%",(N18/M18)),2)</f>
        <v>0</v>
      </c>
      <c r="Q18" s="4"/>
      <c r="R18" s="32"/>
      <c r="S18" s="11">
        <f>IF(ISERROR((N18-R18)/R18),0,(N18-R18)/R18)</f>
        <v>0</v>
      </c>
      <c r="T18" s="4"/>
      <c r="U18" s="22">
        <v>0.1</v>
      </c>
      <c r="V18" s="23"/>
      <c r="W18" s="21">
        <f t="shared" si="10"/>
        <v>0.1</v>
      </c>
      <c r="X18" s="80">
        <f t="shared" ref="X18:X21" si="30">TRUNC(IF((V18/U18)&gt;1.2,"120%",(V18/U18)),2)</f>
        <v>0</v>
      </c>
      <c r="Y18" s="4"/>
      <c r="Z18" s="32"/>
      <c r="AA18" s="11">
        <f>IF(ISERROR((V18-Z18)/Z18),0,(V18-Z18)/Z18)</f>
        <v>0</v>
      </c>
      <c r="AB18" s="4"/>
      <c r="AC18" s="22">
        <f>SUM(E18,M18,U18)</f>
        <v>1.1000000000000001</v>
      </c>
      <c r="AD18" s="23">
        <f t="shared" si="12"/>
        <v>0</v>
      </c>
      <c r="AE18" s="23">
        <f>IF((AC18-AD18)&lt;0, "-", (AC18-AD18))</f>
        <v>1.1000000000000001</v>
      </c>
      <c r="AF18" s="80">
        <f t="shared" ref="AF18:AF21" si="31">TRUNC(IF((AD18/AC18)&gt;1.2,"120%",(AD18/AC18)),2)</f>
        <v>0</v>
      </c>
      <c r="AG18" s="4"/>
      <c r="AH18" s="22"/>
      <c r="AI18" s="11">
        <f>IF(ISERROR((AD18-AH18)/AH18),0,(AD18-AH18)/AH18)</f>
        <v>0</v>
      </c>
      <c r="AJ18" s="4"/>
      <c r="AK18" s="12"/>
      <c r="AL18" s="15">
        <f t="shared" ref="AL18:AL19" si="32">AD18-V18-N18-F18</f>
        <v>0</v>
      </c>
      <c r="AM18" s="45">
        <f t="shared" si="14"/>
        <v>0</v>
      </c>
      <c r="AN18" s="155"/>
      <c r="AO18" s="158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</row>
    <row r="19" spans="1:85" ht="12" customHeight="1" thickBot="1" x14ac:dyDescent="0.25">
      <c r="A19" s="4"/>
      <c r="B19" s="18">
        <v>2000</v>
      </c>
      <c r="C19" s="1" t="s">
        <v>12</v>
      </c>
      <c r="D19" s="4"/>
      <c r="E19" s="22">
        <v>0.05</v>
      </c>
      <c r="F19" s="23"/>
      <c r="G19" s="21">
        <f t="shared" si="7"/>
        <v>0.05</v>
      </c>
      <c r="H19" s="80">
        <f t="shared" si="28"/>
        <v>0</v>
      </c>
      <c r="I19" s="4"/>
      <c r="J19" s="32"/>
      <c r="K19" s="11">
        <f>IF(ISERROR((F19-J19)/J19),0,(F19-J19)/J19)</f>
        <v>0</v>
      </c>
      <c r="L19" s="4"/>
      <c r="M19" s="22">
        <v>0.05</v>
      </c>
      <c r="N19" s="23"/>
      <c r="O19" s="21">
        <f t="shared" si="9"/>
        <v>0.05</v>
      </c>
      <c r="P19" s="80">
        <f t="shared" si="29"/>
        <v>0</v>
      </c>
      <c r="Q19" s="4"/>
      <c r="R19" s="32"/>
      <c r="S19" s="11">
        <f>IF(ISERROR((N19-R19)/R19),0,(N19-R19)/R19)</f>
        <v>0</v>
      </c>
      <c r="T19" s="4"/>
      <c r="U19" s="22">
        <v>0.05</v>
      </c>
      <c r="V19" s="23"/>
      <c r="W19" s="21">
        <f t="shared" si="10"/>
        <v>0.05</v>
      </c>
      <c r="X19" s="80">
        <f t="shared" si="30"/>
        <v>0</v>
      </c>
      <c r="Y19" s="4"/>
      <c r="Z19" s="32"/>
      <c r="AA19" s="11">
        <f>IF(ISERROR((V19-Z19)/Z19),0,(V19-Z19)/Z19)</f>
        <v>0</v>
      </c>
      <c r="AB19" s="4"/>
      <c r="AC19" s="22">
        <f>SUM(E19,M19,U19)</f>
        <v>0.15000000000000002</v>
      </c>
      <c r="AD19" s="23">
        <f t="shared" si="12"/>
        <v>0</v>
      </c>
      <c r="AE19" s="23">
        <f>IF((AC19-AD19)&lt;0, "-", (AC19-AD19))</f>
        <v>0.15000000000000002</v>
      </c>
      <c r="AF19" s="80">
        <f t="shared" si="31"/>
        <v>0</v>
      </c>
      <c r="AG19" s="4"/>
      <c r="AH19" s="22"/>
      <c r="AI19" s="11">
        <f>IF(ISERROR((AD19-AH19)/AH19),0,(AD19-AH19)/AH19)</f>
        <v>0</v>
      </c>
      <c r="AJ19" s="4"/>
      <c r="AK19" s="12"/>
      <c r="AL19" s="15">
        <f t="shared" si="32"/>
        <v>0</v>
      </c>
      <c r="AM19" s="45">
        <f t="shared" si="14"/>
        <v>0</v>
      </c>
      <c r="AN19" s="155"/>
      <c r="AO19" s="158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</row>
    <row r="20" spans="1:85" s="142" customFormat="1" ht="12" customHeight="1" thickTop="1" thickBot="1" x14ac:dyDescent="0.2">
      <c r="A20" s="136"/>
      <c r="B20" s="18" t="s">
        <v>56</v>
      </c>
      <c r="C20" s="2" t="s">
        <v>13</v>
      </c>
      <c r="D20" s="136"/>
      <c r="E20" s="135">
        <f>SUM(E18:E19)</f>
        <v>0.55000000000000004</v>
      </c>
      <c r="F20" s="135">
        <f>SUM(F18:F19)</f>
        <v>0</v>
      </c>
      <c r="G20" s="135">
        <f>SUM(G18:G19)</f>
        <v>0.55000000000000004</v>
      </c>
      <c r="H20" s="137">
        <f t="shared" si="28"/>
        <v>0</v>
      </c>
      <c r="I20" s="138"/>
      <c r="J20" s="135"/>
      <c r="K20" s="139"/>
      <c r="L20" s="138"/>
      <c r="M20" s="135">
        <f>SUM(M18:M19)</f>
        <v>0.55000000000000004</v>
      </c>
      <c r="N20" s="135">
        <f>SUM(N18:N19)</f>
        <v>0</v>
      </c>
      <c r="O20" s="135">
        <f>SUM(O18:O19)</f>
        <v>0.55000000000000004</v>
      </c>
      <c r="P20" s="137">
        <f t="shared" si="29"/>
        <v>0</v>
      </c>
      <c r="Q20" s="138"/>
      <c r="R20" s="135"/>
      <c r="S20" s="139"/>
      <c r="T20" s="138"/>
      <c r="U20" s="135">
        <f>SUM(U18:U19)</f>
        <v>0.15000000000000002</v>
      </c>
      <c r="V20" s="135">
        <f>SUM(V18:V19)</f>
        <v>0</v>
      </c>
      <c r="W20" s="135">
        <f>SUM(W18:W19)</f>
        <v>0.15000000000000002</v>
      </c>
      <c r="X20" s="137">
        <f t="shared" si="30"/>
        <v>0</v>
      </c>
      <c r="Y20" s="138"/>
      <c r="Z20" s="135"/>
      <c r="AA20" s="139"/>
      <c r="AB20" s="138"/>
      <c r="AC20" s="135">
        <f>SUM(AC18:AC19)</f>
        <v>1.25</v>
      </c>
      <c r="AD20" s="135">
        <f>SUM(AD18:AD19)</f>
        <v>0</v>
      </c>
      <c r="AE20" s="135">
        <f>SUM(AE18:AE19)</f>
        <v>1.25</v>
      </c>
      <c r="AF20" s="137">
        <f t="shared" si="31"/>
        <v>0</v>
      </c>
      <c r="AG20" s="136"/>
      <c r="AH20" s="135"/>
      <c r="AI20" s="139"/>
      <c r="AJ20" s="136"/>
      <c r="AK20" s="140"/>
      <c r="AL20" s="89"/>
      <c r="AM20" s="141">
        <f t="shared" si="14"/>
        <v>0</v>
      </c>
      <c r="AN20" s="156"/>
      <c r="AO20" s="158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  <c r="BA20" s="136"/>
      <c r="BB20" s="136"/>
      <c r="BC20" s="136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</row>
    <row r="21" spans="1:85" s="142" customFormat="1" ht="13.5" customHeight="1" thickTop="1" thickBot="1" x14ac:dyDescent="0.2">
      <c r="A21" s="136"/>
      <c r="B21" s="18"/>
      <c r="C21" s="2" t="s">
        <v>14</v>
      </c>
      <c r="D21" s="136"/>
      <c r="E21" s="135">
        <f>E20+E17</f>
        <v>5.3999999999999995</v>
      </c>
      <c r="F21" s="143">
        <f>F20+F17</f>
        <v>0</v>
      </c>
      <c r="G21" s="143">
        <f>G20+G17</f>
        <v>5.3999999999999995</v>
      </c>
      <c r="H21" s="137">
        <f t="shared" si="28"/>
        <v>0</v>
      </c>
      <c r="I21" s="138"/>
      <c r="J21" s="135"/>
      <c r="K21" s="139"/>
      <c r="L21" s="138"/>
      <c r="M21" s="135">
        <f>M20+M17</f>
        <v>5.3</v>
      </c>
      <c r="N21" s="143">
        <f>N20+N17</f>
        <v>0</v>
      </c>
      <c r="O21" s="143">
        <f>O20+O17</f>
        <v>5.3</v>
      </c>
      <c r="P21" s="137">
        <f t="shared" si="29"/>
        <v>0</v>
      </c>
      <c r="Q21" s="138"/>
      <c r="R21" s="135"/>
      <c r="S21" s="139"/>
      <c r="T21" s="138"/>
      <c r="U21" s="135">
        <f>U20+U17</f>
        <v>3.65</v>
      </c>
      <c r="V21" s="143">
        <f>V20+V17</f>
        <v>0</v>
      </c>
      <c r="W21" s="143">
        <f>W20+W17</f>
        <v>3.65</v>
      </c>
      <c r="X21" s="137">
        <f t="shared" si="30"/>
        <v>0</v>
      </c>
      <c r="Y21" s="138"/>
      <c r="Z21" s="135"/>
      <c r="AA21" s="139"/>
      <c r="AB21" s="138"/>
      <c r="AC21" s="135">
        <f>AC20+AC17</f>
        <v>14.35</v>
      </c>
      <c r="AD21" s="143">
        <f>AD20+AD17</f>
        <v>0</v>
      </c>
      <c r="AE21" s="143">
        <f>AE20+AE17</f>
        <v>14.35</v>
      </c>
      <c r="AF21" s="137">
        <f t="shared" si="31"/>
        <v>0</v>
      </c>
      <c r="AG21" s="136"/>
      <c r="AH21" s="135"/>
      <c r="AI21" s="139"/>
      <c r="AJ21" s="136"/>
      <c r="AK21" s="140"/>
      <c r="AL21" s="89"/>
      <c r="AM21" s="141">
        <f t="shared" si="14"/>
        <v>0</v>
      </c>
      <c r="AN21" s="156"/>
      <c r="AO21" s="158"/>
      <c r="AP21" s="136"/>
      <c r="AQ21" s="136"/>
      <c r="AR21" s="136"/>
      <c r="AS21" s="136"/>
      <c r="AT21" s="136"/>
      <c r="AU21" s="136"/>
      <c r="AV21" s="136"/>
      <c r="AW21" s="136"/>
      <c r="AX21" s="136"/>
      <c r="AY21" s="136"/>
      <c r="AZ21" s="136"/>
      <c r="BA21" s="136"/>
      <c r="BB21" s="136"/>
      <c r="BC21" s="136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</row>
    <row r="22" spans="1:85" ht="12" customHeight="1" thickTop="1" x14ac:dyDescent="0.2">
      <c r="A22" s="4"/>
      <c r="B22" s="31">
        <v>6000</v>
      </c>
      <c r="C22" s="1" t="s">
        <v>15</v>
      </c>
      <c r="D22" s="4"/>
      <c r="E22" s="22">
        <v>4</v>
      </c>
      <c r="F22" s="23"/>
      <c r="G22" s="21">
        <f t="shared" ref="G22:G56" si="33">IF((E22-F22)&lt;0, "-", (E22-F22))</f>
        <v>4</v>
      </c>
      <c r="H22" s="80">
        <f t="shared" ref="H22:H29" si="34">TRUNC(IF((F22/E22)&gt;1.2,"120%",(F22/E22)),2)</f>
        <v>0</v>
      </c>
      <c r="I22" s="4"/>
      <c r="J22" s="32"/>
      <c r="K22" s="11">
        <f t="shared" ref="K22:K56" si="35">IF(ISERROR((F22-J22)/J22),0,(F22-J22)/J22)</f>
        <v>0</v>
      </c>
      <c r="L22" s="4"/>
      <c r="M22" s="22">
        <v>3.5</v>
      </c>
      <c r="N22" s="23"/>
      <c r="O22" s="21">
        <f t="shared" ref="O22:O56" si="36">IF((M22-N22)&lt;0, "-", (M22-N22))</f>
        <v>3.5</v>
      </c>
      <c r="P22" s="80">
        <f t="shared" ref="P22:P29" si="37">TRUNC(IF((N22/M22)&gt;1.2,"120%",(N22/M22)),2)</f>
        <v>0</v>
      </c>
      <c r="Q22" s="4"/>
      <c r="R22" s="32"/>
      <c r="S22" s="11">
        <f t="shared" ref="S22:S29" si="38">IF(ISERROR((N22-R22)/R22),0,(N22-R22)/R22)</f>
        <v>0</v>
      </c>
      <c r="T22" s="4"/>
      <c r="U22" s="22">
        <v>3.5</v>
      </c>
      <c r="V22" s="23"/>
      <c r="W22" s="21">
        <f t="shared" ref="W22:W56" si="39">IF((U22-V22)&lt;0, "-", (U22-V22))</f>
        <v>3.5</v>
      </c>
      <c r="X22" s="80">
        <f t="shared" ref="X22:X29" si="40">TRUNC(IF((V22/U22)&gt;1.2,"120%",(V22/U22)),2)</f>
        <v>0</v>
      </c>
      <c r="Y22" s="4"/>
      <c r="Z22" s="32"/>
      <c r="AA22" s="11">
        <f t="shared" ref="AA22:AA29" si="41">IF(ISERROR((V22-Z22)/Z22),0,(V22-Z22)/Z22)</f>
        <v>0</v>
      </c>
      <c r="AB22" s="4"/>
      <c r="AC22" s="22">
        <f>SUM(E22,M22,U22)</f>
        <v>11</v>
      </c>
      <c r="AD22" s="23">
        <f t="shared" ref="AD22:AD56" si="42">F22+N22+V22</f>
        <v>0</v>
      </c>
      <c r="AE22" s="23">
        <f t="shared" ref="AE22:AE29" si="43">IF((AC22-AD22)&lt;0, "-", (AC22-AD22))</f>
        <v>11</v>
      </c>
      <c r="AF22" s="80">
        <f t="shared" ref="AF22:AF29" si="44">TRUNC(IF((AD22/AC22)&gt;1.2,"120%",(AD22/AC22)),2)</f>
        <v>0</v>
      </c>
      <c r="AG22" s="4"/>
      <c r="AH22" s="22"/>
      <c r="AI22" s="11">
        <f t="shared" ref="AI22:AI29" si="45">IF(ISERROR((AD22-AH22)/AH22),0,(AD22-AH22)/AH22)</f>
        <v>0</v>
      </c>
      <c r="AJ22" s="4"/>
      <c r="AK22" s="12"/>
      <c r="AL22" s="15">
        <f t="shared" ref="AL22:AL29" si="46">AD22-V22-N22-F22</f>
        <v>0</v>
      </c>
      <c r="AM22" s="45">
        <f t="shared" si="14"/>
        <v>0</v>
      </c>
      <c r="AN22" s="155"/>
      <c r="AO22" s="158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</row>
    <row r="23" spans="1:85" ht="12" customHeight="1" x14ac:dyDescent="0.2">
      <c r="A23" s="4"/>
      <c r="B23" s="31">
        <v>10</v>
      </c>
      <c r="C23" s="1" t="s">
        <v>16</v>
      </c>
      <c r="D23" s="4"/>
      <c r="E23" s="22">
        <v>1.5</v>
      </c>
      <c r="F23" s="23"/>
      <c r="G23" s="21">
        <f t="shared" si="33"/>
        <v>1.5</v>
      </c>
      <c r="H23" s="80">
        <f t="shared" si="34"/>
        <v>0</v>
      </c>
      <c r="I23" s="4"/>
      <c r="J23" s="32"/>
      <c r="K23" s="11">
        <f t="shared" si="35"/>
        <v>0</v>
      </c>
      <c r="L23" s="4"/>
      <c r="M23" s="22">
        <v>1.5</v>
      </c>
      <c r="N23" s="23"/>
      <c r="O23" s="21">
        <f t="shared" si="36"/>
        <v>1.5</v>
      </c>
      <c r="P23" s="80">
        <f t="shared" si="37"/>
        <v>0</v>
      </c>
      <c r="Q23" s="4"/>
      <c r="R23" s="32"/>
      <c r="S23" s="11">
        <f t="shared" si="38"/>
        <v>0</v>
      </c>
      <c r="T23" s="4"/>
      <c r="U23" s="22">
        <v>1.5</v>
      </c>
      <c r="V23" s="23"/>
      <c r="W23" s="21">
        <f t="shared" si="39"/>
        <v>1.5</v>
      </c>
      <c r="X23" s="80">
        <f t="shared" si="40"/>
        <v>0</v>
      </c>
      <c r="Y23" s="4"/>
      <c r="Z23" s="32"/>
      <c r="AA23" s="11">
        <f t="shared" si="41"/>
        <v>0</v>
      </c>
      <c r="AB23" s="4"/>
      <c r="AC23" s="22">
        <f t="shared" ref="AC23:AC29" si="47">SUM(E23,M23,U23)</f>
        <v>4.5</v>
      </c>
      <c r="AD23" s="23">
        <f t="shared" si="42"/>
        <v>0</v>
      </c>
      <c r="AE23" s="23">
        <f t="shared" si="43"/>
        <v>4.5</v>
      </c>
      <c r="AF23" s="80">
        <f t="shared" si="44"/>
        <v>0</v>
      </c>
      <c r="AG23" s="4"/>
      <c r="AH23" s="22"/>
      <c r="AI23" s="11">
        <f t="shared" si="45"/>
        <v>0</v>
      </c>
      <c r="AJ23" s="4"/>
      <c r="AK23" s="12"/>
      <c r="AL23" s="15">
        <f t="shared" si="46"/>
        <v>0</v>
      </c>
      <c r="AM23" s="45">
        <f t="shared" si="14"/>
        <v>0</v>
      </c>
      <c r="AN23" s="155"/>
      <c r="AO23" s="158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</row>
    <row r="24" spans="1:85" ht="12" customHeight="1" x14ac:dyDescent="0.2">
      <c r="A24" s="4"/>
      <c r="B24" s="31">
        <v>60</v>
      </c>
      <c r="C24" s="1" t="s">
        <v>62</v>
      </c>
      <c r="D24" s="4"/>
      <c r="E24" s="22">
        <v>3</v>
      </c>
      <c r="F24" s="23"/>
      <c r="G24" s="21">
        <f t="shared" si="33"/>
        <v>3</v>
      </c>
      <c r="H24" s="80">
        <f t="shared" si="34"/>
        <v>0</v>
      </c>
      <c r="I24" s="4"/>
      <c r="J24" s="32"/>
      <c r="K24" s="11">
        <f>IF(ISERROR((F24-J24)/J24),0,(F24-J24)/J24)</f>
        <v>0</v>
      </c>
      <c r="L24" s="4"/>
      <c r="M24" s="202">
        <v>3</v>
      </c>
      <c r="N24" s="23"/>
      <c r="O24" s="21">
        <f t="shared" si="36"/>
        <v>3</v>
      </c>
      <c r="P24" s="80">
        <f t="shared" si="37"/>
        <v>0</v>
      </c>
      <c r="Q24" s="4"/>
      <c r="R24" s="32"/>
      <c r="S24" s="11">
        <f>IF(ISERROR((N24-R24)/R24),0,(N24-R24)/R24)</f>
        <v>0</v>
      </c>
      <c r="T24" s="4"/>
      <c r="U24" s="22">
        <v>3</v>
      </c>
      <c r="V24" s="23"/>
      <c r="W24" s="21">
        <f t="shared" si="39"/>
        <v>3</v>
      </c>
      <c r="X24" s="80">
        <f t="shared" si="40"/>
        <v>0</v>
      </c>
      <c r="Y24" s="4"/>
      <c r="Z24" s="32"/>
      <c r="AA24" s="11">
        <f>IF(ISERROR((V24-Z24)/Z24),0,(V24-Z24)/Z24)</f>
        <v>0</v>
      </c>
      <c r="AB24" s="4"/>
      <c r="AC24" s="22">
        <f t="shared" si="47"/>
        <v>9</v>
      </c>
      <c r="AD24" s="23">
        <f t="shared" si="42"/>
        <v>0</v>
      </c>
      <c r="AE24" s="23">
        <f>IF((AC24-AD24)&lt;0, "-", (AC24-AD24))</f>
        <v>9</v>
      </c>
      <c r="AF24" s="80">
        <f t="shared" si="44"/>
        <v>0</v>
      </c>
      <c r="AG24" s="4"/>
      <c r="AH24" s="22"/>
      <c r="AI24" s="11">
        <f>IF(ISERROR((AD24-AH24)/AH24),0,(AD24-AH24)/AH24)</f>
        <v>0</v>
      </c>
      <c r="AJ24" s="4"/>
      <c r="AK24" s="12"/>
      <c r="AL24" s="15">
        <f t="shared" si="46"/>
        <v>0</v>
      </c>
      <c r="AM24" s="45">
        <f>AK24*-1</f>
        <v>0</v>
      </c>
      <c r="AN24" s="155"/>
      <c r="AO24" s="158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</row>
    <row r="25" spans="1:85" ht="12" customHeight="1" x14ac:dyDescent="0.2">
      <c r="A25" s="4"/>
      <c r="B25" s="31">
        <v>45</v>
      </c>
      <c r="C25" s="1" t="s">
        <v>17</v>
      </c>
      <c r="D25" s="4"/>
      <c r="E25" s="22">
        <v>3</v>
      </c>
      <c r="F25" s="23"/>
      <c r="G25" s="21">
        <f t="shared" si="33"/>
        <v>3</v>
      </c>
      <c r="H25" s="80">
        <f t="shared" si="34"/>
        <v>0</v>
      </c>
      <c r="I25" s="4"/>
      <c r="J25" s="32"/>
      <c r="K25" s="11">
        <f t="shared" si="35"/>
        <v>0</v>
      </c>
      <c r="L25" s="4"/>
      <c r="M25" s="22">
        <v>3</v>
      </c>
      <c r="N25" s="23"/>
      <c r="O25" s="21">
        <f t="shared" si="36"/>
        <v>3</v>
      </c>
      <c r="P25" s="80">
        <f t="shared" si="37"/>
        <v>0</v>
      </c>
      <c r="Q25" s="4"/>
      <c r="R25" s="32"/>
      <c r="S25" s="11">
        <f t="shared" si="38"/>
        <v>0</v>
      </c>
      <c r="T25" s="4"/>
      <c r="U25" s="22">
        <v>3</v>
      </c>
      <c r="V25" s="23"/>
      <c r="W25" s="21">
        <f t="shared" si="39"/>
        <v>3</v>
      </c>
      <c r="X25" s="80">
        <f t="shared" si="40"/>
        <v>0</v>
      </c>
      <c r="Y25" s="4"/>
      <c r="Z25" s="32"/>
      <c r="AA25" s="11">
        <f t="shared" si="41"/>
        <v>0</v>
      </c>
      <c r="AB25" s="4"/>
      <c r="AC25" s="22">
        <f t="shared" si="47"/>
        <v>9</v>
      </c>
      <c r="AD25" s="23">
        <f t="shared" si="42"/>
        <v>0</v>
      </c>
      <c r="AE25" s="23">
        <f t="shared" si="43"/>
        <v>9</v>
      </c>
      <c r="AF25" s="80">
        <f t="shared" si="44"/>
        <v>0</v>
      </c>
      <c r="AG25" s="4"/>
      <c r="AH25" s="22"/>
      <c r="AI25" s="11">
        <f t="shared" si="45"/>
        <v>0</v>
      </c>
      <c r="AJ25" s="4"/>
      <c r="AK25" s="12"/>
      <c r="AL25" s="15">
        <f t="shared" si="46"/>
        <v>0</v>
      </c>
      <c r="AM25" s="45">
        <f t="shared" si="14"/>
        <v>0</v>
      </c>
      <c r="AN25" s="155"/>
      <c r="AO25" s="158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</row>
    <row r="26" spans="1:85" ht="12" customHeight="1" x14ac:dyDescent="0.2">
      <c r="A26" s="4"/>
      <c r="B26" s="31">
        <v>12</v>
      </c>
      <c r="C26" s="1" t="s">
        <v>18</v>
      </c>
      <c r="D26" s="4"/>
      <c r="E26" s="22">
        <v>0.8</v>
      </c>
      <c r="F26" s="23"/>
      <c r="G26" s="21">
        <f t="shared" si="33"/>
        <v>0.8</v>
      </c>
      <c r="H26" s="80">
        <f t="shared" si="34"/>
        <v>0</v>
      </c>
      <c r="I26" s="4"/>
      <c r="J26" s="32"/>
      <c r="K26" s="11">
        <f t="shared" si="35"/>
        <v>0</v>
      </c>
      <c r="L26" s="4"/>
      <c r="M26" s="22">
        <v>0.8</v>
      </c>
      <c r="N26" s="23"/>
      <c r="O26" s="21">
        <f t="shared" si="36"/>
        <v>0.8</v>
      </c>
      <c r="P26" s="80">
        <f t="shared" si="37"/>
        <v>0</v>
      </c>
      <c r="Q26" s="4"/>
      <c r="R26" s="32"/>
      <c r="S26" s="11">
        <f t="shared" si="38"/>
        <v>0</v>
      </c>
      <c r="T26" s="4"/>
      <c r="U26" s="22">
        <v>0.8</v>
      </c>
      <c r="V26" s="23"/>
      <c r="W26" s="21">
        <f t="shared" si="39"/>
        <v>0.8</v>
      </c>
      <c r="X26" s="80">
        <f t="shared" si="40"/>
        <v>0</v>
      </c>
      <c r="Y26" s="4"/>
      <c r="Z26" s="32"/>
      <c r="AA26" s="11">
        <f t="shared" si="41"/>
        <v>0</v>
      </c>
      <c r="AB26" s="4"/>
      <c r="AC26" s="22">
        <f t="shared" si="47"/>
        <v>2.4000000000000004</v>
      </c>
      <c r="AD26" s="23">
        <f t="shared" si="42"/>
        <v>0</v>
      </c>
      <c r="AE26" s="23">
        <f t="shared" si="43"/>
        <v>2.4000000000000004</v>
      </c>
      <c r="AF26" s="80">
        <f t="shared" si="44"/>
        <v>0</v>
      </c>
      <c r="AG26" s="4"/>
      <c r="AH26" s="22"/>
      <c r="AI26" s="11">
        <f t="shared" si="45"/>
        <v>0</v>
      </c>
      <c r="AJ26" s="4"/>
      <c r="AK26" s="12"/>
      <c r="AL26" s="15">
        <f t="shared" si="46"/>
        <v>0</v>
      </c>
      <c r="AM26" s="45">
        <f t="shared" si="14"/>
        <v>0</v>
      </c>
      <c r="AN26" s="155"/>
      <c r="AO26" s="158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</row>
    <row r="27" spans="1:85" ht="12" customHeight="1" x14ac:dyDescent="0.2">
      <c r="A27" s="4"/>
      <c r="B27" s="31">
        <v>13</v>
      </c>
      <c r="C27" s="1" t="s">
        <v>106</v>
      </c>
      <c r="D27" s="4"/>
      <c r="E27" s="22">
        <v>5</v>
      </c>
      <c r="F27" s="23"/>
      <c r="G27" s="21">
        <f t="shared" si="33"/>
        <v>5</v>
      </c>
      <c r="H27" s="80">
        <f t="shared" si="34"/>
        <v>0</v>
      </c>
      <c r="I27" s="4"/>
      <c r="J27" s="32"/>
      <c r="K27" s="11">
        <f t="shared" si="35"/>
        <v>0</v>
      </c>
      <c r="L27" s="4"/>
      <c r="M27" s="22">
        <v>5</v>
      </c>
      <c r="N27" s="23"/>
      <c r="O27" s="21">
        <f t="shared" si="36"/>
        <v>5</v>
      </c>
      <c r="P27" s="80">
        <f t="shared" si="37"/>
        <v>0</v>
      </c>
      <c r="Q27" s="4"/>
      <c r="R27" s="32"/>
      <c r="S27" s="11">
        <f t="shared" si="38"/>
        <v>0</v>
      </c>
      <c r="T27" s="4"/>
      <c r="U27" s="22">
        <v>5</v>
      </c>
      <c r="V27" s="23"/>
      <c r="W27" s="21">
        <f t="shared" si="39"/>
        <v>5</v>
      </c>
      <c r="X27" s="80">
        <f t="shared" si="40"/>
        <v>0</v>
      </c>
      <c r="Y27" s="4"/>
      <c r="Z27" s="32"/>
      <c r="AA27" s="11">
        <f t="shared" si="41"/>
        <v>0</v>
      </c>
      <c r="AB27" s="4"/>
      <c r="AC27" s="22">
        <f t="shared" si="47"/>
        <v>15</v>
      </c>
      <c r="AD27" s="23">
        <f t="shared" si="42"/>
        <v>0</v>
      </c>
      <c r="AE27" s="23">
        <f t="shared" si="43"/>
        <v>15</v>
      </c>
      <c r="AF27" s="80">
        <f t="shared" si="44"/>
        <v>0</v>
      </c>
      <c r="AG27" s="4"/>
      <c r="AH27" s="22"/>
      <c r="AI27" s="11">
        <f t="shared" si="45"/>
        <v>0</v>
      </c>
      <c r="AJ27" s="4"/>
      <c r="AK27" s="12"/>
      <c r="AL27" s="15">
        <f t="shared" si="46"/>
        <v>0</v>
      </c>
      <c r="AM27" s="45">
        <f t="shared" si="14"/>
        <v>0</v>
      </c>
      <c r="AN27" s="155"/>
      <c r="AO27" s="158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</row>
    <row r="28" spans="1:85" ht="12" customHeight="1" x14ac:dyDescent="0.2">
      <c r="A28" s="4"/>
      <c r="B28" s="31">
        <v>21</v>
      </c>
      <c r="C28" s="1" t="s">
        <v>70</v>
      </c>
      <c r="D28" s="4"/>
      <c r="E28" s="22">
        <v>1</v>
      </c>
      <c r="F28" s="23"/>
      <c r="G28" s="21">
        <f t="shared" si="33"/>
        <v>1</v>
      </c>
      <c r="H28" s="80">
        <f t="shared" si="34"/>
        <v>0</v>
      </c>
      <c r="I28" s="4"/>
      <c r="J28" s="32"/>
      <c r="K28" s="11">
        <f t="shared" si="35"/>
        <v>0</v>
      </c>
      <c r="L28" s="4"/>
      <c r="M28" s="22">
        <v>1</v>
      </c>
      <c r="N28" s="23"/>
      <c r="O28" s="21">
        <f t="shared" si="36"/>
        <v>1</v>
      </c>
      <c r="P28" s="80">
        <f t="shared" si="37"/>
        <v>0</v>
      </c>
      <c r="Q28" s="4"/>
      <c r="R28" s="32"/>
      <c r="S28" s="11">
        <f t="shared" si="38"/>
        <v>0</v>
      </c>
      <c r="T28" s="4"/>
      <c r="U28" s="22">
        <v>2</v>
      </c>
      <c r="V28" s="23"/>
      <c r="W28" s="21">
        <f t="shared" si="39"/>
        <v>2</v>
      </c>
      <c r="X28" s="80">
        <f t="shared" si="40"/>
        <v>0</v>
      </c>
      <c r="Y28" s="4"/>
      <c r="Z28" s="32"/>
      <c r="AA28" s="11">
        <f t="shared" si="41"/>
        <v>0</v>
      </c>
      <c r="AB28" s="4"/>
      <c r="AC28" s="22">
        <f t="shared" si="47"/>
        <v>4</v>
      </c>
      <c r="AD28" s="23">
        <f t="shared" si="42"/>
        <v>0</v>
      </c>
      <c r="AE28" s="23">
        <f t="shared" si="43"/>
        <v>4</v>
      </c>
      <c r="AF28" s="80">
        <f t="shared" si="44"/>
        <v>0</v>
      </c>
      <c r="AG28" s="4"/>
      <c r="AH28" s="22"/>
      <c r="AI28" s="11">
        <f t="shared" si="45"/>
        <v>0</v>
      </c>
      <c r="AJ28" s="4"/>
      <c r="AK28" s="12"/>
      <c r="AL28" s="15">
        <f t="shared" si="46"/>
        <v>0</v>
      </c>
      <c r="AM28" s="45">
        <f t="shared" si="14"/>
        <v>0</v>
      </c>
      <c r="AN28" s="155"/>
      <c r="AO28" s="158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</row>
    <row r="29" spans="1:85" ht="12" customHeight="1" thickBot="1" x14ac:dyDescent="0.25">
      <c r="A29" s="4"/>
      <c r="B29" s="31">
        <v>40</v>
      </c>
      <c r="C29" s="1" t="s">
        <v>19</v>
      </c>
      <c r="D29" s="4"/>
      <c r="E29" s="22">
        <v>1</v>
      </c>
      <c r="F29" s="23"/>
      <c r="G29" s="21">
        <f t="shared" si="33"/>
        <v>1</v>
      </c>
      <c r="H29" s="80">
        <f t="shared" si="34"/>
        <v>0</v>
      </c>
      <c r="I29" s="4"/>
      <c r="J29" s="32"/>
      <c r="K29" s="11">
        <f t="shared" si="35"/>
        <v>0</v>
      </c>
      <c r="L29" s="4"/>
      <c r="M29" s="22">
        <v>1</v>
      </c>
      <c r="N29" s="23"/>
      <c r="O29" s="21">
        <f t="shared" si="36"/>
        <v>1</v>
      </c>
      <c r="P29" s="80">
        <f t="shared" si="37"/>
        <v>0</v>
      </c>
      <c r="Q29" s="4"/>
      <c r="R29" s="32"/>
      <c r="S29" s="11">
        <f t="shared" si="38"/>
        <v>0</v>
      </c>
      <c r="T29" s="4"/>
      <c r="U29" s="22">
        <v>1</v>
      </c>
      <c r="V29" s="23"/>
      <c r="W29" s="21">
        <f t="shared" si="39"/>
        <v>1</v>
      </c>
      <c r="X29" s="80">
        <f t="shared" si="40"/>
        <v>0</v>
      </c>
      <c r="Y29" s="4"/>
      <c r="Z29" s="32"/>
      <c r="AA29" s="11">
        <f t="shared" si="41"/>
        <v>0</v>
      </c>
      <c r="AB29" s="4"/>
      <c r="AC29" s="22">
        <f t="shared" si="47"/>
        <v>3</v>
      </c>
      <c r="AD29" s="23">
        <f t="shared" si="42"/>
        <v>0</v>
      </c>
      <c r="AE29" s="23">
        <f t="shared" si="43"/>
        <v>3</v>
      </c>
      <c r="AF29" s="80">
        <f t="shared" si="44"/>
        <v>0</v>
      </c>
      <c r="AG29" s="4"/>
      <c r="AH29" s="22"/>
      <c r="AI29" s="11">
        <f t="shared" si="45"/>
        <v>0</v>
      </c>
      <c r="AJ29" s="4"/>
      <c r="AK29" s="12"/>
      <c r="AL29" s="15">
        <f t="shared" si="46"/>
        <v>0</v>
      </c>
      <c r="AM29" s="45">
        <f t="shared" si="14"/>
        <v>0</v>
      </c>
      <c r="AN29" s="155"/>
      <c r="AO29" s="158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</row>
    <row r="30" spans="1:85" s="142" customFormat="1" ht="12" customHeight="1" thickTop="1" thickBot="1" x14ac:dyDescent="0.2">
      <c r="A30" s="136"/>
      <c r="B30" s="18"/>
      <c r="C30" s="2" t="s">
        <v>20</v>
      </c>
      <c r="D30" s="136"/>
      <c r="E30" s="135">
        <f>SUM(E22:E29)</f>
        <v>19.3</v>
      </c>
      <c r="F30" s="135">
        <f>SUM(F22:F29)</f>
        <v>0</v>
      </c>
      <c r="G30" s="135">
        <f>SUM(G22:G29)</f>
        <v>19.3</v>
      </c>
      <c r="H30" s="137">
        <f>TRUNC(IF((F30/E30)&gt;1.2,"120%",(F30/E30)),2)</f>
        <v>0</v>
      </c>
      <c r="I30" s="138"/>
      <c r="J30" s="144"/>
      <c r="K30" s="139"/>
      <c r="L30" s="138"/>
      <c r="M30" s="135">
        <f>SUM(M22:M29)</f>
        <v>18.8</v>
      </c>
      <c r="N30" s="135">
        <f>SUM(N22:N29)</f>
        <v>0</v>
      </c>
      <c r="O30" s="135">
        <f>SUM(O22:O29)</f>
        <v>18.8</v>
      </c>
      <c r="P30" s="137">
        <f>TRUNC(IF((N30/M30)&gt;1.2,"120%",(N30/M30)),2)</f>
        <v>0</v>
      </c>
      <c r="Q30" s="138"/>
      <c r="R30" s="144"/>
      <c r="S30" s="139"/>
      <c r="T30" s="138"/>
      <c r="U30" s="135">
        <f>SUM(U22:U29)</f>
        <v>19.8</v>
      </c>
      <c r="V30" s="135">
        <f>SUM(V22:V29)</f>
        <v>0</v>
      </c>
      <c r="W30" s="135">
        <f>SUM(W22:W29)</f>
        <v>19.8</v>
      </c>
      <c r="X30" s="137">
        <f>TRUNC(IF((V30/U30)&gt;1.2,"120%",(V30/U30)),2)</f>
        <v>0</v>
      </c>
      <c r="Y30" s="138"/>
      <c r="Z30" s="135"/>
      <c r="AA30" s="139"/>
      <c r="AB30" s="138"/>
      <c r="AC30" s="135">
        <f>SUM(AC22:AC29)</f>
        <v>57.9</v>
      </c>
      <c r="AD30" s="135">
        <f>SUM(AD22:AD29)</f>
        <v>0</v>
      </c>
      <c r="AE30" s="135">
        <f>SUM(AE22:AE29)</f>
        <v>57.9</v>
      </c>
      <c r="AF30" s="137">
        <f>TRUNC(IF((AD30/AC30)&gt;1.2,"120%",(AD30/AC30)),2)</f>
        <v>0</v>
      </c>
      <c r="AG30" s="136"/>
      <c r="AH30" s="135"/>
      <c r="AI30" s="139"/>
      <c r="AJ30" s="136"/>
      <c r="AK30" s="140"/>
      <c r="AL30" s="89"/>
      <c r="AM30" s="141">
        <f t="shared" si="14"/>
        <v>0</v>
      </c>
      <c r="AN30" s="156"/>
      <c r="AO30" s="158"/>
      <c r="AP30" s="136"/>
      <c r="AQ30" s="136"/>
      <c r="AR30" s="136"/>
      <c r="AS30" s="136"/>
      <c r="AT30" s="136"/>
      <c r="AU30" s="136"/>
      <c r="AV30" s="136"/>
      <c r="AW30" s="136"/>
      <c r="AX30" s="136"/>
      <c r="AY30" s="136"/>
      <c r="AZ30" s="136"/>
      <c r="BA30" s="136"/>
      <c r="BB30" s="136"/>
      <c r="BC30" s="136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</row>
    <row r="31" spans="1:85" ht="12" customHeight="1" thickTop="1" x14ac:dyDescent="0.2">
      <c r="A31" s="4"/>
      <c r="B31" s="18">
        <v>15</v>
      </c>
      <c r="C31" s="1" t="s">
        <v>21</v>
      </c>
      <c r="D31" s="4"/>
      <c r="E31" s="22">
        <v>3</v>
      </c>
      <c r="F31" s="23"/>
      <c r="G31" s="21">
        <f t="shared" si="33"/>
        <v>3</v>
      </c>
      <c r="H31" s="80">
        <f t="shared" ref="H31:H38" si="48">TRUNC(IF((F31/E31)&gt;1.2,"120%",(F31/E31)),2)</f>
        <v>0</v>
      </c>
      <c r="I31" s="4"/>
      <c r="J31" s="32"/>
      <c r="K31" s="11">
        <f t="shared" si="35"/>
        <v>0</v>
      </c>
      <c r="L31" s="4"/>
      <c r="M31" s="22">
        <v>2</v>
      </c>
      <c r="N31" s="23"/>
      <c r="O31" s="21">
        <f t="shared" si="36"/>
        <v>2</v>
      </c>
      <c r="P31" s="80">
        <f t="shared" ref="P31:P38" si="49">TRUNC(IF((N31/M31)&gt;1.2,"120%",(N31/M31)),2)</f>
        <v>0</v>
      </c>
      <c r="Q31" s="4"/>
      <c r="R31" s="32"/>
      <c r="S31" s="11">
        <f t="shared" ref="S31:S38" si="50">IF(ISERROR((N31-R31)/R31),0,(N31-R31)/R31)</f>
        <v>0</v>
      </c>
      <c r="T31" s="4"/>
      <c r="U31" s="22">
        <v>3</v>
      </c>
      <c r="V31" s="23"/>
      <c r="W31" s="21">
        <f t="shared" si="39"/>
        <v>3</v>
      </c>
      <c r="X31" s="80">
        <f t="shared" ref="X31:X38" si="51">TRUNC(IF((V31/U31)&gt;1.2,"120%",(V31/U31)),2)</f>
        <v>0</v>
      </c>
      <c r="Y31" s="4"/>
      <c r="Z31" s="32"/>
      <c r="AA31" s="11">
        <f t="shared" ref="AA31:AA38" si="52">IF(ISERROR((V31-Z31)/Z31),0,(V31-Z31)/Z31)</f>
        <v>0</v>
      </c>
      <c r="AB31" s="4"/>
      <c r="AC31" s="22">
        <f>SUM(E31,M31,U31)</f>
        <v>8</v>
      </c>
      <c r="AD31" s="23">
        <f t="shared" si="42"/>
        <v>0</v>
      </c>
      <c r="AE31" s="23">
        <f t="shared" ref="AE31:AE38" si="53">IF((AC31-AD31)&lt;0, "-", (AC31-AD31))</f>
        <v>8</v>
      </c>
      <c r="AF31" s="80">
        <f t="shared" ref="AF31:AF38" si="54">TRUNC(IF((AD31/AC31)&gt;1.2,"120%",(AD31/AC31)),2)</f>
        <v>0</v>
      </c>
      <c r="AG31" s="4"/>
      <c r="AH31" s="22"/>
      <c r="AI31" s="11">
        <f t="shared" ref="AI31:AI38" si="55">IF(ISERROR((AD31-AH31)/AH31),0,(AD31-AH31)/AH31)</f>
        <v>0</v>
      </c>
      <c r="AJ31" s="4"/>
      <c r="AK31" s="12"/>
      <c r="AL31" s="15">
        <f t="shared" ref="AL31:AL38" si="56">AD31-V31-N31-F31</f>
        <v>0</v>
      </c>
      <c r="AM31" s="45">
        <f t="shared" si="14"/>
        <v>0</v>
      </c>
      <c r="AN31" s="155"/>
      <c r="AO31" s="158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</row>
    <row r="32" spans="1:85" ht="12" customHeight="1" x14ac:dyDescent="0.2">
      <c r="A32" s="4"/>
      <c r="B32" s="18">
        <v>57</v>
      </c>
      <c r="C32" s="1" t="s">
        <v>44</v>
      </c>
      <c r="D32" s="4"/>
      <c r="E32" s="22">
        <v>0.1</v>
      </c>
      <c r="F32" s="23"/>
      <c r="G32" s="21">
        <f t="shared" si="33"/>
        <v>0.1</v>
      </c>
      <c r="H32" s="80">
        <f t="shared" si="48"/>
        <v>0</v>
      </c>
      <c r="I32" s="4"/>
      <c r="J32" s="32"/>
      <c r="K32" s="11">
        <f t="shared" si="35"/>
        <v>0</v>
      </c>
      <c r="L32" s="4"/>
      <c r="M32" s="22">
        <v>0.1</v>
      </c>
      <c r="N32" s="23"/>
      <c r="O32" s="21">
        <f t="shared" si="36"/>
        <v>0.1</v>
      </c>
      <c r="P32" s="80">
        <f t="shared" si="49"/>
        <v>0</v>
      </c>
      <c r="Q32" s="4"/>
      <c r="R32" s="32"/>
      <c r="S32" s="11">
        <f t="shared" si="50"/>
        <v>0</v>
      </c>
      <c r="T32" s="4"/>
      <c r="U32" s="22">
        <v>0.2</v>
      </c>
      <c r="V32" s="23"/>
      <c r="W32" s="21">
        <f t="shared" si="39"/>
        <v>0.2</v>
      </c>
      <c r="X32" s="80">
        <f t="shared" si="51"/>
        <v>0</v>
      </c>
      <c r="Y32" s="4"/>
      <c r="Z32" s="32"/>
      <c r="AA32" s="11">
        <f t="shared" si="52"/>
        <v>0</v>
      </c>
      <c r="AB32" s="4"/>
      <c r="AC32" s="22">
        <f t="shared" ref="AC32:AC38" si="57">SUM(E32,M32,U32)</f>
        <v>0.4</v>
      </c>
      <c r="AD32" s="23">
        <f t="shared" si="42"/>
        <v>0</v>
      </c>
      <c r="AE32" s="23">
        <f t="shared" si="53"/>
        <v>0.4</v>
      </c>
      <c r="AF32" s="80">
        <f t="shared" si="54"/>
        <v>0</v>
      </c>
      <c r="AG32" s="4"/>
      <c r="AH32" s="22"/>
      <c r="AI32" s="11">
        <f t="shared" si="55"/>
        <v>0</v>
      </c>
      <c r="AJ32" s="4"/>
      <c r="AK32" s="12"/>
      <c r="AL32" s="15">
        <f t="shared" si="56"/>
        <v>0</v>
      </c>
      <c r="AM32" s="45">
        <f t="shared" si="14"/>
        <v>0</v>
      </c>
      <c r="AN32" s="155"/>
      <c r="AO32" s="158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</row>
    <row r="33" spans="1:85" ht="12" customHeight="1" x14ac:dyDescent="0.2">
      <c r="A33" s="4"/>
      <c r="B33" s="18">
        <v>16</v>
      </c>
      <c r="C33" s="1" t="s">
        <v>22</v>
      </c>
      <c r="D33" s="4"/>
      <c r="E33" s="22">
        <v>2</v>
      </c>
      <c r="F33" s="23"/>
      <c r="G33" s="21">
        <f t="shared" si="33"/>
        <v>2</v>
      </c>
      <c r="H33" s="80">
        <f t="shared" si="48"/>
        <v>0</v>
      </c>
      <c r="I33" s="4"/>
      <c r="J33" s="32"/>
      <c r="K33" s="11">
        <f t="shared" si="35"/>
        <v>0</v>
      </c>
      <c r="L33" s="4"/>
      <c r="M33" s="22">
        <v>2</v>
      </c>
      <c r="N33" s="23"/>
      <c r="O33" s="21">
        <f t="shared" si="36"/>
        <v>2</v>
      </c>
      <c r="P33" s="80">
        <f t="shared" si="49"/>
        <v>0</v>
      </c>
      <c r="Q33" s="4"/>
      <c r="R33" s="32"/>
      <c r="S33" s="11">
        <f t="shared" si="50"/>
        <v>0</v>
      </c>
      <c r="T33" s="4"/>
      <c r="U33" s="22">
        <v>1</v>
      </c>
      <c r="V33" s="23"/>
      <c r="W33" s="21">
        <f t="shared" si="39"/>
        <v>1</v>
      </c>
      <c r="X33" s="80">
        <f t="shared" si="51"/>
        <v>0</v>
      </c>
      <c r="Y33" s="4"/>
      <c r="Z33" s="32"/>
      <c r="AA33" s="11">
        <f t="shared" si="52"/>
        <v>0</v>
      </c>
      <c r="AB33" s="4"/>
      <c r="AC33" s="22">
        <f t="shared" si="57"/>
        <v>5</v>
      </c>
      <c r="AD33" s="23">
        <f t="shared" si="42"/>
        <v>0</v>
      </c>
      <c r="AE33" s="23">
        <f t="shared" si="53"/>
        <v>5</v>
      </c>
      <c r="AF33" s="80">
        <f t="shared" si="54"/>
        <v>0</v>
      </c>
      <c r="AG33" s="4"/>
      <c r="AH33" s="22"/>
      <c r="AI33" s="11">
        <f t="shared" si="55"/>
        <v>0</v>
      </c>
      <c r="AJ33" s="4"/>
      <c r="AK33" s="12"/>
      <c r="AL33" s="15">
        <f t="shared" si="56"/>
        <v>0</v>
      </c>
      <c r="AM33" s="45">
        <f t="shared" si="14"/>
        <v>0</v>
      </c>
      <c r="AN33" s="155"/>
      <c r="AO33" s="158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</row>
    <row r="34" spans="1:85" ht="12" customHeight="1" x14ac:dyDescent="0.2">
      <c r="A34" s="4"/>
      <c r="B34" s="18">
        <v>43</v>
      </c>
      <c r="C34" s="1" t="s">
        <v>23</v>
      </c>
      <c r="D34" s="4"/>
      <c r="E34" s="22">
        <v>0.4</v>
      </c>
      <c r="F34" s="23"/>
      <c r="G34" s="21">
        <f t="shared" si="33"/>
        <v>0.4</v>
      </c>
      <c r="H34" s="80">
        <f t="shared" si="48"/>
        <v>0</v>
      </c>
      <c r="I34" s="4"/>
      <c r="J34" s="32"/>
      <c r="K34" s="11">
        <f t="shared" si="35"/>
        <v>0</v>
      </c>
      <c r="L34" s="4"/>
      <c r="M34" s="22">
        <v>0.4</v>
      </c>
      <c r="N34" s="23"/>
      <c r="O34" s="21">
        <f t="shared" si="36"/>
        <v>0.4</v>
      </c>
      <c r="P34" s="80">
        <f t="shared" si="49"/>
        <v>0</v>
      </c>
      <c r="Q34" s="4"/>
      <c r="R34" s="32"/>
      <c r="S34" s="11">
        <f t="shared" si="50"/>
        <v>0</v>
      </c>
      <c r="T34" s="4"/>
      <c r="U34" s="22">
        <v>0.4</v>
      </c>
      <c r="V34" s="23"/>
      <c r="W34" s="21">
        <f t="shared" si="39"/>
        <v>0.4</v>
      </c>
      <c r="X34" s="80">
        <f t="shared" si="51"/>
        <v>0</v>
      </c>
      <c r="Y34" s="4"/>
      <c r="Z34" s="32"/>
      <c r="AA34" s="11">
        <f t="shared" si="52"/>
        <v>0</v>
      </c>
      <c r="AB34" s="4"/>
      <c r="AC34" s="22">
        <f t="shared" si="57"/>
        <v>1.2000000000000002</v>
      </c>
      <c r="AD34" s="23">
        <f t="shared" si="42"/>
        <v>0</v>
      </c>
      <c r="AE34" s="23">
        <f t="shared" si="53"/>
        <v>1.2000000000000002</v>
      </c>
      <c r="AF34" s="80">
        <f t="shared" si="54"/>
        <v>0</v>
      </c>
      <c r="AG34" s="4"/>
      <c r="AH34" s="22"/>
      <c r="AI34" s="11">
        <f t="shared" si="55"/>
        <v>0</v>
      </c>
      <c r="AJ34" s="4"/>
      <c r="AK34" s="12"/>
      <c r="AL34" s="15">
        <f t="shared" si="56"/>
        <v>0</v>
      </c>
      <c r="AM34" s="45">
        <f t="shared" si="14"/>
        <v>0</v>
      </c>
      <c r="AN34" s="155"/>
      <c r="AO34" s="158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</row>
    <row r="35" spans="1:85" ht="12" customHeight="1" x14ac:dyDescent="0.2">
      <c r="A35" s="4"/>
      <c r="B35" s="18">
        <v>18</v>
      </c>
      <c r="C35" s="1" t="s">
        <v>67</v>
      </c>
      <c r="D35" s="4"/>
      <c r="E35" s="22">
        <v>0.5</v>
      </c>
      <c r="F35" s="23"/>
      <c r="G35" s="21">
        <f t="shared" si="33"/>
        <v>0.5</v>
      </c>
      <c r="H35" s="80">
        <f t="shared" si="48"/>
        <v>0</v>
      </c>
      <c r="I35" s="4"/>
      <c r="J35" s="32"/>
      <c r="K35" s="11">
        <f t="shared" si="35"/>
        <v>0</v>
      </c>
      <c r="L35" s="4"/>
      <c r="M35" s="22">
        <v>0.5</v>
      </c>
      <c r="N35" s="23"/>
      <c r="O35" s="21">
        <f t="shared" si="36"/>
        <v>0.5</v>
      </c>
      <c r="P35" s="80">
        <f t="shared" si="49"/>
        <v>0</v>
      </c>
      <c r="Q35" s="4"/>
      <c r="R35" s="32"/>
      <c r="S35" s="11">
        <f t="shared" si="50"/>
        <v>0</v>
      </c>
      <c r="T35" s="4"/>
      <c r="U35" s="22">
        <v>0.4</v>
      </c>
      <c r="V35" s="23"/>
      <c r="W35" s="21">
        <f t="shared" si="39"/>
        <v>0.4</v>
      </c>
      <c r="X35" s="80">
        <f t="shared" si="51"/>
        <v>0</v>
      </c>
      <c r="Y35" s="4"/>
      <c r="Z35" s="32"/>
      <c r="AA35" s="11">
        <f t="shared" si="52"/>
        <v>0</v>
      </c>
      <c r="AB35" s="4"/>
      <c r="AC35" s="22">
        <f t="shared" si="57"/>
        <v>1.4</v>
      </c>
      <c r="AD35" s="23">
        <f t="shared" si="42"/>
        <v>0</v>
      </c>
      <c r="AE35" s="23">
        <f t="shared" si="53"/>
        <v>1.4</v>
      </c>
      <c r="AF35" s="80">
        <f t="shared" si="54"/>
        <v>0</v>
      </c>
      <c r="AG35" s="4"/>
      <c r="AH35" s="22"/>
      <c r="AI35" s="11">
        <f t="shared" si="55"/>
        <v>0</v>
      </c>
      <c r="AJ35" s="4"/>
      <c r="AK35" s="12"/>
      <c r="AL35" s="15">
        <f t="shared" si="56"/>
        <v>0</v>
      </c>
      <c r="AM35" s="45">
        <f t="shared" si="14"/>
        <v>0</v>
      </c>
      <c r="AN35" s="155"/>
      <c r="AO35" s="158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</row>
    <row r="36" spans="1:85" ht="12" customHeight="1" x14ac:dyDescent="0.2">
      <c r="A36" s="4"/>
      <c r="B36" s="18">
        <v>51</v>
      </c>
      <c r="C36" s="1" t="s">
        <v>24</v>
      </c>
      <c r="D36" s="4"/>
      <c r="E36" s="22">
        <v>0.3</v>
      </c>
      <c r="F36" s="23"/>
      <c r="G36" s="21">
        <f t="shared" si="33"/>
        <v>0.3</v>
      </c>
      <c r="H36" s="80">
        <f t="shared" si="48"/>
        <v>0</v>
      </c>
      <c r="I36" s="4"/>
      <c r="J36" s="32"/>
      <c r="K36" s="11">
        <f t="shared" si="35"/>
        <v>0</v>
      </c>
      <c r="L36" s="4"/>
      <c r="M36" s="22">
        <v>0.2</v>
      </c>
      <c r="N36" s="23"/>
      <c r="O36" s="21">
        <f t="shared" si="36"/>
        <v>0.2</v>
      </c>
      <c r="P36" s="80">
        <f t="shared" si="49"/>
        <v>0</v>
      </c>
      <c r="Q36" s="4"/>
      <c r="R36" s="32"/>
      <c r="S36" s="11">
        <f t="shared" si="50"/>
        <v>0</v>
      </c>
      <c r="T36" s="4"/>
      <c r="U36" s="22">
        <v>0.3</v>
      </c>
      <c r="V36" s="23"/>
      <c r="W36" s="21">
        <f t="shared" si="39"/>
        <v>0.3</v>
      </c>
      <c r="X36" s="80">
        <f t="shared" si="51"/>
        <v>0</v>
      </c>
      <c r="Y36" s="4"/>
      <c r="Z36" s="32"/>
      <c r="AA36" s="11">
        <f t="shared" si="52"/>
        <v>0</v>
      </c>
      <c r="AB36" s="4"/>
      <c r="AC36" s="22">
        <f t="shared" si="57"/>
        <v>0.8</v>
      </c>
      <c r="AD36" s="23">
        <f t="shared" si="42"/>
        <v>0</v>
      </c>
      <c r="AE36" s="23">
        <f t="shared" si="53"/>
        <v>0.8</v>
      </c>
      <c r="AF36" s="80">
        <f t="shared" si="54"/>
        <v>0</v>
      </c>
      <c r="AG36" s="4"/>
      <c r="AH36" s="22"/>
      <c r="AI36" s="11">
        <f t="shared" si="55"/>
        <v>0</v>
      </c>
      <c r="AJ36" s="4"/>
      <c r="AK36" s="12"/>
      <c r="AL36" s="15">
        <f t="shared" si="56"/>
        <v>0</v>
      </c>
      <c r="AM36" s="45">
        <f t="shared" si="14"/>
        <v>0</v>
      </c>
      <c r="AN36" s="155"/>
      <c r="AO36" s="158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</row>
    <row r="37" spans="1:85" ht="12" customHeight="1" x14ac:dyDescent="0.2">
      <c r="A37" s="4"/>
      <c r="B37" s="18">
        <v>19</v>
      </c>
      <c r="C37" s="1" t="s">
        <v>25</v>
      </c>
      <c r="D37" s="4"/>
      <c r="E37" s="22">
        <v>0.05</v>
      </c>
      <c r="F37" s="23"/>
      <c r="G37" s="21">
        <f t="shared" si="33"/>
        <v>0.05</v>
      </c>
      <c r="H37" s="80">
        <f t="shared" si="48"/>
        <v>0</v>
      </c>
      <c r="I37" s="4"/>
      <c r="J37" s="32"/>
      <c r="K37" s="11">
        <f t="shared" si="35"/>
        <v>0</v>
      </c>
      <c r="L37" s="4"/>
      <c r="M37" s="22">
        <v>0.05</v>
      </c>
      <c r="N37" s="23"/>
      <c r="O37" s="21">
        <f t="shared" si="36"/>
        <v>0.05</v>
      </c>
      <c r="P37" s="80">
        <f t="shared" si="49"/>
        <v>0</v>
      </c>
      <c r="Q37" s="4"/>
      <c r="R37" s="32"/>
      <c r="S37" s="11">
        <f t="shared" si="50"/>
        <v>0</v>
      </c>
      <c r="T37" s="4"/>
      <c r="U37" s="22">
        <v>0.05</v>
      </c>
      <c r="V37" s="23"/>
      <c r="W37" s="21">
        <f t="shared" si="39"/>
        <v>0.05</v>
      </c>
      <c r="X37" s="80">
        <f t="shared" si="51"/>
        <v>0</v>
      </c>
      <c r="Y37" s="4"/>
      <c r="Z37" s="32"/>
      <c r="AA37" s="11">
        <f t="shared" si="52"/>
        <v>0</v>
      </c>
      <c r="AB37" s="4"/>
      <c r="AC37" s="22">
        <f t="shared" si="57"/>
        <v>0.15000000000000002</v>
      </c>
      <c r="AD37" s="23">
        <f t="shared" si="42"/>
        <v>0</v>
      </c>
      <c r="AE37" s="23">
        <f t="shared" si="53"/>
        <v>0.15000000000000002</v>
      </c>
      <c r="AF37" s="80">
        <f t="shared" si="54"/>
        <v>0</v>
      </c>
      <c r="AG37" s="4"/>
      <c r="AH37" s="22"/>
      <c r="AI37" s="11">
        <f t="shared" si="55"/>
        <v>0</v>
      </c>
      <c r="AJ37" s="4"/>
      <c r="AK37" s="12"/>
      <c r="AL37" s="15">
        <f t="shared" si="56"/>
        <v>0</v>
      </c>
      <c r="AM37" s="45">
        <f t="shared" si="14"/>
        <v>0</v>
      </c>
      <c r="AN37" s="155"/>
      <c r="AO37" s="158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</row>
    <row r="38" spans="1:85" ht="12" customHeight="1" thickBot="1" x14ac:dyDescent="0.25">
      <c r="A38" s="4"/>
      <c r="B38" s="18">
        <v>20</v>
      </c>
      <c r="C38" s="1" t="s">
        <v>63</v>
      </c>
      <c r="D38" s="4"/>
      <c r="E38" s="22">
        <v>2</v>
      </c>
      <c r="F38" s="23"/>
      <c r="G38" s="21">
        <f t="shared" si="33"/>
        <v>2</v>
      </c>
      <c r="H38" s="80">
        <f t="shared" si="48"/>
        <v>0</v>
      </c>
      <c r="I38" s="4"/>
      <c r="J38" s="32"/>
      <c r="K38" s="11">
        <f t="shared" si="35"/>
        <v>0</v>
      </c>
      <c r="L38" s="4"/>
      <c r="M38" s="22">
        <v>3</v>
      </c>
      <c r="N38" s="23"/>
      <c r="O38" s="21">
        <f t="shared" si="36"/>
        <v>3</v>
      </c>
      <c r="P38" s="80">
        <f t="shared" si="49"/>
        <v>0</v>
      </c>
      <c r="Q38" s="4"/>
      <c r="R38" s="32"/>
      <c r="S38" s="11">
        <f t="shared" si="50"/>
        <v>0</v>
      </c>
      <c r="T38" s="4"/>
      <c r="U38" s="22">
        <v>0.5</v>
      </c>
      <c r="V38" s="23"/>
      <c r="W38" s="21">
        <f t="shared" si="39"/>
        <v>0.5</v>
      </c>
      <c r="X38" s="80">
        <f t="shared" si="51"/>
        <v>0</v>
      </c>
      <c r="Y38" s="4"/>
      <c r="Z38" s="32"/>
      <c r="AA38" s="11">
        <f t="shared" si="52"/>
        <v>0</v>
      </c>
      <c r="AB38" s="4"/>
      <c r="AC38" s="22">
        <f t="shared" si="57"/>
        <v>5.5</v>
      </c>
      <c r="AD38" s="23">
        <f t="shared" si="42"/>
        <v>0</v>
      </c>
      <c r="AE38" s="23">
        <f t="shared" si="53"/>
        <v>5.5</v>
      </c>
      <c r="AF38" s="80">
        <f t="shared" si="54"/>
        <v>0</v>
      </c>
      <c r="AG38" s="4"/>
      <c r="AH38" s="22"/>
      <c r="AI38" s="11">
        <f t="shared" si="55"/>
        <v>0</v>
      </c>
      <c r="AJ38" s="4"/>
      <c r="AK38" s="12"/>
      <c r="AL38" s="15">
        <f t="shared" si="56"/>
        <v>0</v>
      </c>
      <c r="AM38" s="45">
        <f t="shared" si="14"/>
        <v>0</v>
      </c>
      <c r="AN38" s="155"/>
      <c r="AO38" s="158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</row>
    <row r="39" spans="1:85" s="142" customFormat="1" ht="12" customHeight="1" thickTop="1" thickBot="1" x14ac:dyDescent="0.2">
      <c r="A39" s="136"/>
      <c r="B39" s="18"/>
      <c r="C39" s="2" t="s">
        <v>26</v>
      </c>
      <c r="D39" s="136"/>
      <c r="E39" s="135">
        <f>SUM(E31:E38)</f>
        <v>8.35</v>
      </c>
      <c r="F39" s="135">
        <f>SUM(F30:F38)</f>
        <v>0</v>
      </c>
      <c r="G39" s="135">
        <f>SUM(G31:G38)</f>
        <v>8.35</v>
      </c>
      <c r="H39" s="137">
        <f>TRUNC(IF((F39/E39)&gt;1.2,"120%",(F39/E39)),2)</f>
        <v>0</v>
      </c>
      <c r="I39" s="138"/>
      <c r="J39" s="135"/>
      <c r="K39" s="139"/>
      <c r="L39" s="138"/>
      <c r="M39" s="135">
        <f>SUM(M31:M38)</f>
        <v>8.25</v>
      </c>
      <c r="N39" s="135">
        <f>SUM(N31:N38)</f>
        <v>0</v>
      </c>
      <c r="O39" s="135">
        <f>SUM(O31:O38)</f>
        <v>8.25</v>
      </c>
      <c r="P39" s="137">
        <f>TRUNC(IF((N39/M39)&gt;1.2,"120%",(N39/M39)),2)</f>
        <v>0</v>
      </c>
      <c r="Q39" s="138"/>
      <c r="R39" s="135"/>
      <c r="S39" s="139"/>
      <c r="T39" s="138"/>
      <c r="U39" s="135">
        <f>SUM(U31:U38)</f>
        <v>5.8500000000000005</v>
      </c>
      <c r="V39" s="135">
        <f>SUM(V31:V38)</f>
        <v>0</v>
      </c>
      <c r="W39" s="135">
        <f>SUM(W31:W38)</f>
        <v>5.8500000000000005</v>
      </c>
      <c r="X39" s="137">
        <f>TRUNC(IF((V39/U39)&gt;1.2,"120%",(V39/U39)),2)</f>
        <v>0</v>
      </c>
      <c r="Y39" s="138"/>
      <c r="Z39" s="135"/>
      <c r="AA39" s="139"/>
      <c r="AB39" s="138"/>
      <c r="AC39" s="135">
        <f>SUM(AC31:AC38)</f>
        <v>22.45</v>
      </c>
      <c r="AD39" s="135">
        <f>SUM(AD31:AD38)</f>
        <v>0</v>
      </c>
      <c r="AE39" s="135">
        <f>SUM(AE31:AE38)</f>
        <v>22.45</v>
      </c>
      <c r="AF39" s="137">
        <f>TRUNC(IF((AD39/AC39)&gt;1.2,"120%",(AD39/AC39)),2)</f>
        <v>0</v>
      </c>
      <c r="AG39" s="136"/>
      <c r="AH39" s="135"/>
      <c r="AI39" s="139"/>
      <c r="AJ39" s="136"/>
      <c r="AK39" s="140"/>
      <c r="AL39" s="89"/>
      <c r="AM39" s="141">
        <f t="shared" si="14"/>
        <v>0</v>
      </c>
      <c r="AN39" s="156"/>
      <c r="AO39" s="158"/>
      <c r="AP39" s="136"/>
      <c r="AQ39" s="136"/>
      <c r="AR39" s="136"/>
      <c r="AS39" s="136"/>
      <c r="AT39" s="136"/>
      <c r="AU39" s="136"/>
      <c r="AV39" s="136"/>
      <c r="AW39" s="136"/>
      <c r="AX39" s="136"/>
      <c r="AY39" s="136"/>
      <c r="AZ39" s="136"/>
      <c r="BA39" s="136"/>
      <c r="BB39" s="136"/>
      <c r="BC39" s="136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</row>
    <row r="40" spans="1:85" ht="12" customHeight="1" thickTop="1" x14ac:dyDescent="0.2">
      <c r="A40" s="4"/>
      <c r="B40" s="31">
        <v>22</v>
      </c>
      <c r="C40" s="1" t="s">
        <v>47</v>
      </c>
      <c r="D40" s="4"/>
      <c r="E40" s="38">
        <v>100</v>
      </c>
      <c r="F40" s="23"/>
      <c r="G40" s="21">
        <f t="shared" si="33"/>
        <v>100</v>
      </c>
      <c r="H40" s="80">
        <f t="shared" ref="H40:H44" si="58">TRUNC(IF((F40/E40)&gt;1.2,"120%",(F40/E40)),2)</f>
        <v>0</v>
      </c>
      <c r="I40" s="4"/>
      <c r="J40" s="32"/>
      <c r="K40" s="11">
        <f>IF(ISERROR((F40-J40)/J40),0,(F40-J40)/J40)</f>
        <v>0</v>
      </c>
      <c r="L40" s="4"/>
      <c r="M40" s="38">
        <v>100</v>
      </c>
      <c r="N40" s="23"/>
      <c r="O40" s="21">
        <f t="shared" si="36"/>
        <v>100</v>
      </c>
      <c r="P40" s="80">
        <f t="shared" ref="P40:P44" si="59">TRUNC(IF((N40/M40)&gt;1.2,"120%",(N40/M40)),2)</f>
        <v>0</v>
      </c>
      <c r="Q40" s="4"/>
      <c r="R40" s="32"/>
      <c r="S40" s="11">
        <f>IF(ISERROR((N40-R40)/R40),0,(N40-R40)/R40)</f>
        <v>0</v>
      </c>
      <c r="T40" s="4"/>
      <c r="U40" s="38">
        <v>100</v>
      </c>
      <c r="V40" s="23"/>
      <c r="W40" s="21">
        <f t="shared" si="39"/>
        <v>100</v>
      </c>
      <c r="X40" s="80">
        <f t="shared" ref="X40:X44" si="60">TRUNC(IF((V40/U40)&gt;1.2,"120%",(V40/U40)),2)</f>
        <v>0</v>
      </c>
      <c r="Y40" s="4"/>
      <c r="Z40" s="32"/>
      <c r="AA40" s="11">
        <f>IF(ISERROR((V40-Z40)/Z40),0,(V40-Z40)/Z40)</f>
        <v>0</v>
      </c>
      <c r="AB40" s="4"/>
      <c r="AC40" s="22">
        <f>SUM(E40,M40,U40)</f>
        <v>300</v>
      </c>
      <c r="AD40" s="23">
        <f t="shared" si="42"/>
        <v>0</v>
      </c>
      <c r="AE40" s="35">
        <f>IF((AC40-AD40)&lt;0, "-", (AC40-AD40))</f>
        <v>300</v>
      </c>
      <c r="AF40" s="80">
        <f t="shared" ref="AF40:AF44" si="61">TRUNC(IF((AD40/AC40)&gt;1.2,"120%",(AD40/AC40)),2)</f>
        <v>0</v>
      </c>
      <c r="AG40" s="4"/>
      <c r="AH40" s="22"/>
      <c r="AI40" s="11">
        <f>IF(ISERROR((AD40-AH40)/AH40),0,(AD40-AH40)/AH40)</f>
        <v>0</v>
      </c>
      <c r="AJ40" s="4"/>
      <c r="AK40" s="12"/>
      <c r="AL40" s="15">
        <f t="shared" ref="AL40:AL44" si="62">AD40-V40-N40-F40</f>
        <v>0</v>
      </c>
      <c r="AM40" s="45">
        <f t="shared" si="14"/>
        <v>0</v>
      </c>
      <c r="AN40" s="155"/>
      <c r="AO40" s="158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</row>
    <row r="41" spans="1:85" ht="12" customHeight="1" x14ac:dyDescent="0.2">
      <c r="A41" s="4"/>
      <c r="B41" s="31">
        <v>999</v>
      </c>
      <c r="C41" s="1" t="s">
        <v>48</v>
      </c>
      <c r="D41" s="4"/>
      <c r="E41" s="38">
        <v>500</v>
      </c>
      <c r="F41" s="23"/>
      <c r="G41" s="21">
        <f t="shared" si="33"/>
        <v>500</v>
      </c>
      <c r="H41" s="80">
        <f t="shared" si="58"/>
        <v>0</v>
      </c>
      <c r="I41" s="4"/>
      <c r="J41" s="32"/>
      <c r="K41" s="11">
        <f t="shared" si="35"/>
        <v>0</v>
      </c>
      <c r="L41" s="4"/>
      <c r="M41" s="38">
        <v>500</v>
      </c>
      <c r="N41" s="23"/>
      <c r="O41" s="21">
        <f t="shared" si="36"/>
        <v>500</v>
      </c>
      <c r="P41" s="80">
        <f t="shared" si="59"/>
        <v>0</v>
      </c>
      <c r="Q41" s="4"/>
      <c r="R41" s="32"/>
      <c r="S41" s="11">
        <f>IF(ISERROR((N41-R41)/R41),0,(N41-R41)/R41)</f>
        <v>0</v>
      </c>
      <c r="T41" s="4"/>
      <c r="U41" s="38">
        <v>500</v>
      </c>
      <c r="V41" s="23"/>
      <c r="W41" s="21">
        <f t="shared" si="39"/>
        <v>500</v>
      </c>
      <c r="X41" s="80">
        <f t="shared" si="60"/>
        <v>0</v>
      </c>
      <c r="Y41" s="4"/>
      <c r="Z41" s="32"/>
      <c r="AA41" s="11">
        <f>IF(ISERROR((V41-Z41)/Z41),0,(V41-Z41)/Z41)</f>
        <v>0</v>
      </c>
      <c r="AB41" s="4"/>
      <c r="AC41" s="22">
        <f t="shared" ref="AC41:AC44" si="63">SUM(E41,M41,U41)</f>
        <v>1500</v>
      </c>
      <c r="AD41" s="23">
        <f t="shared" si="42"/>
        <v>0</v>
      </c>
      <c r="AE41" s="35">
        <f>IF((AC41-AD41)&lt;0, "-", (AC41-AD41))</f>
        <v>1500</v>
      </c>
      <c r="AF41" s="80">
        <f t="shared" si="61"/>
        <v>0</v>
      </c>
      <c r="AG41" s="4"/>
      <c r="AH41" s="22"/>
      <c r="AI41" s="11">
        <f>IF(ISERROR((AD41-AH41)/AH41),0,(AD41-AH41)/AH41)</f>
        <v>0</v>
      </c>
      <c r="AJ41" s="4"/>
      <c r="AK41" s="12"/>
      <c r="AL41" s="15">
        <f t="shared" si="62"/>
        <v>0</v>
      </c>
      <c r="AM41" s="45">
        <f t="shared" si="14"/>
        <v>0</v>
      </c>
      <c r="AN41" s="155"/>
      <c r="AO41" s="158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</row>
    <row r="42" spans="1:85" ht="12" customHeight="1" x14ac:dyDescent="0.2">
      <c r="A42" s="4"/>
      <c r="B42" s="18">
        <v>888</v>
      </c>
      <c r="C42" s="1" t="s">
        <v>27</v>
      </c>
      <c r="D42" s="4"/>
      <c r="E42" s="22">
        <v>200</v>
      </c>
      <c r="F42" s="23"/>
      <c r="G42" s="21">
        <f t="shared" si="33"/>
        <v>200</v>
      </c>
      <c r="H42" s="80">
        <f t="shared" si="58"/>
        <v>0</v>
      </c>
      <c r="I42" s="4"/>
      <c r="J42" s="32"/>
      <c r="K42" s="11">
        <f t="shared" si="35"/>
        <v>0</v>
      </c>
      <c r="L42" s="4"/>
      <c r="M42" s="22">
        <v>200</v>
      </c>
      <c r="N42" s="23"/>
      <c r="O42" s="21">
        <f t="shared" si="36"/>
        <v>200</v>
      </c>
      <c r="P42" s="80">
        <f t="shared" si="59"/>
        <v>0</v>
      </c>
      <c r="Q42" s="4"/>
      <c r="R42" s="32"/>
      <c r="S42" s="11">
        <f>IF(ISERROR((N42-R42)/R42),0,(N42-R42)/R42)</f>
        <v>0</v>
      </c>
      <c r="T42" s="4"/>
      <c r="U42" s="22">
        <v>200</v>
      </c>
      <c r="V42" s="23"/>
      <c r="W42" s="21">
        <f t="shared" si="39"/>
        <v>200</v>
      </c>
      <c r="X42" s="80">
        <f t="shared" si="60"/>
        <v>0</v>
      </c>
      <c r="Y42" s="4"/>
      <c r="Z42" s="32"/>
      <c r="AA42" s="11">
        <f>IF(ISERROR((V42-Z42)/Z42),0,(V42-Z42)/Z42)</f>
        <v>0</v>
      </c>
      <c r="AB42" s="4"/>
      <c r="AC42" s="22">
        <f t="shared" si="63"/>
        <v>600</v>
      </c>
      <c r="AD42" s="23">
        <f t="shared" si="42"/>
        <v>0</v>
      </c>
      <c r="AE42" s="23">
        <f>IF((AC42-AD42)&lt;0, "-", (AC42-AD42))</f>
        <v>600</v>
      </c>
      <c r="AF42" s="80">
        <f t="shared" si="61"/>
        <v>0</v>
      </c>
      <c r="AG42" s="4"/>
      <c r="AH42" s="22"/>
      <c r="AI42" s="11">
        <f>IF(ISERROR((AD42-AH42)/AH42),0,(AD42-AH42)/AH42)</f>
        <v>0</v>
      </c>
      <c r="AJ42" s="4"/>
      <c r="AK42" s="12"/>
      <c r="AL42" s="15">
        <f t="shared" si="62"/>
        <v>0</v>
      </c>
      <c r="AM42" s="45">
        <f t="shared" si="14"/>
        <v>0</v>
      </c>
      <c r="AN42" s="155"/>
      <c r="AO42" s="158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</row>
    <row r="43" spans="1:85" ht="12" customHeight="1" x14ac:dyDescent="0.2">
      <c r="A43" s="4"/>
      <c r="B43" s="18">
        <v>14</v>
      </c>
      <c r="C43" s="1" t="s">
        <v>131</v>
      </c>
      <c r="D43" s="4"/>
      <c r="E43" s="22">
        <v>5</v>
      </c>
      <c r="F43" s="23"/>
      <c r="G43" s="21">
        <f t="shared" si="33"/>
        <v>5</v>
      </c>
      <c r="H43" s="80">
        <f t="shared" si="58"/>
        <v>0</v>
      </c>
      <c r="I43" s="4"/>
      <c r="J43" s="32"/>
      <c r="K43" s="11">
        <f t="shared" ref="K43" si="64">IF(ISERROR((F43-J43)/J43),0,(F43-J43)/J43)</f>
        <v>0</v>
      </c>
      <c r="L43" s="4"/>
      <c r="M43" s="22">
        <v>5</v>
      </c>
      <c r="N43" s="23"/>
      <c r="O43" s="21">
        <f t="shared" si="36"/>
        <v>5</v>
      </c>
      <c r="P43" s="80">
        <f t="shared" si="59"/>
        <v>0</v>
      </c>
      <c r="Q43" s="4"/>
      <c r="R43" s="32"/>
      <c r="S43" s="11">
        <f>IF(ISERROR((N43-R43)/R43),0,(N43-R43)/R43)</f>
        <v>0</v>
      </c>
      <c r="T43" s="4"/>
      <c r="U43" s="22">
        <v>5</v>
      </c>
      <c r="V43" s="23"/>
      <c r="W43" s="21">
        <f t="shared" si="39"/>
        <v>5</v>
      </c>
      <c r="X43" s="80">
        <f t="shared" si="60"/>
        <v>0</v>
      </c>
      <c r="Y43" s="4"/>
      <c r="Z43" s="32"/>
      <c r="AA43" s="11">
        <f>IF(ISERROR((V43-Z43)/Z43),0,(V43-Z43)/Z43)</f>
        <v>0</v>
      </c>
      <c r="AB43" s="4"/>
      <c r="AC43" s="22">
        <f t="shared" si="63"/>
        <v>15</v>
      </c>
      <c r="AD43" s="23">
        <f t="shared" si="42"/>
        <v>0</v>
      </c>
      <c r="AE43" s="23">
        <f>IF((AC43-AD43)&lt;0, "-", (AC43-AD43))</f>
        <v>15</v>
      </c>
      <c r="AF43" s="80">
        <f t="shared" si="61"/>
        <v>0</v>
      </c>
      <c r="AG43" s="4"/>
      <c r="AH43" s="22"/>
      <c r="AI43" s="11">
        <f>IF(ISERROR((AD43-AH43)/AH43),0,(AD43-AH43)/AH43)</f>
        <v>0</v>
      </c>
      <c r="AJ43" s="4"/>
      <c r="AK43" s="12"/>
      <c r="AL43" s="15">
        <f t="shared" si="62"/>
        <v>0</v>
      </c>
      <c r="AM43" s="45">
        <f t="shared" ref="AM43" si="65">AK43*-1</f>
        <v>0</v>
      </c>
      <c r="AN43" s="155"/>
      <c r="AO43" s="158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</row>
    <row r="44" spans="1:85" ht="12" customHeight="1" thickBot="1" x14ac:dyDescent="0.25">
      <c r="A44" s="4"/>
      <c r="B44" s="18">
        <v>17</v>
      </c>
      <c r="C44" s="1" t="s">
        <v>61</v>
      </c>
      <c r="D44" s="4"/>
      <c r="E44" s="22">
        <v>100</v>
      </c>
      <c r="F44" s="23"/>
      <c r="G44" s="21">
        <f t="shared" si="33"/>
        <v>100</v>
      </c>
      <c r="H44" s="80">
        <f t="shared" si="58"/>
        <v>0</v>
      </c>
      <c r="I44" s="4"/>
      <c r="J44" s="32"/>
      <c r="K44" s="11">
        <f t="shared" si="35"/>
        <v>0</v>
      </c>
      <c r="L44" s="4"/>
      <c r="M44" s="22">
        <v>100</v>
      </c>
      <c r="N44" s="23"/>
      <c r="O44" s="21">
        <f t="shared" si="36"/>
        <v>100</v>
      </c>
      <c r="P44" s="80">
        <f t="shared" si="59"/>
        <v>0</v>
      </c>
      <c r="Q44" s="4"/>
      <c r="R44" s="32"/>
      <c r="S44" s="11">
        <f>IF(ISERROR((N44-R44)/R44),0,(N44-R44)/R44)</f>
        <v>0</v>
      </c>
      <c r="T44" s="4"/>
      <c r="U44" s="22">
        <v>50</v>
      </c>
      <c r="V44" s="23"/>
      <c r="W44" s="21">
        <f t="shared" si="39"/>
        <v>50</v>
      </c>
      <c r="X44" s="80">
        <f t="shared" si="60"/>
        <v>0</v>
      </c>
      <c r="Y44" s="4"/>
      <c r="Z44" s="32"/>
      <c r="AA44" s="11">
        <f>IF(ISERROR((V44-Z44)/Z44),0,(V44-Z44)/Z44)</f>
        <v>0</v>
      </c>
      <c r="AB44" s="4"/>
      <c r="AC44" s="22">
        <f t="shared" si="63"/>
        <v>250</v>
      </c>
      <c r="AD44" s="23">
        <f t="shared" si="42"/>
        <v>0</v>
      </c>
      <c r="AE44" s="23">
        <f>IF((AC44-AD44)&lt;0, "-", (AC44-AD44))</f>
        <v>250</v>
      </c>
      <c r="AF44" s="80">
        <f t="shared" si="61"/>
        <v>0</v>
      </c>
      <c r="AG44" s="4"/>
      <c r="AH44" s="22"/>
      <c r="AI44" s="11">
        <f>IF(ISERROR((AD44-AH44)/AH44),0,(AD44-AH44)/AH44)</f>
        <v>0</v>
      </c>
      <c r="AJ44" s="4"/>
      <c r="AK44" s="12"/>
      <c r="AL44" s="15">
        <f t="shared" si="62"/>
        <v>0</v>
      </c>
      <c r="AM44" s="45">
        <f t="shared" si="14"/>
        <v>0</v>
      </c>
      <c r="AN44" s="155"/>
      <c r="AO44" s="158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</row>
    <row r="45" spans="1:85" s="142" customFormat="1" ht="12" customHeight="1" thickTop="1" thickBot="1" x14ac:dyDescent="0.2">
      <c r="A45" s="136"/>
      <c r="B45" s="18"/>
      <c r="C45" s="2" t="s">
        <v>28</v>
      </c>
      <c r="D45" s="136"/>
      <c r="E45" s="145">
        <f>SUM(E40:E44)</f>
        <v>905</v>
      </c>
      <c r="F45" s="145">
        <f>SUM(F41:F44)</f>
        <v>0</v>
      </c>
      <c r="G45" s="145">
        <f>SUM(G41:G44)</f>
        <v>805</v>
      </c>
      <c r="H45" s="137">
        <f>TRUNC(IF((F45/E45)&gt;1.2,"120%",(F45/E45)),2)</f>
        <v>0</v>
      </c>
      <c r="I45" s="138"/>
      <c r="J45" s="145"/>
      <c r="K45" s="139"/>
      <c r="L45" s="138"/>
      <c r="M45" s="145">
        <f>SUM(M40:M44)</f>
        <v>905</v>
      </c>
      <c r="N45" s="145">
        <f>SUM(N41:N44)</f>
        <v>0</v>
      </c>
      <c r="O45" s="145">
        <f>SUM(O41:O44)</f>
        <v>805</v>
      </c>
      <c r="P45" s="137">
        <f>TRUNC(IF((N45/M45)&gt;1.2,"120%",(N45/M45)),2)</f>
        <v>0</v>
      </c>
      <c r="Q45" s="138"/>
      <c r="R45" s="145"/>
      <c r="S45" s="139"/>
      <c r="T45" s="138"/>
      <c r="U45" s="145">
        <f>SUM(U40:U44)</f>
        <v>855</v>
      </c>
      <c r="V45" s="145">
        <f>SUM(V41:V44)</f>
        <v>0</v>
      </c>
      <c r="W45" s="145">
        <f>SUM(W41:W44)</f>
        <v>755</v>
      </c>
      <c r="X45" s="137">
        <f>TRUNC(IF((V45/U45)&gt;1.2,"120%",(V45/U45)),2)</f>
        <v>0</v>
      </c>
      <c r="Y45" s="138"/>
      <c r="Z45" s="145"/>
      <c r="AA45" s="139"/>
      <c r="AB45" s="138"/>
      <c r="AC45" s="145">
        <f>SUM(AC40:AC44)</f>
        <v>2665</v>
      </c>
      <c r="AD45" s="145">
        <f>SUM(AD40:AD44)</f>
        <v>0</v>
      </c>
      <c r="AE45" s="145">
        <f>SUM(AE41:AE44)</f>
        <v>2365</v>
      </c>
      <c r="AF45" s="137">
        <f>TRUNC(IF((AD45/AC45)&gt;1.2,"120%",(AD45/AC45)),2)</f>
        <v>0</v>
      </c>
      <c r="AG45" s="136"/>
      <c r="AH45" s="135"/>
      <c r="AI45" s="139"/>
      <c r="AJ45" s="136"/>
      <c r="AK45" s="140"/>
      <c r="AL45" s="89"/>
      <c r="AM45" s="141">
        <f t="shared" si="14"/>
        <v>0</v>
      </c>
      <c r="AN45" s="156"/>
      <c r="AO45" s="158"/>
      <c r="AP45" s="136"/>
      <c r="AQ45" s="136"/>
      <c r="AR45" s="136"/>
      <c r="AS45" s="136"/>
      <c r="AT45" s="136"/>
      <c r="AU45" s="136"/>
      <c r="AV45" s="136"/>
      <c r="AW45" s="136"/>
      <c r="AX45" s="136"/>
      <c r="AY45" s="136"/>
      <c r="AZ45" s="136"/>
      <c r="BA45" s="136"/>
      <c r="BB45" s="136"/>
      <c r="BC45" s="136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</row>
    <row r="46" spans="1:85" ht="12" customHeight="1" thickTop="1" x14ac:dyDescent="0.2">
      <c r="A46" s="4"/>
      <c r="B46" s="18">
        <v>52</v>
      </c>
      <c r="C46" s="1" t="s">
        <v>68</v>
      </c>
      <c r="D46" s="4"/>
      <c r="E46" s="22">
        <v>0.3</v>
      </c>
      <c r="F46" s="23"/>
      <c r="G46" s="21">
        <f t="shared" si="33"/>
        <v>0.3</v>
      </c>
      <c r="H46" s="80">
        <f t="shared" ref="H46:H56" si="66">TRUNC(IF((F46/E46)&gt;1.2,"120%",(F46/E46)),2)</f>
        <v>0</v>
      </c>
      <c r="I46" s="4"/>
      <c r="J46" s="32"/>
      <c r="K46" s="11">
        <f t="shared" si="35"/>
        <v>0</v>
      </c>
      <c r="L46" s="4"/>
      <c r="M46" s="22">
        <v>0.05</v>
      </c>
      <c r="N46" s="23"/>
      <c r="O46" s="21">
        <f t="shared" si="36"/>
        <v>0.05</v>
      </c>
      <c r="P46" s="80">
        <f t="shared" ref="P46:P49" si="67">TRUNC(IF((N46/M46)&gt;1.2,"120%",(N46/M46)),2)</f>
        <v>0</v>
      </c>
      <c r="Q46" s="4"/>
      <c r="R46" s="32"/>
      <c r="S46" s="11">
        <f t="shared" ref="S46:S56" si="68">IF(ISERROR((N46-R46)/R46),0,(N46-R46)/R46)</f>
        <v>0</v>
      </c>
      <c r="T46" s="4"/>
      <c r="U46" s="22">
        <v>0.8</v>
      </c>
      <c r="V46" s="23"/>
      <c r="W46" s="21">
        <f t="shared" si="39"/>
        <v>0.8</v>
      </c>
      <c r="X46" s="80">
        <f t="shared" ref="X46:X47" si="69">TRUNC(IF((V46/U46)&gt;1.2,"120%",(V46/U46)),2)</f>
        <v>0</v>
      </c>
      <c r="Y46" s="4"/>
      <c r="Z46" s="32"/>
      <c r="AA46" s="11">
        <f t="shared" ref="AA46:AA56" si="70">IF(ISERROR((V46-Z46)/Z46),0,(V46-Z46)/Z46)</f>
        <v>0</v>
      </c>
      <c r="AB46" s="4"/>
      <c r="AC46" s="22">
        <f>SUM(E46,M46,U46)</f>
        <v>1.1499999999999999</v>
      </c>
      <c r="AD46" s="23">
        <f t="shared" si="42"/>
        <v>0</v>
      </c>
      <c r="AE46" s="23">
        <f>IF((AC46-AD46)&lt;0, "-", (AC46-AD46))</f>
        <v>1.1499999999999999</v>
      </c>
      <c r="AF46" s="80">
        <f t="shared" ref="AF46:AF56" si="71">TRUNC(IF((AD46/AC46)&gt;1.2,"120%",(AD46/AC46)),2)</f>
        <v>0</v>
      </c>
      <c r="AG46" s="4"/>
      <c r="AH46" s="22"/>
      <c r="AI46" s="11">
        <f>IF(ISERROR((AD46-AH46)/AH46),0,(AD46-AH46)/AH46)</f>
        <v>0</v>
      </c>
      <c r="AJ46" s="4"/>
      <c r="AK46" s="12"/>
      <c r="AL46" s="15">
        <f t="shared" ref="AL46:AL56" si="72">AD46-V46-N46-F46</f>
        <v>0</v>
      </c>
      <c r="AM46" s="45">
        <f t="shared" si="14"/>
        <v>0</v>
      </c>
      <c r="AN46" s="155"/>
      <c r="AO46" s="158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</row>
    <row r="47" spans="1:85" ht="12" customHeight="1" x14ac:dyDescent="0.2">
      <c r="A47" s="4"/>
      <c r="B47" s="31">
        <v>55</v>
      </c>
      <c r="C47" s="1" t="s">
        <v>69</v>
      </c>
      <c r="D47" s="4"/>
      <c r="E47" s="22">
        <v>0.1</v>
      </c>
      <c r="F47" s="23"/>
      <c r="G47" s="21">
        <f t="shared" si="33"/>
        <v>0.1</v>
      </c>
      <c r="H47" s="80">
        <f t="shared" si="66"/>
        <v>0</v>
      </c>
      <c r="I47" s="4"/>
      <c r="J47" s="32"/>
      <c r="K47" s="11">
        <f>IF(ISERROR((F47-J47)/J47),0,(F47-J47)/J47)</f>
        <v>0</v>
      </c>
      <c r="L47" s="4"/>
      <c r="M47" s="22">
        <v>0.1</v>
      </c>
      <c r="N47" s="23"/>
      <c r="O47" s="21">
        <f t="shared" si="36"/>
        <v>0.1</v>
      </c>
      <c r="P47" s="80">
        <f t="shared" si="67"/>
        <v>0</v>
      </c>
      <c r="Q47" s="4"/>
      <c r="R47" s="32"/>
      <c r="S47" s="11">
        <f>IF(ISERROR((N47-R47)/R47),0,(N47-R47)/R47)</f>
        <v>0</v>
      </c>
      <c r="T47" s="4"/>
      <c r="U47" s="22">
        <v>0.1</v>
      </c>
      <c r="V47" s="23"/>
      <c r="W47" s="21">
        <f t="shared" si="39"/>
        <v>0.1</v>
      </c>
      <c r="X47" s="80">
        <f t="shared" si="69"/>
        <v>0</v>
      </c>
      <c r="Y47" s="4"/>
      <c r="Z47" s="32"/>
      <c r="AA47" s="11">
        <f>IF(ISERROR((V47-Z47)/Z47),0,(V47-Z47)/Z47)</f>
        <v>0</v>
      </c>
      <c r="AB47" s="4"/>
      <c r="AC47" s="22">
        <f t="shared" ref="AC47:AC56" si="73">SUM(E47,M47,U47)</f>
        <v>0.30000000000000004</v>
      </c>
      <c r="AD47" s="23">
        <f t="shared" si="42"/>
        <v>0</v>
      </c>
      <c r="AE47" s="23"/>
      <c r="AF47" s="80">
        <f t="shared" si="71"/>
        <v>0</v>
      </c>
      <c r="AG47" s="4"/>
      <c r="AH47" s="22"/>
      <c r="AI47" s="11">
        <f>IF(ISERROR((AD47-AH47)/AH47),0,(AD47-AH47)/AH47)</f>
        <v>0</v>
      </c>
      <c r="AJ47" s="4"/>
      <c r="AK47" s="12"/>
      <c r="AL47" s="15">
        <f t="shared" si="72"/>
        <v>0</v>
      </c>
      <c r="AM47" s="45">
        <f>AK47*-1</f>
        <v>0</v>
      </c>
      <c r="AN47" s="155"/>
      <c r="AO47" s="158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</row>
    <row r="48" spans="1:85" ht="12" customHeight="1" x14ac:dyDescent="0.2">
      <c r="A48" s="4"/>
      <c r="B48" s="18">
        <v>61</v>
      </c>
      <c r="C48" s="1" t="s">
        <v>46</v>
      </c>
      <c r="D48" s="4"/>
      <c r="E48" s="22">
        <v>2.5000000000000001E-2</v>
      </c>
      <c r="F48" s="23"/>
      <c r="G48" s="21">
        <f t="shared" si="33"/>
        <v>2.5000000000000001E-2</v>
      </c>
      <c r="H48" s="80">
        <f t="shared" si="66"/>
        <v>0</v>
      </c>
      <c r="I48" s="4"/>
      <c r="J48" s="32"/>
      <c r="K48" s="11">
        <f t="shared" si="35"/>
        <v>0</v>
      </c>
      <c r="L48" s="4"/>
      <c r="M48" s="22">
        <v>2.5000000000000001E-2</v>
      </c>
      <c r="N48" s="23"/>
      <c r="O48" s="21">
        <f t="shared" si="36"/>
        <v>2.5000000000000001E-2</v>
      </c>
      <c r="P48" s="80">
        <f t="shared" si="67"/>
        <v>0</v>
      </c>
      <c r="Q48" s="4"/>
      <c r="R48" s="32"/>
      <c r="S48" s="11">
        <f t="shared" si="68"/>
        <v>0</v>
      </c>
      <c r="T48" s="4"/>
      <c r="U48" s="22">
        <v>0.05</v>
      </c>
      <c r="V48" s="23"/>
      <c r="W48" s="21">
        <f t="shared" si="39"/>
        <v>0.05</v>
      </c>
      <c r="X48" s="80"/>
      <c r="Y48" s="4"/>
      <c r="Z48" s="32"/>
      <c r="AA48" s="11">
        <f t="shared" si="70"/>
        <v>0</v>
      </c>
      <c r="AB48" s="4"/>
      <c r="AC48" s="22">
        <f t="shared" si="73"/>
        <v>0.1</v>
      </c>
      <c r="AD48" s="23">
        <f t="shared" si="42"/>
        <v>0</v>
      </c>
      <c r="AE48" s="23">
        <f t="shared" ref="AE48:AE54" si="74">IF((AC48-AD48)&lt;0, "-", (AC48-AD48))</f>
        <v>0.1</v>
      </c>
      <c r="AF48" s="80">
        <f t="shared" si="71"/>
        <v>0</v>
      </c>
      <c r="AG48" s="4"/>
      <c r="AH48" s="22"/>
      <c r="AI48" s="11">
        <f t="shared" ref="AI48:AI54" si="75">IF(ISERROR((AD48-AH48)/AH48),0,(AD48-AH48)/AH48)</f>
        <v>0</v>
      </c>
      <c r="AJ48" s="4"/>
      <c r="AK48" s="12"/>
      <c r="AL48" s="15">
        <f t="shared" si="72"/>
        <v>0</v>
      </c>
      <c r="AM48" s="45">
        <f t="shared" si="14"/>
        <v>0</v>
      </c>
      <c r="AN48" s="155"/>
      <c r="AO48" s="158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</row>
    <row r="49" spans="1:85" ht="12" customHeight="1" x14ac:dyDescent="0.2">
      <c r="A49" s="4"/>
      <c r="B49" s="31">
        <v>27</v>
      </c>
      <c r="C49" s="1" t="s">
        <v>158</v>
      </c>
      <c r="D49" s="4"/>
      <c r="E49" s="22">
        <v>0.01</v>
      </c>
      <c r="F49" s="23"/>
      <c r="G49" s="21">
        <f t="shared" si="33"/>
        <v>0.01</v>
      </c>
      <c r="H49" s="80">
        <f t="shared" si="66"/>
        <v>0</v>
      </c>
      <c r="I49" s="4"/>
      <c r="J49" s="32"/>
      <c r="K49" s="11">
        <f>IF(ISERROR((F49-J49)/J49),0,(F49-J49)/J49)</f>
        <v>0</v>
      </c>
      <c r="L49" s="4"/>
      <c r="M49" s="22">
        <v>0.01</v>
      </c>
      <c r="N49" s="23"/>
      <c r="O49" s="21">
        <f t="shared" si="36"/>
        <v>0.01</v>
      </c>
      <c r="P49" s="80">
        <f t="shared" si="67"/>
        <v>0</v>
      </c>
      <c r="Q49" s="4"/>
      <c r="R49" s="32"/>
      <c r="S49" s="11">
        <f>IF(ISERROR((N49-R49)/R49),0,(N49-R49)/R49)</f>
        <v>0</v>
      </c>
      <c r="T49" s="4"/>
      <c r="U49" s="22">
        <v>0.01</v>
      </c>
      <c r="V49" s="23"/>
      <c r="W49" s="21">
        <f t="shared" si="39"/>
        <v>0.01</v>
      </c>
      <c r="X49" s="80"/>
      <c r="Y49" s="4"/>
      <c r="Z49" s="32"/>
      <c r="AA49" s="11">
        <f>IF(ISERROR((V49-Z49)/Z49),0,(V49-Z49)/Z49)</f>
        <v>0</v>
      </c>
      <c r="AB49" s="4"/>
      <c r="AC49" s="22">
        <f t="shared" si="73"/>
        <v>0.03</v>
      </c>
      <c r="AD49" s="23">
        <f t="shared" si="42"/>
        <v>0</v>
      </c>
      <c r="AE49" s="23">
        <f t="shared" si="74"/>
        <v>0.03</v>
      </c>
      <c r="AF49" s="80">
        <f t="shared" si="71"/>
        <v>0</v>
      </c>
      <c r="AG49" s="4"/>
      <c r="AH49" s="22"/>
      <c r="AI49" s="11">
        <f>IF(ISERROR((AD49-AH49)/AH49),0,(AD49-AH49)/AH49)</f>
        <v>0</v>
      </c>
      <c r="AJ49" s="4"/>
      <c r="AK49" s="12"/>
      <c r="AL49" s="15">
        <f t="shared" si="72"/>
        <v>0</v>
      </c>
      <c r="AM49" s="45">
        <f>AK49*-1</f>
        <v>0</v>
      </c>
      <c r="AN49" s="155"/>
      <c r="AO49" s="158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</row>
    <row r="50" spans="1:85" ht="12" customHeight="1" x14ac:dyDescent="0.2">
      <c r="A50" s="4"/>
      <c r="B50" s="31">
        <v>71</v>
      </c>
      <c r="C50" s="1" t="s">
        <v>64</v>
      </c>
      <c r="D50" s="4"/>
      <c r="E50" s="22">
        <v>0.2</v>
      </c>
      <c r="F50" s="23"/>
      <c r="G50" s="21">
        <f t="shared" si="33"/>
        <v>0.2</v>
      </c>
      <c r="H50" s="80">
        <f t="shared" si="66"/>
        <v>0</v>
      </c>
      <c r="I50" s="4"/>
      <c r="J50" s="32"/>
      <c r="K50" s="11">
        <f>IF(ISERROR((F50-J50)/J50),0,(F50-J50)/J50)</f>
        <v>0</v>
      </c>
      <c r="L50" s="4"/>
      <c r="M50" s="22">
        <v>0.2</v>
      </c>
      <c r="N50" s="23"/>
      <c r="O50" s="21">
        <f t="shared" si="36"/>
        <v>0.2</v>
      </c>
      <c r="P50" s="80">
        <f>TRUNC(IF((N50/M50)&gt;1.2,"120%",(N50/M50)),2)</f>
        <v>0</v>
      </c>
      <c r="Q50" s="4"/>
      <c r="R50" s="32"/>
      <c r="S50" s="11">
        <f>IF(ISERROR((N50-R50)/R50),0,(N50-R50)/R50)</f>
        <v>0</v>
      </c>
      <c r="T50" s="4"/>
      <c r="U50" s="22">
        <v>0.2</v>
      </c>
      <c r="V50" s="23"/>
      <c r="W50" s="21">
        <f t="shared" si="39"/>
        <v>0.2</v>
      </c>
      <c r="X50" s="80">
        <f t="shared" ref="X50:X56" si="76">TRUNC(IF((V50/U50)&gt;1.2,"120%",(V50/U50)),2)</f>
        <v>0</v>
      </c>
      <c r="Y50" s="4"/>
      <c r="Z50" s="32"/>
      <c r="AA50" s="11">
        <f>IF(ISERROR((V50-Z50)/Z50),0,(V50-Z50)/Z50)</f>
        <v>0</v>
      </c>
      <c r="AB50" s="4"/>
      <c r="AC50" s="22">
        <f t="shared" si="73"/>
        <v>0.60000000000000009</v>
      </c>
      <c r="AD50" s="23">
        <f t="shared" si="42"/>
        <v>0</v>
      </c>
      <c r="AE50" s="23">
        <f t="shared" si="74"/>
        <v>0.60000000000000009</v>
      </c>
      <c r="AF50" s="80">
        <f t="shared" si="71"/>
        <v>0</v>
      </c>
      <c r="AG50" s="4"/>
      <c r="AH50" s="22"/>
      <c r="AI50" s="11">
        <f>IF(ISERROR((AD50-AH50)/AH50),0,(AD50-AH50)/AH50)</f>
        <v>0</v>
      </c>
      <c r="AJ50" s="4"/>
      <c r="AK50" s="12"/>
      <c r="AL50" s="15">
        <f t="shared" si="72"/>
        <v>0</v>
      </c>
      <c r="AM50" s="45">
        <f>AK50*-1</f>
        <v>0</v>
      </c>
      <c r="AN50" s="155"/>
      <c r="AO50" s="158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</row>
    <row r="51" spans="1:85" ht="12" customHeight="1" x14ac:dyDescent="0.2">
      <c r="A51" s="4"/>
      <c r="B51" s="31">
        <v>111</v>
      </c>
      <c r="C51" s="1" t="s">
        <v>121</v>
      </c>
      <c r="D51" s="4"/>
      <c r="E51" s="22">
        <v>1</v>
      </c>
      <c r="F51" s="23"/>
      <c r="G51" s="21">
        <f t="shared" si="33"/>
        <v>1</v>
      </c>
      <c r="H51" s="80">
        <f t="shared" si="66"/>
        <v>0</v>
      </c>
      <c r="I51" s="4"/>
      <c r="J51" s="32"/>
      <c r="K51" s="11">
        <f>IF(ISERROR((F51-J51)/J51),0,(F51-J51)/J51)</f>
        <v>0</v>
      </c>
      <c r="L51" s="4"/>
      <c r="M51" s="22">
        <v>1</v>
      </c>
      <c r="N51" s="23"/>
      <c r="O51" s="21">
        <f t="shared" si="36"/>
        <v>1</v>
      </c>
      <c r="P51" s="80">
        <f t="shared" ref="P51:P56" si="77">TRUNC(IF((N51/M51)&gt;1.2,"120%",(N51/M51)),2)</f>
        <v>0</v>
      </c>
      <c r="Q51" s="4"/>
      <c r="R51" s="32"/>
      <c r="S51" s="11">
        <f>IF(ISERROR((N51-R51)/R51),0,(N51-R51)/R51)</f>
        <v>0</v>
      </c>
      <c r="T51" s="4"/>
      <c r="U51" s="22">
        <v>1</v>
      </c>
      <c r="V51" s="23"/>
      <c r="W51" s="21">
        <f t="shared" si="39"/>
        <v>1</v>
      </c>
      <c r="X51" s="80">
        <f t="shared" si="76"/>
        <v>0</v>
      </c>
      <c r="Y51" s="4"/>
      <c r="Z51" s="32"/>
      <c r="AA51" s="11">
        <f>IF(ISERROR((V51-Z51)/Z51),0,(V51-Z51)/Z51)</f>
        <v>0</v>
      </c>
      <c r="AB51" s="4"/>
      <c r="AC51" s="22">
        <f t="shared" si="73"/>
        <v>3</v>
      </c>
      <c r="AD51" s="23">
        <f t="shared" si="42"/>
        <v>0</v>
      </c>
      <c r="AE51" s="23">
        <f>IF((AC51-AD51)&lt;0, "-", (AC51-AD51))</f>
        <v>3</v>
      </c>
      <c r="AF51" s="80">
        <f t="shared" si="71"/>
        <v>0</v>
      </c>
      <c r="AG51" s="4"/>
      <c r="AH51" s="22"/>
      <c r="AI51" s="11">
        <f>IF(ISERROR((AD51-AH51)/AH51),0,(AD51-AH51)/AH51)</f>
        <v>0</v>
      </c>
      <c r="AJ51" s="4"/>
      <c r="AK51" s="12"/>
      <c r="AL51" s="15">
        <f t="shared" si="72"/>
        <v>0</v>
      </c>
      <c r="AM51" s="45">
        <f>AK51*-1</f>
        <v>0</v>
      </c>
      <c r="AN51" s="155"/>
      <c r="AO51" s="158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</row>
    <row r="52" spans="1:85" ht="12" customHeight="1" x14ac:dyDescent="0.2">
      <c r="A52" s="4"/>
      <c r="B52" s="31">
        <v>135</v>
      </c>
      <c r="C52" s="1" t="s">
        <v>120</v>
      </c>
      <c r="D52" s="4"/>
      <c r="E52" s="22">
        <v>1.35</v>
      </c>
      <c r="F52" s="23"/>
      <c r="G52" s="21">
        <f t="shared" si="33"/>
        <v>1.35</v>
      </c>
      <c r="H52" s="80">
        <f>TRUNC(IF((F52/E52)&gt;1.2,"120%",(F52/E52)),2)</f>
        <v>0</v>
      </c>
      <c r="I52" s="4"/>
      <c r="J52" s="32"/>
      <c r="K52" s="11">
        <f t="shared" si="35"/>
        <v>0</v>
      </c>
      <c r="L52" s="4"/>
      <c r="M52" s="22">
        <v>0.5</v>
      </c>
      <c r="N52" s="23"/>
      <c r="O52" s="21">
        <f t="shared" si="36"/>
        <v>0.5</v>
      </c>
      <c r="P52" s="80">
        <f t="shared" si="77"/>
        <v>0</v>
      </c>
      <c r="Q52" s="4"/>
      <c r="R52" s="32"/>
      <c r="S52" s="11">
        <f t="shared" si="68"/>
        <v>0</v>
      </c>
      <c r="T52" s="4"/>
      <c r="U52" s="22">
        <v>1</v>
      </c>
      <c r="V52" s="23"/>
      <c r="W52" s="21">
        <f t="shared" si="39"/>
        <v>1</v>
      </c>
      <c r="X52" s="80">
        <f t="shared" si="76"/>
        <v>0</v>
      </c>
      <c r="Y52" s="4"/>
      <c r="Z52" s="32"/>
      <c r="AA52" s="11">
        <f t="shared" si="70"/>
        <v>0</v>
      </c>
      <c r="AB52" s="4"/>
      <c r="AC52" s="22">
        <f t="shared" si="73"/>
        <v>2.85</v>
      </c>
      <c r="AD52" s="23">
        <f t="shared" si="42"/>
        <v>0</v>
      </c>
      <c r="AE52" s="23">
        <f t="shared" si="74"/>
        <v>2.85</v>
      </c>
      <c r="AF52" s="80">
        <f t="shared" si="71"/>
        <v>0</v>
      </c>
      <c r="AG52" s="4"/>
      <c r="AH52" s="22"/>
      <c r="AI52" s="11">
        <f t="shared" si="75"/>
        <v>0</v>
      </c>
      <c r="AJ52" s="4"/>
      <c r="AK52" s="12"/>
      <c r="AL52" s="15">
        <f t="shared" si="72"/>
        <v>0</v>
      </c>
      <c r="AM52" s="45">
        <f t="shared" si="14"/>
        <v>0</v>
      </c>
      <c r="AN52" s="155"/>
      <c r="AO52" s="158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</row>
    <row r="53" spans="1:85" ht="12" customHeight="1" x14ac:dyDescent="0.2">
      <c r="A53" s="4"/>
      <c r="B53" s="31">
        <v>222</v>
      </c>
      <c r="C53" s="1" t="s">
        <v>174</v>
      </c>
      <c r="D53" s="4"/>
      <c r="E53" s="22">
        <v>0.2</v>
      </c>
      <c r="F53" s="23"/>
      <c r="G53" s="21">
        <f t="shared" si="33"/>
        <v>0.2</v>
      </c>
      <c r="H53" s="80">
        <f>TRUNC(IF((F53/E53)&gt;1.2,"120%",(F53/E53)),2)</f>
        <v>0</v>
      </c>
      <c r="I53" s="4"/>
      <c r="J53" s="32"/>
      <c r="K53" s="11">
        <f t="shared" ref="K53" si="78">IF(ISERROR((F53-J53)/J53),0,(F53-J53)/J53)</f>
        <v>0</v>
      </c>
      <c r="L53" s="4"/>
      <c r="M53" s="22">
        <v>0.2</v>
      </c>
      <c r="N53" s="23"/>
      <c r="O53" s="21">
        <f t="shared" si="36"/>
        <v>0.2</v>
      </c>
      <c r="P53" s="80">
        <f t="shared" ref="P53" si="79">TRUNC(IF((N53/M53)&gt;1.2,"120%",(N53/M53)),2)</f>
        <v>0</v>
      </c>
      <c r="Q53" s="4"/>
      <c r="R53" s="32"/>
      <c r="S53" s="11">
        <f t="shared" ref="S53" si="80">IF(ISERROR((N53-R53)/R53),0,(N53-R53)/R53)</f>
        <v>0</v>
      </c>
      <c r="T53" s="4"/>
      <c r="U53" s="22">
        <v>0.2</v>
      </c>
      <c r="V53" s="23"/>
      <c r="W53" s="21">
        <f t="shared" si="39"/>
        <v>0.2</v>
      </c>
      <c r="X53" s="80">
        <f t="shared" ref="X53" si="81">TRUNC(IF((V53/U53)&gt;1.2,"120%",(V53/U53)),2)</f>
        <v>0</v>
      </c>
      <c r="Y53" s="4"/>
      <c r="Z53" s="32"/>
      <c r="AA53" s="11">
        <f t="shared" ref="AA53" si="82">IF(ISERROR((V53-Z53)/Z53),0,(V53-Z53)/Z53)</f>
        <v>0</v>
      </c>
      <c r="AB53" s="4"/>
      <c r="AC53" s="22">
        <f t="shared" si="73"/>
        <v>0.60000000000000009</v>
      </c>
      <c r="AD53" s="23">
        <f t="shared" si="42"/>
        <v>0</v>
      </c>
      <c r="AE53" s="23">
        <f t="shared" ref="AE53" si="83">IF((AC53-AD53)&lt;0, "-", (AC53-AD53))</f>
        <v>0.60000000000000009</v>
      </c>
      <c r="AF53" s="80">
        <f t="shared" ref="AF53" si="84">TRUNC(IF((AD53/AC53)&gt;1.2,"120%",(AD53/AC53)),2)</f>
        <v>0</v>
      </c>
      <c r="AG53" s="4"/>
      <c r="AH53" s="22"/>
      <c r="AI53" s="11">
        <f t="shared" ref="AI53" si="85">IF(ISERROR((AD53-AH53)/AH53),0,(AD53-AH53)/AH53)</f>
        <v>0</v>
      </c>
      <c r="AJ53" s="4"/>
      <c r="AK53" s="12"/>
      <c r="AL53" s="15">
        <f t="shared" si="72"/>
        <v>0</v>
      </c>
      <c r="AM53" s="45">
        <f t="shared" ref="AM53" si="86">AK53*-1</f>
        <v>0</v>
      </c>
      <c r="AN53" s="155"/>
      <c r="AO53" s="158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</row>
    <row r="54" spans="1:85" ht="12" customHeight="1" x14ac:dyDescent="0.2">
      <c r="A54" s="4"/>
      <c r="B54" s="31">
        <v>28</v>
      </c>
      <c r="C54" s="1" t="s">
        <v>29</v>
      </c>
      <c r="D54" s="4"/>
      <c r="E54" s="22">
        <v>0.2</v>
      </c>
      <c r="F54" s="23"/>
      <c r="G54" s="21">
        <f t="shared" si="33"/>
        <v>0.2</v>
      </c>
      <c r="H54" s="80">
        <f t="shared" si="66"/>
        <v>0</v>
      </c>
      <c r="I54" s="4"/>
      <c r="J54" s="32"/>
      <c r="K54" s="11">
        <f t="shared" si="35"/>
        <v>0</v>
      </c>
      <c r="L54" s="4"/>
      <c r="M54" s="22">
        <v>0.2</v>
      </c>
      <c r="N54" s="23"/>
      <c r="O54" s="21">
        <f t="shared" si="36"/>
        <v>0.2</v>
      </c>
      <c r="P54" s="80">
        <f t="shared" si="77"/>
        <v>0</v>
      </c>
      <c r="Q54" s="4"/>
      <c r="R54" s="32"/>
      <c r="S54" s="11">
        <f t="shared" si="68"/>
        <v>0</v>
      </c>
      <c r="T54" s="4"/>
      <c r="U54" s="22">
        <v>0.3</v>
      </c>
      <c r="V54" s="23"/>
      <c r="W54" s="21">
        <f t="shared" si="39"/>
        <v>0.3</v>
      </c>
      <c r="X54" s="80">
        <f t="shared" si="76"/>
        <v>0</v>
      </c>
      <c r="Y54" s="4"/>
      <c r="Z54" s="32"/>
      <c r="AA54" s="11">
        <f t="shared" si="70"/>
        <v>0</v>
      </c>
      <c r="AB54" s="4"/>
      <c r="AC54" s="22">
        <f t="shared" si="73"/>
        <v>0.7</v>
      </c>
      <c r="AD54" s="23">
        <f t="shared" si="42"/>
        <v>0</v>
      </c>
      <c r="AE54" s="23">
        <f t="shared" si="74"/>
        <v>0.7</v>
      </c>
      <c r="AF54" s="80">
        <f t="shared" si="71"/>
        <v>0</v>
      </c>
      <c r="AG54" s="4"/>
      <c r="AH54" s="22"/>
      <c r="AI54" s="11">
        <f t="shared" si="75"/>
        <v>0</v>
      </c>
      <c r="AJ54" s="4"/>
      <c r="AK54" s="12"/>
      <c r="AL54" s="15">
        <f t="shared" si="72"/>
        <v>0</v>
      </c>
      <c r="AM54" s="45">
        <f t="shared" si="14"/>
        <v>0</v>
      </c>
      <c r="AN54" s="155"/>
      <c r="AO54" s="158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</row>
    <row r="55" spans="1:85" ht="12" customHeight="1" x14ac:dyDescent="0.2">
      <c r="A55" s="4"/>
      <c r="B55" s="18">
        <v>32</v>
      </c>
      <c r="C55" s="1" t="s">
        <v>30</v>
      </c>
      <c r="D55" s="4"/>
      <c r="E55" s="22">
        <v>0.4</v>
      </c>
      <c r="F55" s="23"/>
      <c r="G55" s="21">
        <f t="shared" si="33"/>
        <v>0.4</v>
      </c>
      <c r="H55" s="80">
        <f t="shared" si="66"/>
        <v>0</v>
      </c>
      <c r="I55" s="4"/>
      <c r="J55" s="32"/>
      <c r="K55" s="11">
        <f t="shared" si="35"/>
        <v>0</v>
      </c>
      <c r="L55" s="4"/>
      <c r="M55" s="22">
        <v>0.1</v>
      </c>
      <c r="N55" s="23"/>
      <c r="O55" s="21">
        <f t="shared" si="36"/>
        <v>0.1</v>
      </c>
      <c r="P55" s="80">
        <f>TRUNC(IF((N55/M55)&gt;1.2,"120%",(N55/M55)),2)</f>
        <v>0</v>
      </c>
      <c r="Q55" s="4"/>
      <c r="R55" s="32"/>
      <c r="S55" s="11">
        <f>IF(ISERROR((N55-R55)/R55),0,(N55-R55)/R55)</f>
        <v>0</v>
      </c>
      <c r="T55" s="4"/>
      <c r="U55" s="22">
        <v>1.5</v>
      </c>
      <c r="V55" s="23"/>
      <c r="W55" s="21">
        <f t="shared" si="39"/>
        <v>1.5</v>
      </c>
      <c r="X55" s="80">
        <f t="shared" si="76"/>
        <v>0</v>
      </c>
      <c r="Y55" s="4"/>
      <c r="Z55" s="32"/>
      <c r="AA55" s="11">
        <f t="shared" si="70"/>
        <v>0</v>
      </c>
      <c r="AB55" s="4"/>
      <c r="AC55" s="22">
        <f t="shared" si="73"/>
        <v>2</v>
      </c>
      <c r="AD55" s="23">
        <f t="shared" si="42"/>
        <v>0</v>
      </c>
      <c r="AE55" s="23">
        <f>IF((AC55-AD55)&lt;0, "-", (AC55-AD55))</f>
        <v>2</v>
      </c>
      <c r="AF55" s="80">
        <f t="shared" si="71"/>
        <v>0</v>
      </c>
      <c r="AG55" s="4"/>
      <c r="AH55" s="22"/>
      <c r="AI55" s="11">
        <f>IF(ISERROR((AD55-AH55)/AH55),0,(AD55-AH55)/AH55)</f>
        <v>0</v>
      </c>
      <c r="AJ55" s="4"/>
      <c r="AK55" s="12"/>
      <c r="AL55" s="15">
        <f>AD55-V55-N55-F55</f>
        <v>0</v>
      </c>
      <c r="AM55" s="45">
        <f t="shared" si="14"/>
        <v>0</v>
      </c>
      <c r="AN55" s="155"/>
      <c r="AO55" s="158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</row>
    <row r="56" spans="1:85" ht="12" customHeight="1" thickBot="1" x14ac:dyDescent="0.25">
      <c r="A56" s="4"/>
      <c r="B56" s="18">
        <v>42</v>
      </c>
      <c r="C56" s="1" t="s">
        <v>31</v>
      </c>
      <c r="D56" s="4"/>
      <c r="E56" s="22">
        <v>10</v>
      </c>
      <c r="F56" s="23"/>
      <c r="G56" s="21">
        <f t="shared" si="33"/>
        <v>10</v>
      </c>
      <c r="H56" s="80">
        <f t="shared" si="66"/>
        <v>0</v>
      </c>
      <c r="I56" s="4"/>
      <c r="J56" s="32"/>
      <c r="K56" s="11">
        <f t="shared" si="35"/>
        <v>0</v>
      </c>
      <c r="L56" s="4"/>
      <c r="M56" s="22">
        <v>5</v>
      </c>
      <c r="N56" s="23"/>
      <c r="O56" s="21">
        <f t="shared" si="36"/>
        <v>5</v>
      </c>
      <c r="P56" s="80">
        <f t="shared" si="77"/>
        <v>0</v>
      </c>
      <c r="Q56" s="4"/>
      <c r="R56" s="32"/>
      <c r="S56" s="11">
        <f t="shared" si="68"/>
        <v>0</v>
      </c>
      <c r="T56" s="4"/>
      <c r="U56" s="22">
        <v>15</v>
      </c>
      <c r="V56" s="23"/>
      <c r="W56" s="21">
        <f t="shared" si="39"/>
        <v>15</v>
      </c>
      <c r="X56" s="80">
        <f t="shared" si="76"/>
        <v>0</v>
      </c>
      <c r="Y56" s="4"/>
      <c r="Z56" s="32"/>
      <c r="AA56" s="11">
        <f t="shared" si="70"/>
        <v>0</v>
      </c>
      <c r="AB56" s="4"/>
      <c r="AC56" s="22">
        <f t="shared" si="73"/>
        <v>30</v>
      </c>
      <c r="AD56" s="23">
        <f t="shared" si="42"/>
        <v>0</v>
      </c>
      <c r="AE56" s="23">
        <f>IF((AC56-AD56)&lt;0, "-", (AC56-AD56))</f>
        <v>30</v>
      </c>
      <c r="AF56" s="80">
        <f t="shared" si="71"/>
        <v>0</v>
      </c>
      <c r="AG56" s="4"/>
      <c r="AH56" s="22"/>
      <c r="AI56" s="11">
        <f>IF(ISERROR((AD56-AH56)/AH56),0,(AD56-AH56)/AH56)</f>
        <v>0</v>
      </c>
      <c r="AJ56" s="4"/>
      <c r="AK56" s="12"/>
      <c r="AL56" s="15">
        <f t="shared" si="72"/>
        <v>0</v>
      </c>
      <c r="AM56" s="45">
        <f t="shared" si="14"/>
        <v>0</v>
      </c>
      <c r="AN56" s="155"/>
      <c r="AO56" s="158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</row>
    <row r="57" spans="1:85" s="142" customFormat="1" ht="12" customHeight="1" thickTop="1" thickBot="1" x14ac:dyDescent="0.2">
      <c r="A57" s="136"/>
      <c r="B57" s="18"/>
      <c r="C57" s="2" t="s">
        <v>32</v>
      </c>
      <c r="D57" s="136"/>
      <c r="E57" s="135">
        <f>SUM(E46:E56)</f>
        <v>13.785</v>
      </c>
      <c r="F57" s="135">
        <f>SUM(F46:F56)</f>
        <v>0</v>
      </c>
      <c r="G57" s="135">
        <f>SUM(G46:G56)</f>
        <v>13.785</v>
      </c>
      <c r="H57" s="137">
        <f>TRUNC(IF((F57/E57)&gt;1.2,"120%",(F57/E57)),2)</f>
        <v>0</v>
      </c>
      <c r="I57" s="138"/>
      <c r="J57" s="135"/>
      <c r="K57" s="139"/>
      <c r="L57" s="138"/>
      <c r="M57" s="135">
        <f>SUM(M46:M56)</f>
        <v>7.3849999999999998</v>
      </c>
      <c r="N57" s="135">
        <f>SUM(N46:N56)</f>
        <v>0</v>
      </c>
      <c r="O57" s="135">
        <f>SUM(O46:O56)</f>
        <v>7.3849999999999998</v>
      </c>
      <c r="P57" s="137">
        <f>TRUNC(IF((N57/M57)&gt;1.2,"120%",(N57/M57)),2)</f>
        <v>0</v>
      </c>
      <c r="Q57" s="138"/>
      <c r="R57" s="135"/>
      <c r="S57" s="139"/>
      <c r="T57" s="138"/>
      <c r="U57" s="135">
        <f>SUM(U46:U56)</f>
        <v>20.16</v>
      </c>
      <c r="V57" s="135">
        <f>SUM(V46:V56)</f>
        <v>0</v>
      </c>
      <c r="W57" s="135">
        <f>SUM(W46:W56)</f>
        <v>20.16</v>
      </c>
      <c r="X57" s="137">
        <f>TRUNC(IF((V57/U57)&gt;1.2,"120%",(V57/U57)),2)</f>
        <v>0</v>
      </c>
      <c r="Y57" s="138"/>
      <c r="Z57" s="135"/>
      <c r="AA57" s="139"/>
      <c r="AB57" s="138"/>
      <c r="AC57" s="135">
        <f>SUM(AC46:AC56)</f>
        <v>41.33</v>
      </c>
      <c r="AD57" s="135">
        <f>SUM(AD46:AD56)</f>
        <v>0</v>
      </c>
      <c r="AE57" s="135">
        <f>SUM(AE46:AE56)</f>
        <v>41.03</v>
      </c>
      <c r="AF57" s="137">
        <f>TRUNC(IF((AD57/AC57)&gt;1.2,"120%",(AD57/AC57)),2)</f>
        <v>0</v>
      </c>
      <c r="AG57" s="136"/>
      <c r="AH57" s="135"/>
      <c r="AI57" s="139"/>
      <c r="AJ57" s="136"/>
      <c r="AK57" s="140"/>
      <c r="AL57" s="89"/>
      <c r="AM57" s="136"/>
      <c r="AN57" s="156"/>
      <c r="AO57" s="136"/>
      <c r="AP57" s="136"/>
      <c r="AQ57" s="136"/>
      <c r="AR57" s="136"/>
      <c r="AS57" s="136"/>
      <c r="AT57" s="136"/>
      <c r="AU57" s="136"/>
      <c r="AV57" s="136"/>
      <c r="AW57" s="136"/>
      <c r="AX57" s="136"/>
      <c r="AY57" s="136"/>
      <c r="AZ57" s="136"/>
      <c r="BA57" s="136"/>
      <c r="BB57" s="136"/>
      <c r="BC57" s="136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</row>
    <row r="58" spans="1:85" ht="16" thickTop="1" x14ac:dyDescent="0.2">
      <c r="A58" s="4"/>
      <c r="B58" s="19"/>
      <c r="C58" s="4"/>
      <c r="D58" s="4"/>
      <c r="E58" s="25"/>
      <c r="F58" s="4"/>
      <c r="G58" s="4"/>
      <c r="H58" s="4"/>
      <c r="I58" s="4"/>
      <c r="J58" s="13"/>
      <c r="K58" s="4"/>
      <c r="L58" s="4"/>
      <c r="M58" s="25"/>
      <c r="N58" s="4"/>
      <c r="O58" s="4"/>
      <c r="P58" s="4"/>
      <c r="Q58" s="4"/>
      <c r="R58" s="13"/>
      <c r="S58" s="4"/>
      <c r="T58" s="4"/>
      <c r="U58" s="25"/>
      <c r="V58" s="4"/>
      <c r="W58" s="4"/>
      <c r="X58" s="4"/>
      <c r="Y58" s="4"/>
      <c r="Z58" s="13"/>
      <c r="AA58" s="4"/>
      <c r="AB58" s="4"/>
      <c r="AC58" s="13"/>
      <c r="AD58" s="4"/>
      <c r="AE58" s="4"/>
      <c r="AF58" s="4"/>
      <c r="AG58" s="4"/>
      <c r="AI58" s="4"/>
      <c r="AJ58" s="4"/>
      <c r="AK58" s="13"/>
      <c r="AL58" s="4"/>
      <c r="AM58" s="4"/>
      <c r="AN58" s="155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</row>
    <row r="59" spans="1:85" ht="13.5" customHeight="1" x14ac:dyDescent="0.2">
      <c r="A59" s="4"/>
      <c r="B59" s="19"/>
      <c r="C59" s="4"/>
      <c r="D59" s="4"/>
      <c r="E59" s="25"/>
      <c r="F59" s="4"/>
      <c r="G59" s="4"/>
      <c r="H59" s="37">
        <f>TRUNC((H56+H55+H46+H44+H41+H40+H38+H37+H36+H35+H34+H33+H32+H31+H11+H29+H28+H27+H26+H25+H23+H22+H19+H18+H16+H15+H14+H12+H10+H9+H8+H7+H6+H5+H48+H24+H52+H42+H54+H43+H50+H47+H51+H49+H53)/44,2)</f>
        <v>0</v>
      </c>
      <c r="I59" s="4"/>
      <c r="J59" s="69" t="s">
        <v>41</v>
      </c>
      <c r="K59" s="52">
        <f>COUNTIF(K5:K56,"&gt;10%")</f>
        <v>0</v>
      </c>
      <c r="L59" s="4"/>
      <c r="M59" s="25"/>
      <c r="N59" s="4"/>
      <c r="O59" s="4"/>
      <c r="P59" s="37">
        <f>TRUNC((P56+P55+P46+P44+P41+P40+P38+P37+P36+P35+P34+P33+P32+P31+P11+P29+P28+P27+P26+P25+P23+P22+P19+P18+P16+P15+P14+P12+P10+P9+P8+P7+P6+P5+P48+P24+P52+P42+P54+P43+P50+P47+P51+P49+P53)/44,2)</f>
        <v>0</v>
      </c>
      <c r="Q59" s="4"/>
      <c r="R59" s="69" t="s">
        <v>41</v>
      </c>
      <c r="S59" s="52">
        <f>COUNTIF(S5:S56,"&gt;10%")</f>
        <v>0</v>
      </c>
      <c r="T59" s="4"/>
      <c r="U59" s="25"/>
      <c r="V59" s="4"/>
      <c r="W59" s="4"/>
      <c r="X59" s="37">
        <f>TRUNC((X56+X55+X46+X44+X41+X40+X38+X37+X36+X35+X34+X33+X32+X31+X11+X29+X28+X27+X26+X25+X23+X22+X19+X18+X16+X15+X14+X12+X10+X9+X8+X7+X6+X5+X48+X24+X52+X42+X54+X43+X50+X47+X51+X49+X53)/43,2)</f>
        <v>0</v>
      </c>
      <c r="Y59" s="4"/>
      <c r="Z59" s="69" t="s">
        <v>41</v>
      </c>
      <c r="AA59" s="52">
        <f>COUNTIF(AA5:AA56,"&gt;10%")</f>
        <v>0</v>
      </c>
      <c r="AB59" s="4"/>
      <c r="AC59" s="13"/>
      <c r="AD59" s="4"/>
      <c r="AE59" s="4"/>
      <c r="AF59" s="37">
        <f>TRUNC((AF56+AF55+AF46+AF44+AF41+AF40+AF38+AF37+AF36+AF35+AF34+AF33+AF32+AF31+AF11+AF29+AF28+AF27+AF26+AF25+AF23+AF22+AF19+AF18+AF16+AF15+AF14+AF12+AF10+AF9+AF8+AF7+AF6+AF5+AF48+AF24+AF52+AF42+AF54+AF43+AF50+AF47+AF51+AF49+AF53)/45,2)</f>
        <v>0</v>
      </c>
      <c r="AG59" s="4"/>
      <c r="AH59" s="69" t="s">
        <v>41</v>
      </c>
      <c r="AI59" s="52">
        <f>COUNTIF(AI5:AI56,"&gt;10%")</f>
        <v>0</v>
      </c>
      <c r="AJ59" s="4"/>
      <c r="AK59" s="13"/>
      <c r="AL59" s="4"/>
      <c r="AM59" s="4"/>
      <c r="AN59" s="155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</row>
    <row r="60" spans="1:85" ht="13.5" customHeight="1" x14ac:dyDescent="0.2">
      <c r="A60" s="4"/>
      <c r="B60" s="19"/>
      <c r="C60" s="4"/>
      <c r="D60" s="4"/>
      <c r="E60" s="25"/>
      <c r="F60" s="4"/>
      <c r="G60" s="4"/>
      <c r="H60" s="16"/>
      <c r="I60" s="4"/>
      <c r="J60" s="54"/>
      <c r="K60" s="53"/>
      <c r="L60" s="4"/>
      <c r="M60" s="25"/>
      <c r="N60" s="4"/>
      <c r="O60" s="4"/>
      <c r="P60" s="16"/>
      <c r="Q60" s="4"/>
      <c r="R60" s="54"/>
      <c r="S60" s="53"/>
      <c r="T60" s="4"/>
      <c r="U60" s="25"/>
      <c r="V60" s="4"/>
      <c r="W60" s="4"/>
      <c r="X60" s="16"/>
      <c r="Y60" s="4"/>
      <c r="Z60" s="54"/>
      <c r="AA60" s="53"/>
      <c r="AB60" s="4"/>
      <c r="AC60" s="13"/>
      <c r="AD60" s="4"/>
      <c r="AE60" s="4"/>
      <c r="AF60" s="16"/>
      <c r="AG60" s="4"/>
      <c r="AI60" s="53"/>
      <c r="AJ60" s="4"/>
      <c r="AK60" s="13"/>
      <c r="AL60" s="4"/>
      <c r="AM60" s="4"/>
      <c r="AN60" s="155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</row>
    <row r="61" spans="1:85" ht="13.5" customHeight="1" thickBot="1" x14ac:dyDescent="0.25">
      <c r="A61" s="4"/>
      <c r="B61" s="18"/>
      <c r="C61" s="4"/>
      <c r="D61" s="4"/>
      <c r="E61" s="25"/>
      <c r="F61" s="4"/>
      <c r="G61" s="4"/>
      <c r="H61" s="4"/>
      <c r="I61" s="4"/>
      <c r="J61" s="13"/>
      <c r="K61" s="4"/>
      <c r="L61" s="4"/>
      <c r="M61" s="25"/>
      <c r="N61" s="4"/>
      <c r="O61" s="4"/>
      <c r="P61" s="4"/>
      <c r="Q61" s="4"/>
      <c r="R61" s="13"/>
      <c r="S61" s="4"/>
      <c r="T61" s="4"/>
      <c r="U61" s="25"/>
      <c r="V61" s="4"/>
      <c r="W61" s="4"/>
      <c r="X61" s="4"/>
      <c r="Y61" s="4"/>
      <c r="Z61" s="13"/>
      <c r="AA61" s="4"/>
      <c r="AB61" s="4"/>
      <c r="AC61" s="13"/>
      <c r="AD61" s="4"/>
      <c r="AE61" s="4"/>
      <c r="AF61" s="4"/>
      <c r="AG61" s="4"/>
      <c r="AI61" s="4"/>
      <c r="AJ61" s="4"/>
      <c r="AK61" s="13"/>
      <c r="AL61" s="4"/>
      <c r="AM61" s="4"/>
      <c r="AN61" s="155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</row>
    <row r="62" spans="1:85" ht="13.5" customHeight="1" thickTop="1" thickBot="1" x14ac:dyDescent="0.25">
      <c r="A62" s="4"/>
      <c r="B62" s="18" t="s">
        <v>40</v>
      </c>
      <c r="C62" s="2" t="s">
        <v>39</v>
      </c>
      <c r="D62" s="4"/>
      <c r="E62" s="36"/>
      <c r="F62" s="36">
        <f>IF(ISERROR(VLOOKUP($B62,[1]Hedef!$A$4:$ES$45409,120,0)),0,VLOOKUP($B62,[1]Hedef!$A$4:$ES$45409,120,0))</f>
        <v>20628.330000000002</v>
      </c>
      <c r="G62" s="36" t="str">
        <f>IF((E62-F62)&lt;0, "-", (E62-F62))</f>
        <v>-</v>
      </c>
      <c r="H62" s="34" t="e">
        <f>IF((F62/E62)&gt;1,"100.0%",(F62/E62))</f>
        <v>#DIV/0!</v>
      </c>
      <c r="I62" s="4"/>
      <c r="J62" s="13"/>
      <c r="K62" s="4"/>
      <c r="L62" s="4"/>
      <c r="M62" s="36"/>
      <c r="N62" s="36">
        <f>IF(ISERROR(VLOOKUP($B62,[1]Hedef!$A$4:$ES$45409,122,0)),0,VLOOKUP($B62,[1]Hedef!$A$4:$ES$45409,122,0))</f>
        <v>13689.65</v>
      </c>
      <c r="O62" s="36" t="str">
        <f>IF((M62-N62)&lt;0, "-", (M62-N62))</f>
        <v>-</v>
      </c>
      <c r="P62" s="34" t="e">
        <f>IF((N62/M62)&gt;1,"100.0%",(N62/M62))</f>
        <v>#DIV/0!</v>
      </c>
      <c r="Q62" s="4"/>
      <c r="R62" s="13"/>
      <c r="S62" s="4"/>
      <c r="T62" s="4"/>
      <c r="U62" s="36"/>
      <c r="V62" s="36">
        <f>IF(ISERROR(VLOOKUP($B62,[1]Hedef!$A$4:$ES$45409,124,0)),0,VLOOKUP($B62,[1]Hedef!$A$4:$ES$45409,124,0))</f>
        <v>44063.53</v>
      </c>
      <c r="W62" s="36" t="str">
        <f>IF((U62-V62)&lt;0, "-", (U62-V62))</f>
        <v>-</v>
      </c>
      <c r="X62" s="34" t="e">
        <f>IF((V62/U62)&gt;1,"100.0%",(V62/U62))</f>
        <v>#DIV/0!</v>
      </c>
      <c r="Y62" s="4"/>
      <c r="Z62" s="13"/>
      <c r="AA62" s="4"/>
      <c r="AB62" s="4"/>
      <c r="AC62" s="36">
        <f>E62+M62+U62</f>
        <v>0</v>
      </c>
      <c r="AD62" s="36">
        <f>IF(ISERROR(VLOOKUP($B62,[1]Hedef!$A$4:$ES$45409,100,0)),0,VLOOKUP($B62,[1]Hedef!$A$4:$ES$45409,100,0))</f>
        <v>78436.03</v>
      </c>
      <c r="AE62" s="36" t="str">
        <f>IF((AC62-AD62)&lt;0, "-", (AC62-AD62))</f>
        <v>-</v>
      </c>
      <c r="AF62" s="34" t="e">
        <f>IF((AD62/AC62)&gt;1,"100.0%",(AD62/AC62))</f>
        <v>#DIV/0!</v>
      </c>
      <c r="AG62" s="4"/>
      <c r="AI62" s="77">
        <v>10156.600000000035</v>
      </c>
      <c r="AJ62" s="4"/>
      <c r="AK62" s="13"/>
      <c r="AL62" s="4"/>
      <c r="AM62" s="4"/>
      <c r="AN62" s="155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</row>
    <row r="63" spans="1:85" ht="13.5" customHeight="1" thickTop="1" thickBot="1" x14ac:dyDescent="0.25">
      <c r="A63" s="4"/>
      <c r="B63" s="19"/>
      <c r="C63" s="4"/>
      <c r="D63" s="4"/>
      <c r="E63" s="25"/>
      <c r="F63" s="4"/>
      <c r="G63" s="4"/>
      <c r="H63" s="4"/>
      <c r="I63" s="4"/>
      <c r="J63" s="13"/>
      <c r="K63" s="4"/>
      <c r="L63" s="4"/>
      <c r="M63" s="25"/>
      <c r="N63" s="4"/>
      <c r="O63" s="4"/>
      <c r="P63" s="4"/>
      <c r="Q63" s="4"/>
      <c r="R63" s="13"/>
      <c r="S63" s="4"/>
      <c r="T63" s="4"/>
      <c r="U63" s="25"/>
      <c r="V63" s="4"/>
      <c r="W63" s="4"/>
      <c r="X63" s="4"/>
      <c r="Y63" s="4"/>
      <c r="Z63" s="13"/>
      <c r="AA63" s="4"/>
      <c r="AB63" s="4"/>
      <c r="AC63" s="13"/>
      <c r="AD63" s="4"/>
      <c r="AE63" s="4"/>
      <c r="AF63" s="4"/>
      <c r="AG63" s="4"/>
      <c r="AI63" s="4"/>
      <c r="AJ63" s="4"/>
      <c r="AK63" s="13"/>
      <c r="AL63" s="4"/>
      <c r="AM63" s="4"/>
      <c r="AN63" s="155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</row>
    <row r="64" spans="1:85" ht="13.5" customHeight="1" thickTop="1" thickBot="1" x14ac:dyDescent="0.25">
      <c r="A64" s="4"/>
      <c r="B64" s="55" t="s">
        <v>42</v>
      </c>
      <c r="C64" s="2" t="s">
        <v>43</v>
      </c>
      <c r="D64" s="4"/>
      <c r="E64" s="25"/>
      <c r="F64" s="36">
        <f>IF(ISERROR(VLOOKUP($B64,[1]Hedef!$A$4:$ES$45409,120,0)),0,VLOOKUP($B64,[1]Hedef!$A$4:$ES$45409,120,0))</f>
        <v>0</v>
      </c>
      <c r="G64" s="57">
        <f>F64/F62</f>
        <v>0</v>
      </c>
      <c r="H64" s="13"/>
      <c r="I64" s="4"/>
      <c r="J64" s="13"/>
      <c r="K64" s="4"/>
      <c r="L64" s="4"/>
      <c r="M64" s="25"/>
      <c r="N64" s="36">
        <f>IF(ISERROR(VLOOKUP($B64,[1]Hedef!$A$4:$ES$45409,122,0)),0,VLOOKUP($B64,[1]Hedef!$A$4:$ES$45409,122,0))</f>
        <v>24.16</v>
      </c>
      <c r="O64" s="57">
        <f>N64/N62</f>
        <v>1.7648369388552666E-3</v>
      </c>
      <c r="P64" s="13"/>
      <c r="Q64" s="4"/>
      <c r="R64" s="13"/>
      <c r="S64" s="4"/>
      <c r="T64" s="4"/>
      <c r="U64" s="25"/>
      <c r="V64" s="36">
        <f>IF(ISERROR(VLOOKUP($B64,[1]Hedef!$A$4:$ES$45409,124,0)),0,VLOOKUP($B64,[1]Hedef!$A$4:$ES$45409,124,0))</f>
        <v>0</v>
      </c>
      <c r="W64" s="57">
        <f>V64/V62</f>
        <v>0</v>
      </c>
      <c r="X64" s="13"/>
      <c r="Y64" s="4"/>
      <c r="Z64" s="13"/>
      <c r="AA64" s="4"/>
      <c r="AB64" s="4"/>
      <c r="AC64" s="13"/>
      <c r="AD64" s="36">
        <f>IF(ISERROR(VLOOKUP($B64,[1]Hedef!$A$4:$ES$45409,100,0)),0,VLOOKUP($B64,[1]Hedef!$A$4:$ES$45409,100,0))</f>
        <v>24.16</v>
      </c>
      <c r="AE64" s="57">
        <f>AD64/AD62</f>
        <v>3.0802170890087118E-4</v>
      </c>
      <c r="AF64" s="13"/>
      <c r="AG64" s="4"/>
      <c r="AI64" s="4"/>
      <c r="AJ64" s="4"/>
      <c r="AK64" s="13"/>
      <c r="AL64" s="4"/>
      <c r="AM64" s="4"/>
      <c r="AN64" s="155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</row>
    <row r="65" spans="1:85" ht="13.5" customHeight="1" thickTop="1" x14ac:dyDescent="0.2">
      <c r="A65" s="4"/>
      <c r="B65" s="19"/>
      <c r="C65" s="4"/>
      <c r="D65" s="4"/>
      <c r="E65" s="25"/>
      <c r="F65" s="4"/>
      <c r="G65" s="4"/>
      <c r="H65" s="4"/>
      <c r="I65" s="4"/>
      <c r="J65" s="13"/>
      <c r="K65" s="4"/>
      <c r="L65" s="4"/>
      <c r="M65" s="25"/>
      <c r="N65" s="4"/>
      <c r="O65" s="4"/>
      <c r="P65" s="4"/>
      <c r="Q65" s="4"/>
      <c r="R65" s="13"/>
      <c r="S65" s="4"/>
      <c r="T65" s="4"/>
      <c r="U65" s="25"/>
      <c r="V65" s="4"/>
      <c r="W65" s="4"/>
      <c r="X65" s="4"/>
      <c r="Y65" s="4"/>
      <c r="Z65" s="13"/>
      <c r="AA65" s="4"/>
      <c r="AB65" s="4"/>
      <c r="AC65" s="13"/>
      <c r="AD65" s="4"/>
      <c r="AE65" s="4"/>
      <c r="AF65" s="4"/>
      <c r="AG65" s="4"/>
      <c r="AI65" s="4"/>
      <c r="AJ65" s="4"/>
      <c r="AK65" s="13"/>
      <c r="AL65" s="4"/>
      <c r="AM65" s="13"/>
      <c r="AN65" s="155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</row>
    <row r="66" spans="1:85" x14ac:dyDescent="0.2">
      <c r="A66" s="4"/>
      <c r="B66" s="19"/>
      <c r="C66" s="4"/>
      <c r="D66" s="4"/>
      <c r="E66" s="24"/>
      <c r="F66" s="4"/>
      <c r="G66" s="4"/>
      <c r="H66" s="4"/>
      <c r="I66" s="4"/>
      <c r="J66" s="4"/>
      <c r="K66" s="4"/>
      <c r="L66" s="4"/>
      <c r="M66" s="24"/>
      <c r="N66" s="4"/>
      <c r="O66" s="4"/>
      <c r="P66" s="4"/>
      <c r="Q66" s="4"/>
      <c r="R66" s="4"/>
      <c r="S66" s="4"/>
      <c r="T66" s="4"/>
      <c r="U66" s="2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I66" s="4"/>
      <c r="AJ66" s="4"/>
      <c r="AK66" s="4"/>
      <c r="AL66" s="4"/>
      <c r="AM66" s="4"/>
      <c r="AN66" s="155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</row>
    <row r="67" spans="1:85" x14ac:dyDescent="0.2">
      <c r="A67" s="4"/>
      <c r="B67" s="19"/>
      <c r="C67" s="4"/>
      <c r="D67" s="4"/>
      <c r="E67" s="24"/>
      <c r="F67" s="4"/>
      <c r="G67" s="4"/>
      <c r="H67" s="4"/>
      <c r="I67" s="4"/>
      <c r="J67" s="4"/>
      <c r="K67" s="4"/>
      <c r="L67" s="4"/>
      <c r="M67" s="24"/>
      <c r="N67" s="4"/>
      <c r="O67" s="4"/>
      <c r="P67" s="4"/>
      <c r="Q67" s="4"/>
      <c r="R67" s="4"/>
      <c r="S67" s="4"/>
      <c r="T67" s="4"/>
      <c r="U67" s="2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I67" s="4"/>
      <c r="AJ67" s="4"/>
      <c r="AK67" s="4"/>
      <c r="AL67" s="4"/>
      <c r="AM67" s="4"/>
      <c r="AN67" s="155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</row>
    <row r="68" spans="1:85" x14ac:dyDescent="0.2">
      <c r="A68" s="4"/>
      <c r="B68" s="19"/>
      <c r="C68" s="150"/>
      <c r="D68" s="4"/>
      <c r="E68" s="24"/>
      <c r="F68" s="4"/>
      <c r="G68" s="4"/>
      <c r="H68" s="4"/>
      <c r="I68" s="4"/>
      <c r="J68" s="4"/>
      <c r="K68" s="4"/>
      <c r="L68" s="4"/>
      <c r="M68" s="24"/>
      <c r="N68" s="4"/>
      <c r="O68" s="4"/>
      <c r="P68" s="4"/>
      <c r="Q68" s="4"/>
      <c r="R68" s="4"/>
      <c r="S68" s="4"/>
      <c r="T68" s="4"/>
      <c r="U68" s="2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I68" s="4"/>
      <c r="AJ68" s="4"/>
      <c r="AK68" s="4"/>
      <c r="AL68" s="4"/>
      <c r="AM68" s="4"/>
      <c r="AN68" s="155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</row>
    <row r="69" spans="1:85" x14ac:dyDescent="0.2">
      <c r="A69" s="4"/>
      <c r="B69" s="19"/>
      <c r="C69" s="150"/>
      <c r="D69" s="4"/>
      <c r="E69" s="24"/>
      <c r="F69" s="4"/>
      <c r="G69" s="4"/>
      <c r="H69" s="4"/>
      <c r="I69" s="4"/>
      <c r="J69" s="4"/>
      <c r="K69" s="4"/>
      <c r="L69" s="4"/>
      <c r="M69" s="24"/>
      <c r="N69" s="4"/>
      <c r="O69" s="4"/>
      <c r="P69" s="4"/>
      <c r="Q69" s="4"/>
      <c r="R69" s="4"/>
      <c r="S69" s="4"/>
      <c r="T69" s="4"/>
      <c r="U69" s="2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I69" s="4"/>
      <c r="AJ69" s="4"/>
      <c r="AK69" s="4"/>
      <c r="AL69" s="4"/>
      <c r="AM69" s="4"/>
      <c r="AN69" s="155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</row>
    <row r="70" spans="1:85" x14ac:dyDescent="0.2">
      <c r="A70" s="4"/>
      <c r="B70" s="19"/>
      <c r="C70" s="150"/>
      <c r="D70" s="4"/>
      <c r="E70" s="24"/>
      <c r="F70" s="4"/>
      <c r="G70" s="4"/>
      <c r="H70" s="4"/>
      <c r="I70" s="4"/>
      <c r="J70" s="4"/>
      <c r="K70" s="4"/>
      <c r="L70" s="4"/>
      <c r="M70" s="24"/>
      <c r="N70" s="4"/>
      <c r="O70" s="4"/>
      <c r="P70" s="4"/>
      <c r="Q70" s="4"/>
      <c r="R70" s="4"/>
      <c r="S70" s="4"/>
      <c r="T70" s="4"/>
      <c r="U70" s="2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I70" s="4"/>
      <c r="AJ70" s="4"/>
      <c r="AK70" s="4"/>
      <c r="AL70" s="4"/>
      <c r="AM70" s="4"/>
      <c r="AN70" s="155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</row>
    <row r="71" spans="1:85" x14ac:dyDescent="0.2">
      <c r="A71" s="4"/>
      <c r="B71" s="19"/>
      <c r="C71" s="4"/>
      <c r="D71" s="4"/>
      <c r="E71" s="24"/>
      <c r="F71" s="4"/>
      <c r="G71" s="4"/>
      <c r="H71" s="4"/>
      <c r="I71" s="4"/>
      <c r="J71" s="4"/>
      <c r="K71" s="4"/>
      <c r="L71" s="4"/>
      <c r="M71" s="24"/>
      <c r="N71" s="4"/>
      <c r="O71" s="4"/>
      <c r="P71" s="4"/>
      <c r="Q71" s="4"/>
      <c r="R71" s="4"/>
      <c r="S71" s="4"/>
      <c r="T71" s="4"/>
      <c r="U71" s="2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I71" s="4"/>
      <c r="AJ71" s="4"/>
      <c r="AK71" s="4"/>
      <c r="AL71" s="4"/>
      <c r="AM71" s="4"/>
      <c r="AN71" s="155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</row>
    <row r="72" spans="1:85" x14ac:dyDescent="0.2">
      <c r="A72" s="4"/>
      <c r="B72" s="19"/>
      <c r="C72" s="4"/>
      <c r="D72" s="4"/>
      <c r="E72" s="24"/>
      <c r="F72" s="4"/>
      <c r="G72" s="4"/>
      <c r="H72" s="4"/>
      <c r="I72" s="4"/>
      <c r="J72" s="4"/>
      <c r="K72" s="4"/>
      <c r="L72" s="4"/>
      <c r="M72" s="24"/>
      <c r="N72" s="4"/>
      <c r="O72" s="4"/>
      <c r="P72" s="4"/>
      <c r="Q72" s="4"/>
      <c r="R72" s="4"/>
      <c r="S72" s="4"/>
      <c r="T72" s="4"/>
      <c r="U72" s="2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I72" s="4"/>
      <c r="AJ72" s="4"/>
      <c r="AK72" s="4"/>
      <c r="AL72" s="4"/>
      <c r="AM72" s="4"/>
      <c r="AN72" s="155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</row>
    <row r="73" spans="1:85" x14ac:dyDescent="0.2">
      <c r="A73" s="4"/>
      <c r="B73" s="19"/>
      <c r="C73" s="4"/>
      <c r="D73" s="4"/>
      <c r="E73" s="24"/>
      <c r="F73" s="4"/>
      <c r="G73" s="4"/>
      <c r="H73" s="4"/>
      <c r="I73" s="4"/>
      <c r="J73" s="4"/>
      <c r="K73" s="4"/>
      <c r="L73" s="4"/>
      <c r="M73" s="24"/>
      <c r="N73" s="4"/>
      <c r="O73" s="4"/>
      <c r="P73" s="4"/>
      <c r="Q73" s="4"/>
      <c r="R73" s="4"/>
      <c r="S73" s="4"/>
      <c r="T73" s="4"/>
      <c r="U73" s="2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I73" s="4"/>
      <c r="AJ73" s="4"/>
      <c r="AK73" s="4"/>
      <c r="AL73" s="4"/>
      <c r="AM73" s="4"/>
      <c r="AN73" s="155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</row>
    <row r="74" spans="1:85" x14ac:dyDescent="0.2">
      <c r="A74" s="4"/>
      <c r="B74" s="19"/>
      <c r="C74" s="4"/>
      <c r="D74" s="4"/>
      <c r="F74" s="4"/>
      <c r="G74" s="4"/>
      <c r="H74" s="4"/>
      <c r="I74" s="4"/>
      <c r="J74" s="4"/>
      <c r="K74" s="4"/>
      <c r="L74" s="4"/>
      <c r="N74" s="4"/>
      <c r="O74" s="4"/>
      <c r="P74" s="4"/>
      <c r="Q74" s="4"/>
      <c r="R74" s="4"/>
      <c r="S74" s="4"/>
      <c r="T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I74" s="4"/>
      <c r="AJ74" s="4"/>
      <c r="AK74" s="4"/>
      <c r="AL74" s="4"/>
      <c r="AM74" s="4"/>
      <c r="AN74" s="155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</row>
    <row r="75" spans="1:85" x14ac:dyDescent="0.2">
      <c r="A75" s="4"/>
      <c r="B75" s="19"/>
      <c r="C75" s="4"/>
      <c r="D75" s="4"/>
      <c r="F75" s="4"/>
      <c r="G75" s="4"/>
      <c r="H75" s="4"/>
      <c r="I75" s="4"/>
      <c r="J75" s="4"/>
      <c r="K75" s="4"/>
      <c r="L75" s="4"/>
      <c r="N75" s="4"/>
      <c r="O75" s="4"/>
      <c r="P75" s="4"/>
      <c r="Q75" s="4"/>
      <c r="R75" s="4"/>
      <c r="S75" s="4"/>
      <c r="T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I75" s="4"/>
      <c r="AJ75" s="4"/>
      <c r="AK75" s="4"/>
      <c r="AL75" s="4"/>
      <c r="AM75" s="4"/>
      <c r="AN75" s="155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</row>
    <row r="76" spans="1:85" x14ac:dyDescent="0.2">
      <c r="A76" s="4"/>
      <c r="B76" s="19"/>
      <c r="C76" s="4"/>
      <c r="D76" s="4"/>
      <c r="F76" s="4"/>
      <c r="G76" s="4"/>
      <c r="H76" s="4"/>
      <c r="I76" s="4"/>
      <c r="J76" s="4"/>
      <c r="K76" s="4"/>
      <c r="L76" s="4"/>
      <c r="N76" s="4"/>
      <c r="O76" s="4"/>
      <c r="P76" s="4"/>
      <c r="Q76" s="4"/>
      <c r="R76" s="4"/>
      <c r="S76" s="4"/>
      <c r="T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I76" s="4"/>
      <c r="AJ76" s="4"/>
      <c r="AK76" s="4"/>
      <c r="AL76" s="4"/>
      <c r="AM76" s="4"/>
      <c r="AN76" s="155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</row>
    <row r="77" spans="1:85" x14ac:dyDescent="0.2">
      <c r="A77" s="4"/>
      <c r="B77" s="19"/>
      <c r="C77" s="4"/>
      <c r="D77" s="4"/>
      <c r="F77" s="4"/>
      <c r="G77" s="4"/>
      <c r="H77" s="4"/>
      <c r="I77" s="4"/>
      <c r="J77" s="4"/>
      <c r="K77" s="4"/>
      <c r="L77" s="4"/>
      <c r="N77" s="4"/>
      <c r="O77" s="4"/>
      <c r="P77" s="4"/>
      <c r="Q77" s="4"/>
      <c r="R77" s="4"/>
      <c r="S77" s="4"/>
      <c r="T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I77" s="4"/>
      <c r="AJ77" s="4"/>
      <c r="AK77" s="4"/>
      <c r="AL77" s="4"/>
      <c r="AM77" s="4"/>
      <c r="AN77" s="155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</row>
    <row r="78" spans="1:85" x14ac:dyDescent="0.2">
      <c r="A78" s="4"/>
      <c r="B78" s="19"/>
      <c r="C78" s="4"/>
      <c r="D78" s="4"/>
      <c r="F78" s="4"/>
      <c r="G78" s="4"/>
      <c r="H78" s="4"/>
      <c r="I78" s="4"/>
      <c r="J78" s="4"/>
      <c r="K78" s="4"/>
      <c r="L78" s="4"/>
      <c r="N78" s="4"/>
      <c r="O78" s="4"/>
      <c r="P78" s="4"/>
      <c r="Q78" s="4"/>
      <c r="R78" s="4"/>
      <c r="S78" s="4"/>
      <c r="T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I78" s="4"/>
      <c r="AJ78" s="4"/>
      <c r="AK78" s="4"/>
      <c r="AL78" s="4"/>
      <c r="AM78" s="4"/>
      <c r="AN78" s="155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</row>
    <row r="79" spans="1:85" x14ac:dyDescent="0.2">
      <c r="A79" s="4"/>
      <c r="B79" s="19"/>
      <c r="C79" s="4"/>
      <c r="D79" s="4"/>
      <c r="F79" s="4"/>
      <c r="G79" s="4"/>
      <c r="H79" s="4"/>
      <c r="I79" s="4"/>
      <c r="J79" s="4"/>
      <c r="K79" s="4"/>
      <c r="L79" s="4"/>
      <c r="N79" s="4"/>
      <c r="O79" s="4"/>
      <c r="P79" s="4"/>
      <c r="Q79" s="4"/>
      <c r="R79" s="4"/>
      <c r="S79" s="4"/>
      <c r="T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I79" s="4"/>
      <c r="AJ79" s="4"/>
      <c r="AK79" s="4"/>
      <c r="AL79" s="4"/>
      <c r="AM79" s="4"/>
      <c r="AN79" s="155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</row>
    <row r="80" spans="1:85" x14ac:dyDescent="0.2">
      <c r="A80" s="4"/>
      <c r="B80" s="19"/>
      <c r="C80" s="4"/>
      <c r="D80" s="4"/>
      <c r="F80" s="4"/>
      <c r="G80" s="4"/>
      <c r="H80" s="4"/>
      <c r="I80" s="4"/>
      <c r="J80" s="4"/>
      <c r="K80" s="4"/>
      <c r="L80" s="4"/>
      <c r="N80" s="4"/>
      <c r="O80" s="4"/>
      <c r="P80" s="4"/>
      <c r="Q80" s="4"/>
      <c r="R80" s="4"/>
      <c r="S80" s="4"/>
      <c r="T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I80" s="4"/>
      <c r="AJ80" s="4"/>
      <c r="AK80" s="4"/>
      <c r="AL80" s="4"/>
      <c r="AM80" s="4"/>
      <c r="AN80" s="155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</row>
    <row r="81" spans="1:85" x14ac:dyDescent="0.2">
      <c r="A81" s="4"/>
      <c r="B81" s="19"/>
      <c r="C81" s="4"/>
      <c r="D81" s="4"/>
      <c r="F81" s="4"/>
      <c r="G81" s="4"/>
      <c r="H81" s="4"/>
      <c r="I81" s="4"/>
      <c r="J81" s="4"/>
      <c r="K81" s="4"/>
      <c r="L81" s="4"/>
      <c r="N81" s="4"/>
      <c r="O81" s="4"/>
      <c r="P81" s="4"/>
      <c r="Q81" s="4"/>
      <c r="R81" s="4"/>
      <c r="S81" s="4"/>
      <c r="T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I81" s="4"/>
      <c r="AJ81" s="4"/>
      <c r="AK81" s="4"/>
      <c r="AL81" s="4"/>
      <c r="AM81" s="4"/>
      <c r="AN81" s="155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</row>
    <row r="82" spans="1:85" x14ac:dyDescent="0.2">
      <c r="A82" s="4"/>
      <c r="B82" s="19"/>
      <c r="C82" s="4"/>
      <c r="D82" s="4"/>
      <c r="F82" s="4"/>
      <c r="G82" s="4"/>
      <c r="H82" s="4"/>
      <c r="I82" s="4"/>
      <c r="J82" s="4"/>
      <c r="K82" s="4"/>
      <c r="L82" s="4"/>
      <c r="N82" s="4"/>
      <c r="O82" s="4"/>
      <c r="P82" s="4"/>
      <c r="Q82" s="4"/>
      <c r="R82" s="4"/>
      <c r="S82" s="4"/>
      <c r="T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I82" s="4"/>
      <c r="AJ82" s="4"/>
      <c r="AK82" s="4"/>
      <c r="AL82" s="4"/>
      <c r="AM82" s="4"/>
      <c r="AN82" s="155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</row>
    <row r="83" spans="1:85" x14ac:dyDescent="0.2">
      <c r="A83" s="4"/>
      <c r="B83" s="19"/>
      <c r="C83" s="4"/>
      <c r="D83" s="4"/>
      <c r="F83" s="4"/>
      <c r="G83" s="4"/>
      <c r="H83" s="4"/>
      <c r="I83" s="4"/>
      <c r="J83" s="4"/>
      <c r="K83" s="4"/>
      <c r="L83" s="4"/>
      <c r="N83" s="4"/>
      <c r="O83" s="4"/>
      <c r="P83" s="4"/>
      <c r="Q83" s="4"/>
      <c r="R83" s="4"/>
      <c r="S83" s="4"/>
      <c r="T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I83" s="4"/>
      <c r="AJ83" s="4"/>
      <c r="AK83" s="4"/>
      <c r="AL83" s="4"/>
      <c r="AM83" s="4"/>
      <c r="AN83" s="155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</row>
    <row r="84" spans="1:85" x14ac:dyDescent="0.2">
      <c r="A84" s="4"/>
      <c r="B84" s="19"/>
      <c r="C84" s="4"/>
      <c r="D84" s="4"/>
      <c r="F84" s="4"/>
      <c r="G84" s="4"/>
      <c r="H84" s="4"/>
      <c r="I84" s="4"/>
      <c r="J84" s="4"/>
      <c r="K84" s="4"/>
      <c r="L84" s="4"/>
      <c r="N84" s="4"/>
      <c r="O84" s="4"/>
      <c r="P84" s="4"/>
      <c r="Q84" s="4"/>
      <c r="R84" s="4"/>
      <c r="S84" s="4"/>
      <c r="T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I84" s="4"/>
      <c r="AJ84" s="4"/>
      <c r="AK84" s="4"/>
      <c r="AL84" s="4"/>
      <c r="AM84" s="4"/>
      <c r="AN84" s="155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</row>
    <row r="85" spans="1:85" x14ac:dyDescent="0.2">
      <c r="A85" s="4"/>
      <c r="B85" s="19"/>
      <c r="C85" s="4"/>
      <c r="D85" s="4"/>
      <c r="F85" s="4"/>
      <c r="G85" s="4"/>
      <c r="H85" s="4"/>
      <c r="I85" s="4"/>
      <c r="J85" s="4"/>
      <c r="K85" s="4"/>
      <c r="L85" s="4"/>
      <c r="N85" s="4"/>
      <c r="O85" s="4"/>
      <c r="P85" s="4"/>
      <c r="Q85" s="4"/>
      <c r="R85" s="4"/>
      <c r="S85" s="4"/>
      <c r="T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I85" s="4"/>
      <c r="AJ85" s="4"/>
      <c r="AK85" s="4"/>
      <c r="AL85" s="4"/>
      <c r="AM85" s="4"/>
      <c r="AN85" s="155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</row>
    <row r="86" spans="1:85" x14ac:dyDescent="0.2">
      <c r="A86" s="4"/>
      <c r="B86" s="19"/>
      <c r="C86" s="4"/>
      <c r="D86" s="4"/>
      <c r="F86" s="4"/>
      <c r="G86" s="4"/>
      <c r="H86" s="4"/>
      <c r="I86" s="4"/>
      <c r="J86" s="4"/>
      <c r="K86" s="4"/>
      <c r="L86" s="4"/>
      <c r="N86" s="4"/>
      <c r="O86" s="4"/>
      <c r="P86" s="4"/>
      <c r="Q86" s="4"/>
      <c r="R86" s="4"/>
      <c r="S86" s="4"/>
      <c r="T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I86" s="4"/>
      <c r="AJ86" s="4"/>
      <c r="AK86" s="4"/>
      <c r="AL86" s="4"/>
      <c r="AM86" s="4"/>
      <c r="AN86" s="155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1:85" x14ac:dyDescent="0.2">
      <c r="A87" s="4"/>
      <c r="B87" s="19"/>
      <c r="C87" s="4"/>
      <c r="D87" s="4"/>
      <c r="F87" s="4"/>
      <c r="G87" s="4"/>
      <c r="H87" s="4"/>
      <c r="I87" s="4"/>
      <c r="J87" s="4"/>
      <c r="K87" s="4"/>
      <c r="L87" s="4"/>
      <c r="N87" s="4"/>
      <c r="O87" s="4"/>
      <c r="P87" s="4"/>
      <c r="Q87" s="4"/>
      <c r="R87" s="4"/>
      <c r="S87" s="4"/>
      <c r="T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I87" s="4"/>
      <c r="AJ87" s="4"/>
      <c r="AK87" s="4"/>
      <c r="AL87" s="4"/>
      <c r="AM87" s="4"/>
      <c r="AN87" s="155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</row>
    <row r="88" spans="1:85" x14ac:dyDescent="0.2">
      <c r="A88" s="4"/>
      <c r="B88" s="19"/>
      <c r="C88" s="4"/>
      <c r="D88" s="4"/>
      <c r="F88" s="4"/>
      <c r="G88" s="4"/>
      <c r="H88" s="4"/>
      <c r="I88" s="4"/>
      <c r="J88" s="4"/>
      <c r="K88" s="4"/>
      <c r="L88" s="4"/>
      <c r="N88" s="4"/>
      <c r="O88" s="4"/>
      <c r="P88" s="4"/>
      <c r="Q88" s="4"/>
      <c r="R88" s="4"/>
      <c r="S88" s="4"/>
      <c r="T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I88" s="4"/>
      <c r="AJ88" s="4"/>
      <c r="AK88" s="4"/>
      <c r="AL88" s="4"/>
      <c r="AM88" s="4"/>
      <c r="AN88" s="155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1:85" x14ac:dyDescent="0.2">
      <c r="A89" s="4"/>
      <c r="B89" s="19"/>
      <c r="C89" s="4"/>
      <c r="D89" s="4"/>
      <c r="F89" s="4"/>
      <c r="G89" s="4"/>
      <c r="H89" s="4"/>
      <c r="I89" s="4"/>
      <c r="J89" s="4"/>
      <c r="K89" s="4"/>
      <c r="L89" s="4"/>
      <c r="N89" s="4"/>
      <c r="O89" s="4"/>
      <c r="P89" s="4"/>
      <c r="Q89" s="4"/>
      <c r="R89" s="4"/>
      <c r="S89" s="4"/>
      <c r="T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I89" s="4"/>
      <c r="AJ89" s="4"/>
      <c r="AK89" s="4"/>
      <c r="AL89" s="4"/>
      <c r="AM89" s="4"/>
      <c r="AN89" s="155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</row>
    <row r="90" spans="1:85" x14ac:dyDescent="0.2">
      <c r="A90" s="4"/>
      <c r="B90" s="19"/>
      <c r="C90" s="4"/>
      <c r="D90" s="4"/>
      <c r="F90" s="4"/>
      <c r="G90" s="4"/>
      <c r="H90" s="4"/>
      <c r="I90" s="4"/>
      <c r="J90" s="4"/>
      <c r="K90" s="4"/>
      <c r="L90" s="4"/>
      <c r="N90" s="4"/>
      <c r="O90" s="4"/>
      <c r="P90" s="4"/>
      <c r="Q90" s="4"/>
      <c r="R90" s="4"/>
      <c r="S90" s="4"/>
      <c r="T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I90" s="4"/>
      <c r="AJ90" s="4"/>
      <c r="AK90" s="4"/>
      <c r="AL90" s="4"/>
      <c r="AM90" s="4"/>
      <c r="AN90" s="155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1:85" x14ac:dyDescent="0.2">
      <c r="A91" s="4"/>
      <c r="B91" s="19"/>
      <c r="C91" s="4"/>
      <c r="D91" s="4"/>
      <c r="F91" s="4"/>
      <c r="G91" s="4"/>
      <c r="H91" s="4"/>
      <c r="I91" s="4"/>
      <c r="J91" s="4"/>
      <c r="K91" s="4"/>
      <c r="L91" s="4"/>
      <c r="N91" s="4"/>
      <c r="O91" s="4"/>
      <c r="P91" s="4"/>
      <c r="Q91" s="4"/>
      <c r="R91" s="4"/>
      <c r="S91" s="4"/>
      <c r="T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I91" s="4"/>
      <c r="AJ91" s="4"/>
      <c r="AK91" s="4"/>
      <c r="AL91" s="4"/>
      <c r="AM91" s="4"/>
      <c r="AN91" s="155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</row>
    <row r="92" spans="1:85" x14ac:dyDescent="0.2">
      <c r="A92" s="4"/>
      <c r="B92" s="19"/>
      <c r="C92" s="4"/>
      <c r="D92" s="4"/>
      <c r="F92" s="4"/>
      <c r="G92" s="4"/>
      <c r="H92" s="4"/>
      <c r="I92" s="4"/>
      <c r="J92" s="4"/>
      <c r="K92" s="4"/>
      <c r="L92" s="4"/>
      <c r="N92" s="4"/>
      <c r="O92" s="4"/>
      <c r="P92" s="4"/>
      <c r="Q92" s="4"/>
      <c r="R92" s="4"/>
      <c r="S92" s="4"/>
      <c r="T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I92" s="4"/>
      <c r="AJ92" s="4"/>
      <c r="AK92" s="4"/>
      <c r="AL92" s="4"/>
      <c r="AM92" s="4"/>
      <c r="AN92" s="155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1:85" x14ac:dyDescent="0.2">
      <c r="A93" s="4"/>
      <c r="B93" s="19"/>
      <c r="C93" s="4"/>
      <c r="D93" s="4"/>
      <c r="F93" s="4"/>
      <c r="G93" s="4"/>
      <c r="H93" s="4"/>
      <c r="I93" s="4"/>
      <c r="J93" s="4"/>
      <c r="K93" s="4"/>
      <c r="L93" s="4"/>
      <c r="N93" s="4"/>
      <c r="O93" s="4"/>
      <c r="P93" s="4"/>
      <c r="Q93" s="4"/>
      <c r="R93" s="4"/>
      <c r="S93" s="4"/>
      <c r="T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I93" s="4"/>
      <c r="AJ93" s="4"/>
      <c r="AK93" s="4"/>
      <c r="AL93" s="4"/>
      <c r="AM93" s="4"/>
      <c r="AN93" s="155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</row>
    <row r="94" spans="1:85" x14ac:dyDescent="0.2">
      <c r="A94" s="4"/>
      <c r="B94" s="19"/>
      <c r="C94" s="4"/>
      <c r="D94" s="4"/>
      <c r="F94" s="4"/>
      <c r="G94" s="4"/>
      <c r="H94" s="4"/>
      <c r="I94" s="4"/>
      <c r="J94" s="4"/>
      <c r="K94" s="4"/>
      <c r="L94" s="4"/>
      <c r="N94" s="4"/>
      <c r="O94" s="4"/>
      <c r="P94" s="4"/>
      <c r="Q94" s="4"/>
      <c r="R94" s="4"/>
      <c r="S94" s="4"/>
      <c r="T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I94" s="4"/>
      <c r="AJ94" s="4"/>
      <c r="AK94" s="4"/>
      <c r="AL94" s="4"/>
      <c r="AM94" s="4"/>
      <c r="AN94" s="155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1:85" x14ac:dyDescent="0.2">
      <c r="A95" s="4"/>
      <c r="B95" s="19"/>
      <c r="C95" s="4"/>
      <c r="D95" s="4"/>
      <c r="F95" s="4"/>
      <c r="G95" s="4"/>
      <c r="H95" s="4"/>
      <c r="I95" s="4"/>
      <c r="J95" s="4"/>
      <c r="K95" s="4"/>
      <c r="L95" s="4"/>
      <c r="N95" s="4"/>
      <c r="O95" s="4"/>
      <c r="P95" s="4"/>
      <c r="Q95" s="4"/>
      <c r="R95" s="4"/>
      <c r="S95" s="4"/>
      <c r="T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I95" s="4"/>
      <c r="AJ95" s="4"/>
      <c r="AK95" s="4"/>
      <c r="AL95" s="4"/>
      <c r="AM95" s="4"/>
      <c r="AN95" s="155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</row>
    <row r="96" spans="1:85" x14ac:dyDescent="0.2">
      <c r="A96" s="4"/>
      <c r="B96" s="19"/>
      <c r="C96" s="4"/>
      <c r="D96" s="4"/>
      <c r="F96" s="4"/>
      <c r="G96" s="4"/>
      <c r="H96" s="4"/>
      <c r="I96" s="4"/>
      <c r="J96" s="4"/>
      <c r="K96" s="4"/>
      <c r="L96" s="4"/>
      <c r="N96" s="4"/>
      <c r="O96" s="4"/>
      <c r="P96" s="4"/>
      <c r="Q96" s="4"/>
      <c r="R96" s="4"/>
      <c r="S96" s="4"/>
      <c r="T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I96" s="4"/>
      <c r="AJ96" s="4"/>
      <c r="AK96" s="4"/>
      <c r="AL96" s="4"/>
      <c r="AM96" s="4"/>
      <c r="AN96" s="155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1:84" x14ac:dyDescent="0.2">
      <c r="A97" s="4"/>
      <c r="B97" s="19"/>
      <c r="C97" s="4"/>
      <c r="D97" s="4"/>
      <c r="F97" s="4"/>
      <c r="G97" s="4"/>
      <c r="H97" s="4"/>
      <c r="I97" s="4"/>
      <c r="J97" s="4"/>
      <c r="K97" s="4"/>
      <c r="L97" s="4"/>
      <c r="N97" s="4"/>
      <c r="O97" s="4"/>
      <c r="P97" s="4"/>
      <c r="Q97" s="4"/>
      <c r="R97" s="4"/>
      <c r="S97" s="4"/>
      <c r="T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I97" s="4"/>
      <c r="AJ97" s="4"/>
      <c r="AK97" s="4"/>
      <c r="AL97" s="4"/>
      <c r="AM97" s="4"/>
      <c r="AN97" s="155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</row>
    <row r="98" spans="1:84" x14ac:dyDescent="0.2">
      <c r="A98" s="4"/>
      <c r="B98" s="19"/>
      <c r="C98" s="4"/>
      <c r="D98" s="4"/>
      <c r="F98" s="4"/>
      <c r="G98" s="4"/>
      <c r="H98" s="4"/>
      <c r="I98" s="4"/>
      <c r="J98" s="4"/>
      <c r="K98" s="4"/>
      <c r="L98" s="4"/>
      <c r="N98" s="4"/>
      <c r="O98" s="4"/>
      <c r="P98" s="4"/>
      <c r="Q98" s="4"/>
      <c r="R98" s="4"/>
      <c r="S98" s="4"/>
      <c r="T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I98" s="4"/>
      <c r="AJ98" s="4"/>
      <c r="AK98" s="4"/>
      <c r="AL98" s="4"/>
      <c r="AM98" s="4"/>
      <c r="AN98" s="155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1:84" x14ac:dyDescent="0.2">
      <c r="A99" s="4"/>
      <c r="B99" s="19"/>
      <c r="C99" s="4"/>
      <c r="D99" s="4"/>
      <c r="F99" s="4"/>
      <c r="G99" s="4"/>
      <c r="H99" s="4"/>
      <c r="I99" s="4"/>
      <c r="J99" s="4"/>
      <c r="K99" s="4"/>
      <c r="L99" s="4"/>
      <c r="N99" s="4"/>
      <c r="O99" s="4"/>
      <c r="P99" s="4"/>
      <c r="Q99" s="4"/>
      <c r="R99" s="4"/>
      <c r="S99" s="4"/>
      <c r="T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I99" s="4"/>
      <c r="AJ99" s="4"/>
      <c r="AK99" s="4"/>
      <c r="AL99" s="4"/>
      <c r="AM99" s="4"/>
      <c r="AN99" s="155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</row>
    <row r="100" spans="1:84" x14ac:dyDescent="0.2">
      <c r="A100" s="4"/>
      <c r="B100" s="19"/>
      <c r="C100" s="4"/>
      <c r="D100" s="4"/>
      <c r="F100" s="4"/>
      <c r="G100" s="4"/>
      <c r="H100" s="4"/>
      <c r="I100" s="4"/>
      <c r="J100" s="4"/>
      <c r="K100" s="4"/>
      <c r="L100" s="4"/>
      <c r="N100" s="4"/>
      <c r="O100" s="4"/>
      <c r="P100" s="4"/>
      <c r="Q100" s="4"/>
      <c r="R100" s="4"/>
      <c r="S100" s="4"/>
      <c r="T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I100" s="4"/>
      <c r="AJ100" s="4"/>
      <c r="AK100" s="4"/>
      <c r="AL100" s="4"/>
      <c r="AM100" s="4"/>
      <c r="AN100" s="155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1:84" x14ac:dyDescent="0.2">
      <c r="A101" s="4"/>
      <c r="B101" s="19"/>
      <c r="C101" s="4"/>
      <c r="D101" s="4"/>
      <c r="F101" s="4"/>
      <c r="G101" s="4"/>
      <c r="H101" s="4"/>
      <c r="I101" s="4"/>
      <c r="J101" s="4"/>
      <c r="K101" s="4"/>
      <c r="L101" s="4"/>
      <c r="N101" s="4"/>
      <c r="O101" s="4"/>
      <c r="P101" s="4"/>
      <c r="Q101" s="4"/>
      <c r="R101" s="4"/>
      <c r="S101" s="4"/>
      <c r="T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I101" s="4"/>
      <c r="AJ101" s="4"/>
      <c r="AK101" s="4"/>
      <c r="AL101" s="4"/>
      <c r="AM101" s="4"/>
      <c r="AN101" s="155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</row>
    <row r="102" spans="1:84" x14ac:dyDescent="0.2">
      <c r="A102" s="4"/>
      <c r="B102" s="19"/>
      <c r="C102" s="4"/>
      <c r="D102" s="4"/>
      <c r="F102" s="4"/>
      <c r="G102" s="4"/>
      <c r="H102" s="4"/>
      <c r="I102" s="4"/>
      <c r="J102" s="4"/>
      <c r="K102" s="4"/>
      <c r="L102" s="4"/>
      <c r="N102" s="4"/>
      <c r="O102" s="4"/>
      <c r="P102" s="4"/>
      <c r="Q102" s="4"/>
      <c r="R102" s="4"/>
      <c r="S102" s="4"/>
      <c r="T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I102" s="4"/>
      <c r="AJ102" s="4"/>
      <c r="AK102" s="4"/>
      <c r="AL102" s="4"/>
      <c r="AM102" s="4"/>
      <c r="AN102" s="155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1:84" x14ac:dyDescent="0.2">
      <c r="A103" s="4"/>
      <c r="B103" s="19"/>
      <c r="C103" s="4"/>
      <c r="D103" s="4"/>
      <c r="F103" s="4"/>
      <c r="G103" s="4"/>
      <c r="H103" s="4"/>
      <c r="I103" s="4"/>
      <c r="J103" s="4"/>
      <c r="K103" s="4"/>
      <c r="L103" s="4"/>
      <c r="N103" s="4"/>
      <c r="O103" s="4"/>
      <c r="P103" s="4"/>
      <c r="Q103" s="4"/>
      <c r="R103" s="4"/>
      <c r="S103" s="4"/>
      <c r="T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I103" s="4"/>
      <c r="AJ103" s="4"/>
      <c r="AK103" s="4"/>
      <c r="AL103" s="4"/>
      <c r="AM103" s="4"/>
      <c r="AN103" s="155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</row>
    <row r="104" spans="1:84" x14ac:dyDescent="0.2">
      <c r="A104" s="4"/>
      <c r="B104" s="19"/>
      <c r="C104" s="4"/>
      <c r="D104" s="4"/>
      <c r="F104" s="4"/>
      <c r="G104" s="4"/>
      <c r="H104" s="4"/>
      <c r="I104" s="4"/>
      <c r="J104" s="4"/>
      <c r="K104" s="4"/>
      <c r="L104" s="4"/>
      <c r="N104" s="4"/>
      <c r="O104" s="4"/>
      <c r="P104" s="4"/>
      <c r="Q104" s="4"/>
      <c r="R104" s="4"/>
      <c r="S104" s="4"/>
      <c r="T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I104" s="4"/>
      <c r="AJ104" s="4"/>
      <c r="AK104" s="4"/>
      <c r="AL104" s="4"/>
      <c r="AM104" s="4"/>
      <c r="AN104" s="155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1:84" x14ac:dyDescent="0.2">
      <c r="A105" s="4"/>
      <c r="B105" s="19"/>
      <c r="C105" s="4"/>
      <c r="D105" s="4"/>
      <c r="F105" s="4"/>
      <c r="G105" s="4"/>
      <c r="H105" s="4"/>
      <c r="I105" s="4"/>
      <c r="J105" s="4"/>
      <c r="K105" s="4"/>
      <c r="L105" s="4"/>
      <c r="N105" s="4"/>
      <c r="O105" s="4"/>
      <c r="P105" s="4"/>
      <c r="Q105" s="4"/>
      <c r="R105" s="4"/>
      <c r="S105" s="4"/>
      <c r="T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I105" s="4"/>
      <c r="AJ105" s="4"/>
      <c r="AK105" s="4"/>
      <c r="AL105" s="4"/>
      <c r="AM105" s="4"/>
      <c r="AN105" s="155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</row>
    <row r="106" spans="1:84" x14ac:dyDescent="0.2">
      <c r="A106" s="4"/>
      <c r="B106" s="19"/>
      <c r="C106" s="4"/>
      <c r="D106" s="4"/>
      <c r="F106" s="4"/>
      <c r="G106" s="4"/>
      <c r="H106" s="4"/>
      <c r="I106" s="4"/>
      <c r="J106" s="4"/>
      <c r="K106" s="4"/>
      <c r="L106" s="4"/>
      <c r="N106" s="4"/>
      <c r="O106" s="4"/>
      <c r="P106" s="4"/>
      <c r="Q106" s="4"/>
      <c r="R106" s="4"/>
      <c r="S106" s="4"/>
      <c r="T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I106" s="4"/>
      <c r="AJ106" s="4"/>
      <c r="AK106" s="4"/>
      <c r="AL106" s="4"/>
      <c r="AM106" s="4"/>
      <c r="AN106" s="155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1:84" x14ac:dyDescent="0.2">
      <c r="A107" s="4"/>
      <c r="B107" s="19"/>
      <c r="C107" s="4"/>
      <c r="D107" s="4"/>
      <c r="F107" s="4"/>
      <c r="G107" s="4"/>
      <c r="H107" s="4"/>
      <c r="I107" s="4"/>
      <c r="J107" s="4"/>
      <c r="K107" s="4"/>
      <c r="L107" s="4"/>
      <c r="N107" s="4"/>
      <c r="O107" s="4"/>
      <c r="P107" s="4"/>
      <c r="Q107" s="4"/>
      <c r="R107" s="4"/>
      <c r="S107" s="4"/>
      <c r="T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I107" s="4"/>
      <c r="AJ107" s="4"/>
      <c r="AK107" s="4"/>
      <c r="AL107" s="4"/>
      <c r="AM107" s="4"/>
      <c r="AN107" s="155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</row>
    <row r="108" spans="1:84" x14ac:dyDescent="0.2">
      <c r="A108" s="4"/>
      <c r="B108" s="19"/>
      <c r="C108" s="4"/>
      <c r="D108" s="4"/>
      <c r="F108" s="4"/>
      <c r="G108" s="4"/>
      <c r="H108" s="4"/>
      <c r="I108" s="4"/>
      <c r="J108" s="4"/>
      <c r="K108" s="4"/>
      <c r="L108" s="4"/>
      <c r="N108" s="4"/>
      <c r="O108" s="4"/>
      <c r="P108" s="4"/>
      <c r="Q108" s="4"/>
      <c r="R108" s="4"/>
      <c r="S108" s="4"/>
      <c r="T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I108" s="4"/>
      <c r="AJ108" s="4"/>
      <c r="AK108" s="4"/>
      <c r="AL108" s="4"/>
      <c r="AM108" s="4"/>
      <c r="AN108" s="155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1:84" x14ac:dyDescent="0.2">
      <c r="A109" s="4"/>
      <c r="B109" s="19"/>
      <c r="C109" s="4"/>
      <c r="D109" s="4"/>
      <c r="F109" s="4"/>
      <c r="G109" s="4"/>
      <c r="H109" s="4"/>
      <c r="I109" s="4"/>
      <c r="J109" s="4"/>
      <c r="K109" s="4"/>
      <c r="L109" s="4"/>
      <c r="N109" s="4"/>
      <c r="O109" s="4"/>
      <c r="P109" s="4"/>
      <c r="Q109" s="4"/>
      <c r="R109" s="4"/>
      <c r="S109" s="4"/>
      <c r="T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I109" s="4"/>
      <c r="AJ109" s="4"/>
      <c r="AK109" s="4"/>
      <c r="AL109" s="4"/>
      <c r="AM109" s="4"/>
      <c r="AN109" s="155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</row>
    <row r="110" spans="1:84" x14ac:dyDescent="0.2">
      <c r="A110" s="4"/>
      <c r="B110" s="19"/>
      <c r="C110" s="4"/>
      <c r="D110" s="4"/>
      <c r="F110" s="4"/>
      <c r="G110" s="4"/>
      <c r="H110" s="4"/>
      <c r="I110" s="4"/>
      <c r="J110" s="4"/>
      <c r="K110" s="4"/>
      <c r="L110" s="4"/>
      <c r="N110" s="4"/>
      <c r="O110" s="4"/>
      <c r="P110" s="4"/>
      <c r="Q110" s="4"/>
      <c r="R110" s="4"/>
      <c r="S110" s="4"/>
      <c r="T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I110" s="4"/>
      <c r="AJ110" s="4"/>
      <c r="AK110" s="4"/>
      <c r="AL110" s="4"/>
      <c r="AM110" s="4"/>
      <c r="AN110" s="155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1:84" x14ac:dyDescent="0.2">
      <c r="A111" s="4"/>
      <c r="B111" s="19"/>
      <c r="C111" s="4"/>
      <c r="D111" s="4"/>
      <c r="F111" s="4"/>
      <c r="G111" s="4"/>
      <c r="H111" s="4"/>
      <c r="I111" s="4"/>
      <c r="J111" s="4"/>
      <c r="K111" s="4"/>
      <c r="L111" s="4"/>
      <c r="N111" s="4"/>
      <c r="O111" s="4"/>
      <c r="P111" s="4"/>
      <c r="Q111" s="4"/>
      <c r="R111" s="4"/>
      <c r="S111" s="4"/>
      <c r="T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I111" s="4"/>
      <c r="AJ111" s="4"/>
      <c r="AK111" s="4"/>
      <c r="AL111" s="4"/>
      <c r="AM111" s="4"/>
      <c r="AN111" s="155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</row>
    <row r="112" spans="1:84" x14ac:dyDescent="0.2">
      <c r="A112" s="4"/>
      <c r="B112" s="19"/>
      <c r="C112" s="4"/>
      <c r="D112" s="4"/>
      <c r="F112" s="4"/>
      <c r="G112" s="4"/>
      <c r="H112" s="4"/>
      <c r="I112" s="4"/>
      <c r="J112" s="4"/>
      <c r="K112" s="4"/>
      <c r="L112" s="4"/>
      <c r="N112" s="4"/>
      <c r="O112" s="4"/>
      <c r="P112" s="4"/>
      <c r="Q112" s="4"/>
      <c r="R112" s="4"/>
      <c r="S112" s="4"/>
      <c r="T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I112" s="4"/>
      <c r="AJ112" s="4"/>
      <c r="AK112" s="4"/>
      <c r="AL112" s="4"/>
      <c r="AM112" s="4"/>
      <c r="AN112" s="155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1:84" x14ac:dyDescent="0.2">
      <c r="A113" s="4"/>
      <c r="B113" s="19"/>
      <c r="C113" s="4"/>
      <c r="D113" s="4"/>
      <c r="F113" s="4"/>
      <c r="G113" s="4"/>
      <c r="H113" s="4"/>
      <c r="I113" s="4"/>
      <c r="J113" s="4"/>
      <c r="K113" s="4"/>
      <c r="L113" s="4"/>
      <c r="N113" s="4"/>
      <c r="O113" s="4"/>
      <c r="P113" s="4"/>
      <c r="Q113" s="4"/>
      <c r="R113" s="4"/>
      <c r="S113" s="4"/>
      <c r="T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I113" s="4"/>
      <c r="AJ113" s="4"/>
      <c r="AK113" s="4"/>
      <c r="AL113" s="4"/>
      <c r="AM113" s="4"/>
      <c r="AN113" s="155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</row>
    <row r="114" spans="1:84" x14ac:dyDescent="0.2">
      <c r="A114" s="4"/>
      <c r="B114" s="19"/>
      <c r="C114" s="4"/>
      <c r="D114" s="4"/>
      <c r="F114" s="4"/>
      <c r="G114" s="4"/>
      <c r="H114" s="4"/>
      <c r="I114" s="4"/>
      <c r="J114" s="4"/>
      <c r="K114" s="4"/>
      <c r="L114" s="4"/>
      <c r="N114" s="4"/>
      <c r="O114" s="4"/>
      <c r="P114" s="4"/>
      <c r="Q114" s="4"/>
      <c r="R114" s="4"/>
      <c r="S114" s="4"/>
      <c r="T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I114" s="4"/>
      <c r="AJ114" s="4"/>
      <c r="AK114" s="4"/>
      <c r="AL114" s="4"/>
      <c r="AM114" s="4"/>
      <c r="AN114" s="155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1:84" x14ac:dyDescent="0.2">
      <c r="A115" s="4"/>
      <c r="B115" s="19"/>
      <c r="C115" s="4"/>
      <c r="D115" s="4"/>
      <c r="F115" s="4"/>
      <c r="G115" s="4"/>
      <c r="H115" s="4"/>
      <c r="I115" s="4"/>
      <c r="J115" s="4"/>
      <c r="K115" s="4"/>
      <c r="L115" s="4"/>
      <c r="N115" s="4"/>
      <c r="O115" s="4"/>
      <c r="P115" s="4"/>
      <c r="Q115" s="4"/>
      <c r="R115" s="4"/>
      <c r="S115" s="4"/>
      <c r="T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I115" s="4"/>
      <c r="AJ115" s="4"/>
      <c r="AK115" s="4"/>
      <c r="AL115" s="4"/>
      <c r="AM115" s="4"/>
      <c r="AN115" s="155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</row>
    <row r="116" spans="1:84" x14ac:dyDescent="0.2">
      <c r="A116" s="4"/>
      <c r="B116" s="19"/>
      <c r="C116" s="4"/>
      <c r="D116" s="4"/>
      <c r="F116" s="4"/>
      <c r="G116" s="4"/>
      <c r="H116" s="4"/>
      <c r="I116" s="4"/>
      <c r="J116" s="4"/>
      <c r="K116" s="4"/>
      <c r="L116" s="4"/>
      <c r="N116" s="4"/>
      <c r="O116" s="4"/>
      <c r="P116" s="4"/>
      <c r="Q116" s="4"/>
      <c r="R116" s="4"/>
      <c r="S116" s="4"/>
      <c r="T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I116" s="4"/>
      <c r="AJ116" s="4"/>
      <c r="AK116" s="4"/>
      <c r="AL116" s="4"/>
      <c r="AM116" s="4"/>
      <c r="AN116" s="155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1:84" x14ac:dyDescent="0.2">
      <c r="A117" s="4"/>
      <c r="B117" s="19"/>
      <c r="C117" s="4"/>
      <c r="D117" s="4"/>
      <c r="F117" s="4"/>
      <c r="G117" s="4"/>
      <c r="H117" s="4"/>
      <c r="I117" s="4"/>
      <c r="J117" s="4"/>
      <c r="K117" s="4"/>
      <c r="L117" s="4"/>
      <c r="N117" s="4"/>
      <c r="O117" s="4"/>
      <c r="P117" s="4"/>
      <c r="Q117" s="4"/>
      <c r="R117" s="4"/>
      <c r="S117" s="4"/>
      <c r="T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I117" s="4"/>
      <c r="AJ117" s="4"/>
      <c r="AK117" s="4"/>
      <c r="AL117" s="4"/>
      <c r="AM117" s="4"/>
      <c r="AN117" s="155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</row>
    <row r="118" spans="1:84" x14ac:dyDescent="0.2">
      <c r="A118" s="4"/>
      <c r="B118" s="19"/>
      <c r="C118" s="4"/>
      <c r="D118" s="4"/>
      <c r="F118" s="4"/>
      <c r="G118" s="4"/>
      <c r="H118" s="4"/>
      <c r="I118" s="4"/>
      <c r="J118" s="4"/>
      <c r="K118" s="4"/>
      <c r="L118" s="4"/>
      <c r="N118" s="4"/>
      <c r="O118" s="4"/>
      <c r="P118" s="4"/>
      <c r="Q118" s="4"/>
      <c r="R118" s="4"/>
      <c r="S118" s="4"/>
      <c r="T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I118" s="4"/>
      <c r="AJ118" s="4"/>
      <c r="AK118" s="4"/>
      <c r="AL118" s="4"/>
      <c r="AM118" s="4"/>
      <c r="AN118" s="155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1:84" x14ac:dyDescent="0.2">
      <c r="A119" s="4"/>
      <c r="B119" s="19"/>
      <c r="C119" s="4"/>
      <c r="D119" s="4"/>
      <c r="F119" s="4"/>
      <c r="G119" s="4"/>
      <c r="H119" s="4"/>
      <c r="I119" s="4"/>
      <c r="J119" s="4"/>
      <c r="K119" s="4"/>
      <c r="L119" s="4"/>
      <c r="N119" s="4"/>
      <c r="O119" s="4"/>
      <c r="P119" s="4"/>
      <c r="Q119" s="4"/>
      <c r="R119" s="4"/>
      <c r="S119" s="4"/>
      <c r="T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I119" s="4"/>
      <c r="AJ119" s="4"/>
      <c r="AK119" s="4"/>
      <c r="AL119" s="4"/>
      <c r="AM119" s="4"/>
      <c r="AN119" s="155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</row>
    <row r="120" spans="1:84" x14ac:dyDescent="0.2">
      <c r="A120" s="4"/>
      <c r="B120" s="19"/>
      <c r="C120" s="4"/>
      <c r="D120" s="4"/>
      <c r="F120" s="4"/>
      <c r="G120" s="4"/>
      <c r="H120" s="4"/>
      <c r="I120" s="4"/>
      <c r="J120" s="4"/>
      <c r="K120" s="4"/>
      <c r="L120" s="4"/>
      <c r="N120" s="4"/>
      <c r="O120" s="4"/>
      <c r="P120" s="4"/>
      <c r="Q120" s="4"/>
      <c r="R120" s="4"/>
      <c r="S120" s="4"/>
      <c r="T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I120" s="4"/>
      <c r="AJ120" s="4"/>
      <c r="AK120" s="4"/>
      <c r="AL120" s="4"/>
      <c r="AM120" s="4"/>
      <c r="AN120" s="155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1:84" x14ac:dyDescent="0.2">
      <c r="A121" s="4"/>
      <c r="B121" s="19"/>
      <c r="C121" s="4"/>
      <c r="D121" s="4"/>
      <c r="F121" s="4"/>
      <c r="G121" s="4"/>
      <c r="H121" s="4"/>
      <c r="I121" s="4"/>
      <c r="J121" s="4"/>
      <c r="K121" s="4"/>
      <c r="L121" s="4"/>
      <c r="N121" s="4"/>
      <c r="O121" s="4"/>
      <c r="P121" s="4"/>
      <c r="Q121" s="4"/>
      <c r="R121" s="4"/>
      <c r="S121" s="4"/>
      <c r="T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I121" s="4"/>
      <c r="AJ121" s="4"/>
      <c r="AK121" s="4"/>
      <c r="AL121" s="4"/>
      <c r="AM121" s="4"/>
      <c r="AN121" s="155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</row>
    <row r="122" spans="1:84" x14ac:dyDescent="0.2">
      <c r="A122" s="4"/>
      <c r="B122" s="19"/>
      <c r="C122" s="4"/>
      <c r="D122" s="4"/>
      <c r="F122" s="4"/>
      <c r="G122" s="4"/>
      <c r="H122" s="4"/>
      <c r="I122" s="4"/>
      <c r="J122" s="4"/>
      <c r="K122" s="4"/>
      <c r="L122" s="4"/>
      <c r="N122" s="4"/>
      <c r="O122" s="4"/>
      <c r="P122" s="4"/>
      <c r="Q122" s="4"/>
      <c r="R122" s="4"/>
      <c r="S122" s="4"/>
      <c r="T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I122" s="4"/>
      <c r="AJ122" s="4"/>
      <c r="AK122" s="4"/>
      <c r="AL122" s="4"/>
      <c r="AM122" s="4"/>
      <c r="AN122" s="155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1:84" x14ac:dyDescent="0.2">
      <c r="A123" s="4"/>
      <c r="B123" s="19"/>
      <c r="C123" s="4"/>
      <c r="D123" s="4"/>
      <c r="F123" s="4"/>
      <c r="G123" s="4"/>
      <c r="H123" s="4"/>
      <c r="I123" s="4"/>
      <c r="J123" s="4"/>
      <c r="K123" s="4"/>
      <c r="L123" s="4"/>
      <c r="N123" s="4"/>
      <c r="O123" s="4"/>
      <c r="P123" s="4"/>
      <c r="Q123" s="4"/>
      <c r="R123" s="4"/>
      <c r="S123" s="4"/>
      <c r="T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I123" s="4"/>
      <c r="AJ123" s="4"/>
      <c r="AK123" s="4"/>
      <c r="AL123" s="4"/>
      <c r="AM123" s="4"/>
      <c r="AN123" s="155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</row>
    <row r="124" spans="1:84" x14ac:dyDescent="0.2">
      <c r="A124" s="4"/>
      <c r="B124" s="19"/>
      <c r="C124" s="4"/>
      <c r="D124" s="4"/>
      <c r="F124" s="4"/>
      <c r="G124" s="4"/>
      <c r="H124" s="4"/>
      <c r="I124" s="4"/>
      <c r="J124" s="4"/>
      <c r="K124" s="4"/>
      <c r="L124" s="4"/>
      <c r="N124" s="4"/>
      <c r="O124" s="4"/>
      <c r="P124" s="4"/>
      <c r="Q124" s="4"/>
      <c r="R124" s="4"/>
      <c r="S124" s="4"/>
      <c r="T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I124" s="4"/>
      <c r="AJ124" s="4"/>
      <c r="AK124" s="4"/>
      <c r="AL124" s="4"/>
      <c r="AM124" s="4"/>
      <c r="AN124" s="155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1:84" x14ac:dyDescent="0.2">
      <c r="A125" s="4"/>
      <c r="B125" s="19"/>
      <c r="C125" s="4"/>
      <c r="D125" s="4"/>
      <c r="F125" s="4"/>
      <c r="G125" s="4"/>
      <c r="H125" s="4"/>
      <c r="I125" s="4"/>
      <c r="J125" s="4"/>
      <c r="K125" s="4"/>
      <c r="L125" s="4"/>
      <c r="N125" s="4"/>
      <c r="O125" s="4"/>
      <c r="P125" s="4"/>
      <c r="Q125" s="4"/>
      <c r="R125" s="4"/>
      <c r="S125" s="4"/>
      <c r="T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I125" s="4"/>
      <c r="AJ125" s="4"/>
      <c r="AK125" s="4"/>
      <c r="AL125" s="4"/>
      <c r="AM125" s="4"/>
      <c r="AN125" s="155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</row>
    <row r="126" spans="1:84" x14ac:dyDescent="0.2">
      <c r="A126" s="4"/>
      <c r="B126" s="19"/>
      <c r="C126" s="4"/>
      <c r="D126" s="4"/>
      <c r="F126" s="4"/>
      <c r="G126" s="4"/>
      <c r="H126" s="4"/>
      <c r="I126" s="4"/>
      <c r="J126" s="4"/>
      <c r="K126" s="4"/>
      <c r="L126" s="4"/>
      <c r="N126" s="4"/>
      <c r="O126" s="4"/>
      <c r="P126" s="4"/>
      <c r="Q126" s="4"/>
      <c r="R126" s="4"/>
      <c r="S126" s="4"/>
      <c r="T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I126" s="4"/>
      <c r="AJ126" s="4"/>
      <c r="AK126" s="4"/>
      <c r="AL126" s="4"/>
      <c r="AM126" s="4"/>
      <c r="AN126" s="155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1:84" x14ac:dyDescent="0.2">
      <c r="A127" s="4"/>
      <c r="B127" s="19"/>
      <c r="C127" s="4"/>
      <c r="D127" s="4"/>
      <c r="F127" s="4"/>
      <c r="G127" s="4"/>
      <c r="H127" s="4"/>
      <c r="I127" s="4"/>
      <c r="J127" s="4"/>
      <c r="K127" s="4"/>
      <c r="L127" s="4"/>
      <c r="N127" s="4"/>
      <c r="O127" s="4"/>
      <c r="P127" s="4"/>
      <c r="Q127" s="4"/>
      <c r="R127" s="4"/>
      <c r="S127" s="4"/>
      <c r="T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I127" s="4"/>
      <c r="AJ127" s="4"/>
      <c r="AK127" s="4"/>
      <c r="AL127" s="4"/>
      <c r="AM127" s="4"/>
      <c r="AN127" s="155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</row>
    <row r="128" spans="1:84" x14ac:dyDescent="0.2">
      <c r="A128" s="4"/>
      <c r="B128" s="19"/>
      <c r="C128" s="4"/>
      <c r="D128" s="4"/>
      <c r="F128" s="4"/>
      <c r="G128" s="4"/>
      <c r="H128" s="4"/>
      <c r="I128" s="4"/>
      <c r="J128" s="4"/>
      <c r="K128" s="4"/>
      <c r="L128" s="4"/>
      <c r="N128" s="4"/>
      <c r="O128" s="4"/>
      <c r="P128" s="4"/>
      <c r="Q128" s="4"/>
      <c r="R128" s="4"/>
      <c r="S128" s="4"/>
      <c r="T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I128" s="4"/>
      <c r="AJ128" s="4"/>
      <c r="AK128" s="4"/>
      <c r="AL128" s="4"/>
      <c r="AM128" s="4"/>
      <c r="AN128" s="155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1:84" x14ac:dyDescent="0.2">
      <c r="A129" s="4"/>
      <c r="B129" s="19"/>
      <c r="C129" s="4"/>
      <c r="D129" s="4"/>
      <c r="F129" s="4"/>
      <c r="G129" s="4"/>
      <c r="H129" s="4"/>
      <c r="I129" s="4"/>
      <c r="J129" s="4"/>
      <c r="K129" s="4"/>
      <c r="L129" s="4"/>
      <c r="N129" s="4"/>
      <c r="O129" s="4"/>
      <c r="P129" s="4"/>
      <c r="Q129" s="4"/>
      <c r="R129" s="4"/>
      <c r="S129" s="4"/>
      <c r="T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I129" s="4"/>
      <c r="AJ129" s="4"/>
      <c r="AK129" s="4"/>
      <c r="AL129" s="4"/>
      <c r="AM129" s="4"/>
      <c r="AN129" s="155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</row>
    <row r="130" spans="1:84" x14ac:dyDescent="0.2">
      <c r="A130" s="4"/>
      <c r="B130" s="19"/>
      <c r="C130" s="4"/>
      <c r="D130" s="4"/>
      <c r="F130" s="4"/>
      <c r="G130" s="4"/>
      <c r="H130" s="4"/>
      <c r="I130" s="4"/>
      <c r="J130" s="4"/>
      <c r="K130" s="4"/>
      <c r="L130" s="4"/>
      <c r="N130" s="4"/>
      <c r="O130" s="4"/>
      <c r="P130" s="4"/>
      <c r="Q130" s="4"/>
      <c r="R130" s="4"/>
      <c r="S130" s="4"/>
      <c r="T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I130" s="4"/>
      <c r="AJ130" s="4"/>
      <c r="AK130" s="4"/>
      <c r="AL130" s="4"/>
      <c r="AM130" s="4"/>
      <c r="AN130" s="155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1:84" x14ac:dyDescent="0.2">
      <c r="A131" s="4"/>
      <c r="B131" s="19"/>
      <c r="C131" s="4"/>
      <c r="D131" s="4"/>
      <c r="F131" s="4"/>
      <c r="G131" s="4"/>
      <c r="H131" s="4"/>
      <c r="I131" s="4"/>
      <c r="J131" s="4"/>
      <c r="K131" s="4"/>
      <c r="L131" s="4"/>
      <c r="N131" s="4"/>
      <c r="O131" s="4"/>
      <c r="P131" s="4"/>
      <c r="Q131" s="4"/>
      <c r="R131" s="4"/>
      <c r="S131" s="4"/>
      <c r="T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I131" s="4"/>
      <c r="AJ131" s="4"/>
      <c r="AK131" s="4"/>
      <c r="AL131" s="4"/>
      <c r="AM131" s="4"/>
      <c r="AN131" s="155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</row>
    <row r="132" spans="1:84" x14ac:dyDescent="0.2">
      <c r="A132" s="4"/>
      <c r="B132" s="19"/>
      <c r="C132" s="4"/>
      <c r="D132" s="4"/>
      <c r="F132" s="4"/>
      <c r="G132" s="4"/>
      <c r="H132" s="4"/>
      <c r="I132" s="4"/>
      <c r="J132" s="4"/>
      <c r="K132" s="4"/>
      <c r="L132" s="4"/>
      <c r="N132" s="4"/>
      <c r="O132" s="4"/>
      <c r="P132" s="4"/>
      <c r="Q132" s="4"/>
      <c r="R132" s="4"/>
      <c r="S132" s="4"/>
      <c r="T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I132" s="4"/>
      <c r="AJ132" s="4"/>
      <c r="AK132" s="4"/>
      <c r="AL132" s="4"/>
      <c r="AM132" s="4"/>
      <c r="AN132" s="155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1:84" x14ac:dyDescent="0.2">
      <c r="A133" s="4"/>
      <c r="B133" s="19"/>
      <c r="C133" s="4"/>
      <c r="D133" s="4"/>
      <c r="F133" s="4"/>
      <c r="G133" s="4"/>
      <c r="H133" s="4"/>
      <c r="I133" s="4"/>
      <c r="J133" s="4"/>
      <c r="K133" s="4"/>
      <c r="L133" s="4"/>
      <c r="N133" s="4"/>
      <c r="O133" s="4"/>
      <c r="P133" s="4"/>
      <c r="Q133" s="4"/>
      <c r="R133" s="4"/>
      <c r="S133" s="4"/>
      <c r="T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I133" s="4"/>
      <c r="AJ133" s="4"/>
      <c r="AK133" s="4"/>
      <c r="AL133" s="4"/>
      <c r="AM133" s="4"/>
      <c r="AN133" s="155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</row>
    <row r="134" spans="1:84" x14ac:dyDescent="0.2">
      <c r="A134" s="4"/>
      <c r="B134" s="19"/>
      <c r="C134" s="4"/>
      <c r="D134" s="4"/>
      <c r="F134" s="4"/>
      <c r="G134" s="4"/>
      <c r="H134" s="4"/>
      <c r="I134" s="4"/>
      <c r="J134" s="4"/>
      <c r="K134" s="4"/>
      <c r="L134" s="4"/>
      <c r="N134" s="4"/>
      <c r="O134" s="4"/>
      <c r="P134" s="4"/>
      <c r="Q134" s="4"/>
      <c r="R134" s="4"/>
      <c r="S134" s="4"/>
      <c r="T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I134" s="4"/>
      <c r="AJ134" s="4"/>
      <c r="AK134" s="4"/>
      <c r="AL134" s="4"/>
      <c r="AM134" s="4"/>
      <c r="AN134" s="155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1:84" x14ac:dyDescent="0.2">
      <c r="A135" s="4"/>
      <c r="B135" s="19"/>
      <c r="C135" s="4"/>
      <c r="D135" s="4"/>
      <c r="F135" s="4"/>
      <c r="G135" s="4"/>
      <c r="H135" s="4"/>
      <c r="I135" s="4"/>
      <c r="J135" s="4"/>
      <c r="K135" s="4"/>
      <c r="L135" s="4"/>
      <c r="N135" s="4"/>
      <c r="O135" s="4"/>
      <c r="P135" s="4"/>
      <c r="Q135" s="4"/>
      <c r="R135" s="4"/>
      <c r="S135" s="4"/>
      <c r="T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I135" s="4"/>
      <c r="AJ135" s="4"/>
      <c r="AK135" s="4"/>
      <c r="AL135" s="4"/>
      <c r="AM135" s="4"/>
      <c r="AN135" s="155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</row>
    <row r="136" spans="1:84" x14ac:dyDescent="0.2">
      <c r="A136" s="4"/>
      <c r="B136" s="19"/>
      <c r="C136" s="4"/>
      <c r="D136" s="4"/>
      <c r="F136" s="4"/>
      <c r="G136" s="4"/>
      <c r="H136" s="4"/>
      <c r="I136" s="4"/>
      <c r="J136" s="4"/>
      <c r="K136" s="4"/>
      <c r="L136" s="4"/>
      <c r="N136" s="4"/>
      <c r="O136" s="4"/>
      <c r="P136" s="4"/>
      <c r="Q136" s="4"/>
      <c r="R136" s="4"/>
      <c r="S136" s="4"/>
      <c r="T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I136" s="4"/>
      <c r="AJ136" s="4"/>
      <c r="AK136" s="4"/>
      <c r="AL136" s="4"/>
      <c r="AM136" s="4"/>
      <c r="AN136" s="155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1:84" x14ac:dyDescent="0.2">
      <c r="A137" s="4"/>
      <c r="B137" s="19"/>
      <c r="C137" s="4"/>
      <c r="D137" s="4"/>
      <c r="F137" s="4"/>
      <c r="G137" s="4"/>
      <c r="H137" s="4"/>
      <c r="I137" s="4"/>
      <c r="J137" s="4"/>
      <c r="K137" s="4"/>
      <c r="L137" s="4"/>
      <c r="N137" s="4"/>
      <c r="O137" s="4"/>
      <c r="P137" s="4"/>
      <c r="Q137" s="4"/>
      <c r="R137" s="4"/>
      <c r="S137" s="4"/>
      <c r="T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I137" s="4"/>
      <c r="AJ137" s="4"/>
      <c r="AK137" s="4"/>
      <c r="AL137" s="4"/>
      <c r="AM137" s="4"/>
      <c r="AN137" s="155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</row>
    <row r="138" spans="1:84" x14ac:dyDescent="0.2">
      <c r="A138" s="4"/>
      <c r="B138" s="19"/>
      <c r="C138" s="4"/>
      <c r="D138" s="4"/>
      <c r="F138" s="4"/>
      <c r="G138" s="4"/>
      <c r="H138" s="4"/>
      <c r="I138" s="4"/>
      <c r="J138" s="4"/>
      <c r="K138" s="4"/>
      <c r="L138" s="4"/>
      <c r="N138" s="4"/>
      <c r="O138" s="4"/>
      <c r="P138" s="4"/>
      <c r="Q138" s="4"/>
      <c r="R138" s="4"/>
      <c r="S138" s="4"/>
      <c r="T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I138" s="4"/>
      <c r="AJ138" s="4"/>
      <c r="AK138" s="4"/>
      <c r="AL138" s="4"/>
      <c r="AM138" s="4"/>
      <c r="AN138" s="155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1:84" x14ac:dyDescent="0.2">
      <c r="A139" s="4"/>
      <c r="B139" s="19"/>
      <c r="C139" s="4"/>
      <c r="D139" s="4"/>
      <c r="F139" s="4"/>
      <c r="G139" s="4"/>
      <c r="H139" s="4"/>
      <c r="I139" s="4"/>
      <c r="J139" s="4"/>
      <c r="K139" s="4"/>
      <c r="L139" s="4"/>
      <c r="N139" s="4"/>
      <c r="O139" s="4"/>
      <c r="P139" s="4"/>
      <c r="Q139" s="4"/>
      <c r="R139" s="4"/>
      <c r="S139" s="4"/>
      <c r="T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I139" s="4"/>
      <c r="AJ139" s="4"/>
      <c r="AK139" s="4"/>
      <c r="AL139" s="4"/>
      <c r="AM139" s="4"/>
      <c r="AN139" s="155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</row>
    <row r="140" spans="1:84" x14ac:dyDescent="0.2">
      <c r="A140" s="4"/>
      <c r="B140" s="19"/>
      <c r="C140" s="4"/>
      <c r="D140" s="4"/>
      <c r="F140" s="4"/>
      <c r="G140" s="4"/>
      <c r="H140" s="4"/>
      <c r="I140" s="4"/>
      <c r="J140" s="4"/>
      <c r="K140" s="4"/>
      <c r="L140" s="4"/>
      <c r="N140" s="4"/>
      <c r="O140" s="4"/>
      <c r="P140" s="4"/>
      <c r="Q140" s="4"/>
      <c r="R140" s="4"/>
      <c r="S140" s="4"/>
      <c r="T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I140" s="4"/>
      <c r="AJ140" s="4"/>
      <c r="AK140" s="4"/>
      <c r="AL140" s="4"/>
      <c r="AM140" s="4"/>
      <c r="AN140" s="155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1:84" x14ac:dyDescent="0.2">
      <c r="A141" s="4"/>
      <c r="B141" s="19"/>
      <c r="C141" s="4"/>
      <c r="D141" s="4"/>
      <c r="F141" s="4"/>
      <c r="G141" s="4"/>
      <c r="H141" s="4"/>
      <c r="I141" s="4"/>
      <c r="J141" s="4"/>
      <c r="K141" s="4"/>
      <c r="L141" s="4"/>
      <c r="N141" s="4"/>
      <c r="O141" s="4"/>
      <c r="P141" s="4"/>
      <c r="Q141" s="4"/>
      <c r="R141" s="4"/>
      <c r="S141" s="4"/>
      <c r="T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I141" s="4"/>
      <c r="AJ141" s="4"/>
      <c r="AK141" s="4"/>
      <c r="AL141" s="4"/>
      <c r="AM141" s="4"/>
      <c r="AN141" s="155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</row>
    <row r="142" spans="1:84" x14ac:dyDescent="0.2">
      <c r="A142" s="4"/>
      <c r="B142" s="19"/>
      <c r="C142" s="4"/>
      <c r="D142" s="4"/>
      <c r="F142" s="4"/>
      <c r="G142" s="4"/>
      <c r="H142" s="4"/>
      <c r="I142" s="4"/>
      <c r="J142" s="4"/>
      <c r="K142" s="4"/>
      <c r="L142" s="4"/>
      <c r="N142" s="4"/>
      <c r="O142" s="4"/>
      <c r="P142" s="4"/>
      <c r="Q142" s="4"/>
      <c r="R142" s="4"/>
      <c r="S142" s="4"/>
      <c r="T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I142" s="4"/>
      <c r="AJ142" s="4"/>
      <c r="AK142" s="4"/>
      <c r="AL142" s="4"/>
      <c r="AM142" s="4"/>
      <c r="AN142" s="155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1:84" x14ac:dyDescent="0.2">
      <c r="A143" s="4"/>
      <c r="B143" s="19"/>
      <c r="C143" s="4"/>
      <c r="D143" s="4"/>
      <c r="F143" s="4"/>
      <c r="G143" s="4"/>
      <c r="H143" s="4"/>
      <c r="I143" s="4"/>
      <c r="J143" s="4"/>
      <c r="K143" s="4"/>
      <c r="L143" s="4"/>
      <c r="N143" s="4"/>
      <c r="O143" s="4"/>
      <c r="P143" s="4"/>
      <c r="Q143" s="4"/>
      <c r="R143" s="4"/>
      <c r="S143" s="4"/>
      <c r="T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I143" s="4"/>
      <c r="AJ143" s="4"/>
      <c r="AK143" s="4"/>
      <c r="AL143" s="4"/>
      <c r="AM143" s="4"/>
      <c r="AN143" s="155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</row>
    <row r="144" spans="1:84" x14ac:dyDescent="0.2">
      <c r="A144" s="4"/>
      <c r="B144" s="19"/>
      <c r="C144" s="4"/>
      <c r="D144" s="4"/>
      <c r="F144" s="4"/>
      <c r="G144" s="4"/>
      <c r="H144" s="4"/>
      <c r="I144" s="4"/>
      <c r="J144" s="4"/>
      <c r="K144" s="4"/>
      <c r="L144" s="4"/>
      <c r="N144" s="4"/>
      <c r="O144" s="4"/>
      <c r="P144" s="4"/>
      <c r="Q144" s="4"/>
      <c r="R144" s="4"/>
      <c r="S144" s="4"/>
      <c r="T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I144" s="4"/>
      <c r="AJ144" s="4"/>
      <c r="AK144" s="4"/>
      <c r="AL144" s="4"/>
      <c r="AM144" s="4"/>
      <c r="AN144" s="155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1:84" x14ac:dyDescent="0.2">
      <c r="A145" s="4"/>
      <c r="B145" s="19"/>
      <c r="C145" s="4"/>
      <c r="D145" s="4"/>
      <c r="F145" s="4"/>
      <c r="G145" s="4"/>
      <c r="H145" s="4"/>
      <c r="I145" s="4"/>
      <c r="J145" s="4"/>
      <c r="K145" s="4"/>
      <c r="L145" s="4"/>
      <c r="N145" s="4"/>
      <c r="O145" s="4"/>
      <c r="P145" s="4"/>
      <c r="Q145" s="4"/>
      <c r="R145" s="4"/>
      <c r="S145" s="4"/>
      <c r="T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I145" s="4"/>
      <c r="AJ145" s="4"/>
      <c r="AK145" s="4"/>
      <c r="AL145" s="4"/>
      <c r="AM145" s="4"/>
      <c r="AN145" s="155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</row>
    <row r="146" spans="1:84" x14ac:dyDescent="0.2">
      <c r="A146" s="4"/>
      <c r="B146" s="19"/>
      <c r="C146" s="4"/>
      <c r="D146" s="4"/>
      <c r="F146" s="4"/>
      <c r="G146" s="4"/>
      <c r="H146" s="4"/>
      <c r="I146" s="4"/>
      <c r="J146" s="4"/>
      <c r="K146" s="4"/>
      <c r="L146" s="4"/>
      <c r="N146" s="4"/>
      <c r="O146" s="4"/>
      <c r="P146" s="4"/>
      <c r="Q146" s="4"/>
      <c r="R146" s="4"/>
      <c r="S146" s="4"/>
      <c r="T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I146" s="4"/>
      <c r="AJ146" s="4"/>
      <c r="AK146" s="4"/>
      <c r="AL146" s="4"/>
      <c r="AM146" s="4"/>
      <c r="AN146" s="155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1:84" x14ac:dyDescent="0.2">
      <c r="A147" s="4"/>
      <c r="B147" s="19"/>
      <c r="C147" s="4"/>
      <c r="D147" s="4"/>
      <c r="F147" s="4"/>
      <c r="G147" s="4"/>
      <c r="H147" s="4"/>
      <c r="I147" s="4"/>
      <c r="J147" s="4"/>
      <c r="K147" s="4"/>
      <c r="L147" s="4"/>
      <c r="N147" s="4"/>
      <c r="O147" s="4"/>
      <c r="P147" s="4"/>
      <c r="Q147" s="4"/>
      <c r="R147" s="4"/>
      <c r="S147" s="4"/>
      <c r="T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I147" s="4"/>
      <c r="AJ147" s="4"/>
      <c r="AK147" s="4"/>
      <c r="AL147" s="4"/>
      <c r="AM147" s="4"/>
      <c r="AN147" s="155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</row>
    <row r="148" spans="1:84" x14ac:dyDescent="0.2">
      <c r="A148" s="4"/>
      <c r="B148" s="19"/>
      <c r="C148" s="4"/>
      <c r="D148" s="4"/>
      <c r="F148" s="4"/>
      <c r="G148" s="4"/>
      <c r="H148" s="4"/>
      <c r="I148" s="4"/>
      <c r="J148" s="4"/>
      <c r="K148" s="4"/>
      <c r="L148" s="4"/>
      <c r="N148" s="4"/>
      <c r="O148" s="4"/>
      <c r="P148" s="4"/>
      <c r="Q148" s="4"/>
      <c r="R148" s="4"/>
      <c r="S148" s="4"/>
      <c r="T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I148" s="4"/>
      <c r="AJ148" s="4"/>
      <c r="AK148" s="4"/>
      <c r="AL148" s="4"/>
      <c r="AM148" s="4"/>
      <c r="AN148" s="155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1:84" x14ac:dyDescent="0.2">
      <c r="A149" s="4"/>
      <c r="B149" s="19"/>
      <c r="C149" s="4"/>
      <c r="D149" s="4"/>
      <c r="F149" s="4"/>
      <c r="G149" s="4"/>
      <c r="H149" s="4"/>
      <c r="I149" s="4"/>
      <c r="J149" s="4"/>
      <c r="K149" s="4"/>
      <c r="L149" s="4"/>
      <c r="N149" s="4"/>
      <c r="O149" s="4"/>
      <c r="P149" s="4"/>
      <c r="Q149" s="4"/>
      <c r="R149" s="4"/>
      <c r="S149" s="4"/>
      <c r="T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I149" s="4"/>
      <c r="AJ149" s="4"/>
      <c r="AK149" s="4"/>
      <c r="AL149" s="4"/>
      <c r="AM149" s="4"/>
      <c r="AN149" s="155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</row>
    <row r="150" spans="1:84" x14ac:dyDescent="0.2">
      <c r="A150" s="4"/>
      <c r="B150" s="19"/>
      <c r="C150" s="4"/>
      <c r="D150" s="4"/>
      <c r="F150" s="4"/>
      <c r="G150" s="4"/>
      <c r="H150" s="4"/>
      <c r="I150" s="4"/>
      <c r="J150" s="4"/>
      <c r="K150" s="4"/>
      <c r="L150" s="4"/>
      <c r="N150" s="4"/>
      <c r="O150" s="4"/>
      <c r="P150" s="4"/>
      <c r="Q150" s="4"/>
      <c r="R150" s="4"/>
      <c r="S150" s="4"/>
      <c r="T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I150" s="4"/>
      <c r="AJ150" s="4"/>
      <c r="AK150" s="4"/>
      <c r="AL150" s="4"/>
      <c r="AM150" s="4"/>
      <c r="AN150" s="155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1:84" x14ac:dyDescent="0.2">
      <c r="A151" s="4"/>
      <c r="B151" s="19"/>
      <c r="C151" s="4"/>
      <c r="D151" s="4"/>
      <c r="F151" s="4"/>
      <c r="G151" s="4"/>
      <c r="H151" s="4"/>
      <c r="I151" s="4"/>
      <c r="J151" s="4"/>
      <c r="K151" s="4"/>
      <c r="L151" s="4"/>
      <c r="N151" s="4"/>
      <c r="O151" s="4"/>
      <c r="P151" s="4"/>
      <c r="Q151" s="4"/>
      <c r="R151" s="4"/>
      <c r="S151" s="4"/>
      <c r="T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I151" s="4"/>
      <c r="AJ151" s="4"/>
      <c r="AK151" s="4"/>
      <c r="AL151" s="4"/>
      <c r="AM151" s="4"/>
      <c r="AN151" s="155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</row>
    <row r="152" spans="1:84" x14ac:dyDescent="0.2">
      <c r="A152" s="4"/>
      <c r="B152" s="19"/>
      <c r="C152" s="4"/>
      <c r="D152" s="4"/>
      <c r="F152" s="4"/>
      <c r="G152" s="4"/>
      <c r="H152" s="4"/>
      <c r="I152" s="4"/>
      <c r="J152" s="4"/>
      <c r="K152" s="4"/>
      <c r="L152" s="4"/>
      <c r="N152" s="4"/>
      <c r="O152" s="4"/>
      <c r="P152" s="4"/>
      <c r="Q152" s="4"/>
      <c r="R152" s="4"/>
      <c r="S152" s="4"/>
      <c r="T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I152" s="4"/>
      <c r="AJ152" s="4"/>
      <c r="AK152" s="4"/>
      <c r="AL152" s="4"/>
      <c r="AM152" s="4"/>
      <c r="AN152" s="155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1:84" x14ac:dyDescent="0.2">
      <c r="A153" s="4"/>
      <c r="B153" s="19"/>
      <c r="C153" s="4"/>
      <c r="D153" s="4"/>
      <c r="F153" s="4"/>
      <c r="G153" s="4"/>
      <c r="H153" s="4"/>
      <c r="I153" s="4"/>
      <c r="J153" s="4"/>
      <c r="K153" s="4"/>
      <c r="L153" s="4"/>
      <c r="N153" s="4"/>
      <c r="O153" s="4"/>
      <c r="P153" s="4"/>
      <c r="Q153" s="4"/>
      <c r="R153" s="4"/>
      <c r="S153" s="4"/>
      <c r="T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I153" s="4"/>
      <c r="AJ153" s="4"/>
      <c r="AK153" s="4"/>
      <c r="AL153" s="4"/>
      <c r="AM153" s="4"/>
      <c r="AN153" s="155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</row>
    <row r="154" spans="1:84" x14ac:dyDescent="0.2">
      <c r="A154" s="4"/>
      <c r="B154" s="19"/>
      <c r="C154" s="4"/>
      <c r="D154" s="4"/>
      <c r="F154" s="4"/>
      <c r="G154" s="4"/>
      <c r="H154" s="4"/>
      <c r="I154" s="4"/>
      <c r="J154" s="4"/>
      <c r="K154" s="4"/>
      <c r="L154" s="4"/>
      <c r="N154" s="4"/>
      <c r="O154" s="4"/>
      <c r="P154" s="4"/>
      <c r="Q154" s="4"/>
      <c r="R154" s="4"/>
      <c r="S154" s="4"/>
      <c r="T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I154" s="4"/>
      <c r="AJ154" s="4"/>
      <c r="AK154" s="4"/>
      <c r="AL154" s="4"/>
      <c r="AM154" s="4"/>
      <c r="AN154" s="155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1:84" x14ac:dyDescent="0.2">
      <c r="A155" s="4"/>
      <c r="B155" s="19"/>
      <c r="C155" s="4"/>
      <c r="D155" s="4"/>
      <c r="F155" s="4"/>
      <c r="G155" s="4"/>
      <c r="H155" s="4"/>
      <c r="I155" s="4"/>
      <c r="J155" s="4"/>
      <c r="K155" s="4"/>
      <c r="L155" s="4"/>
      <c r="N155" s="4"/>
      <c r="O155" s="4"/>
      <c r="P155" s="4"/>
      <c r="Q155" s="4"/>
      <c r="R155" s="4"/>
      <c r="S155" s="4"/>
      <c r="T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I155" s="4"/>
      <c r="AJ155" s="4"/>
      <c r="AK155" s="4"/>
      <c r="AL155" s="4"/>
      <c r="AM155" s="4"/>
      <c r="AN155" s="155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</row>
    <row r="156" spans="1:84" x14ac:dyDescent="0.2">
      <c r="A156" s="4"/>
      <c r="B156" s="19"/>
      <c r="C156" s="4"/>
      <c r="D156" s="4"/>
      <c r="F156" s="4"/>
      <c r="G156" s="4"/>
      <c r="H156" s="4"/>
      <c r="I156" s="4"/>
      <c r="J156" s="4"/>
      <c r="K156" s="4"/>
      <c r="L156" s="4"/>
      <c r="N156" s="4"/>
      <c r="O156" s="4"/>
      <c r="P156" s="4"/>
      <c r="Q156" s="4"/>
      <c r="R156" s="4"/>
      <c r="S156" s="4"/>
      <c r="T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I156" s="4"/>
      <c r="AJ156" s="4"/>
      <c r="AK156" s="4"/>
      <c r="AL156" s="4"/>
      <c r="AM156" s="4"/>
      <c r="AN156" s="155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1:84" x14ac:dyDescent="0.2">
      <c r="A157" s="4"/>
      <c r="B157" s="19"/>
      <c r="C157" s="4"/>
      <c r="D157" s="4"/>
      <c r="F157" s="4"/>
      <c r="G157" s="4"/>
      <c r="H157" s="4"/>
      <c r="I157" s="4"/>
      <c r="J157" s="4"/>
      <c r="K157" s="4"/>
      <c r="L157" s="4"/>
      <c r="N157" s="4"/>
      <c r="O157" s="4"/>
      <c r="P157" s="4"/>
      <c r="Q157" s="4"/>
      <c r="R157" s="4"/>
      <c r="S157" s="4"/>
      <c r="T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I157" s="4"/>
      <c r="AJ157" s="4"/>
      <c r="AK157" s="4"/>
      <c r="AL157" s="4"/>
      <c r="AM157" s="4"/>
      <c r="AN157" s="155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</row>
    <row r="158" spans="1:84" x14ac:dyDescent="0.2">
      <c r="A158" s="4"/>
      <c r="B158" s="19"/>
      <c r="C158" s="4"/>
      <c r="D158" s="4"/>
      <c r="F158" s="4"/>
      <c r="G158" s="4"/>
      <c r="H158" s="4"/>
      <c r="I158" s="4"/>
      <c r="J158" s="4"/>
      <c r="K158" s="4"/>
      <c r="L158" s="4"/>
      <c r="N158" s="4"/>
      <c r="O158" s="4"/>
      <c r="P158" s="4"/>
      <c r="Q158" s="4"/>
      <c r="R158" s="4"/>
      <c r="S158" s="4"/>
      <c r="T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I158" s="4"/>
      <c r="AJ158" s="4"/>
      <c r="AK158" s="4"/>
      <c r="AL158" s="4"/>
      <c r="AM158" s="4"/>
      <c r="AN158" s="155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1:84" x14ac:dyDescent="0.2">
      <c r="A159" s="4"/>
      <c r="B159" s="19"/>
      <c r="C159" s="4"/>
      <c r="D159" s="4"/>
      <c r="F159" s="4"/>
      <c r="G159" s="4"/>
      <c r="H159" s="4"/>
      <c r="I159" s="4"/>
      <c r="J159" s="4"/>
      <c r="K159" s="4"/>
      <c r="L159" s="4"/>
      <c r="N159" s="4"/>
      <c r="O159" s="4"/>
      <c r="P159" s="4"/>
      <c r="Q159" s="4"/>
      <c r="R159" s="4"/>
      <c r="S159" s="4"/>
      <c r="T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I159" s="4"/>
      <c r="AJ159" s="4"/>
      <c r="AK159" s="4"/>
      <c r="AL159" s="4"/>
      <c r="AM159" s="4"/>
      <c r="AN159" s="155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</row>
    <row r="160" spans="1:84" x14ac:dyDescent="0.2">
      <c r="A160" s="4"/>
      <c r="B160" s="19"/>
      <c r="C160" s="4"/>
      <c r="D160" s="4"/>
      <c r="F160" s="4"/>
      <c r="G160" s="4"/>
      <c r="H160" s="4"/>
      <c r="I160" s="4"/>
      <c r="J160" s="4"/>
      <c r="K160" s="4"/>
      <c r="L160" s="4"/>
      <c r="N160" s="4"/>
      <c r="O160" s="4"/>
      <c r="P160" s="4"/>
      <c r="Q160" s="4"/>
      <c r="R160" s="4"/>
      <c r="S160" s="4"/>
      <c r="T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I160" s="4"/>
      <c r="AJ160" s="4"/>
      <c r="AK160" s="4"/>
      <c r="AL160" s="4"/>
      <c r="AM160" s="4"/>
      <c r="AN160" s="155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1:84" x14ac:dyDescent="0.2">
      <c r="A161" s="4"/>
      <c r="B161" s="19"/>
      <c r="C161" s="4"/>
      <c r="D161" s="4"/>
      <c r="F161" s="4"/>
      <c r="G161" s="4"/>
      <c r="H161" s="4"/>
      <c r="I161" s="4"/>
      <c r="J161" s="4"/>
      <c r="K161" s="4"/>
      <c r="L161" s="4"/>
      <c r="N161" s="4"/>
      <c r="O161" s="4"/>
      <c r="P161" s="4"/>
      <c r="Q161" s="4"/>
      <c r="R161" s="4"/>
      <c r="S161" s="4"/>
      <c r="T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I161" s="4"/>
      <c r="AJ161" s="4"/>
      <c r="AK161" s="4"/>
      <c r="AL161" s="4"/>
      <c r="AM161" s="4"/>
      <c r="AN161" s="155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</row>
    <row r="162" spans="1:84" x14ac:dyDescent="0.2">
      <c r="A162" s="4"/>
      <c r="B162" s="19"/>
      <c r="C162" s="4"/>
      <c r="D162" s="4"/>
      <c r="F162" s="4"/>
      <c r="G162" s="4"/>
      <c r="H162" s="4"/>
      <c r="I162" s="4"/>
      <c r="J162" s="4"/>
      <c r="K162" s="4"/>
      <c r="L162" s="4"/>
      <c r="N162" s="4"/>
      <c r="O162" s="4"/>
      <c r="P162" s="4"/>
      <c r="Q162" s="4"/>
      <c r="R162" s="4"/>
      <c r="S162" s="4"/>
      <c r="T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I162" s="4"/>
      <c r="AJ162" s="4"/>
      <c r="AK162" s="4"/>
      <c r="AL162" s="4"/>
      <c r="AM162" s="4"/>
      <c r="AN162" s="155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1:84" x14ac:dyDescent="0.2">
      <c r="A163" s="4"/>
      <c r="B163" s="19"/>
      <c r="C163" s="4"/>
      <c r="D163" s="4"/>
      <c r="F163" s="4"/>
      <c r="G163" s="4"/>
      <c r="H163" s="4"/>
      <c r="I163" s="4"/>
      <c r="J163" s="4"/>
      <c r="K163" s="4"/>
      <c r="L163" s="4"/>
      <c r="N163" s="4"/>
      <c r="O163" s="4"/>
      <c r="P163" s="4"/>
      <c r="Q163" s="4"/>
      <c r="R163" s="4"/>
      <c r="S163" s="4"/>
      <c r="T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I163" s="4"/>
      <c r="AJ163" s="4"/>
      <c r="AK163" s="4"/>
      <c r="AL163" s="4"/>
      <c r="AM163" s="4"/>
      <c r="AN163" s="155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</row>
    <row r="164" spans="1:84" x14ac:dyDescent="0.2">
      <c r="A164" s="4"/>
      <c r="B164" s="19"/>
      <c r="C164" s="4"/>
      <c r="D164" s="4"/>
      <c r="F164" s="4"/>
      <c r="G164" s="4"/>
      <c r="H164" s="4"/>
      <c r="I164" s="4"/>
      <c r="J164" s="4"/>
      <c r="K164" s="4"/>
      <c r="L164" s="4"/>
      <c r="N164" s="4"/>
      <c r="O164" s="4"/>
      <c r="P164" s="4"/>
      <c r="Q164" s="4"/>
      <c r="R164" s="4"/>
      <c r="S164" s="4"/>
      <c r="T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I164" s="4"/>
      <c r="AJ164" s="4"/>
      <c r="AK164" s="4"/>
      <c r="AL164" s="4"/>
      <c r="AM164" s="4"/>
      <c r="AN164" s="155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1:84" x14ac:dyDescent="0.2">
      <c r="A165" s="4"/>
      <c r="B165" s="19"/>
      <c r="C165" s="4"/>
      <c r="D165" s="4"/>
      <c r="F165" s="4"/>
      <c r="G165" s="4"/>
      <c r="H165" s="4"/>
      <c r="I165" s="4"/>
      <c r="J165" s="4"/>
      <c r="K165" s="4"/>
      <c r="L165" s="4"/>
      <c r="N165" s="4"/>
      <c r="O165" s="4"/>
      <c r="P165" s="4"/>
      <c r="Q165" s="4"/>
      <c r="R165" s="4"/>
      <c r="S165" s="4"/>
      <c r="T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I165" s="4"/>
      <c r="AJ165" s="4"/>
      <c r="AK165" s="4"/>
      <c r="AL165" s="4"/>
      <c r="AM165" s="4"/>
      <c r="AN165" s="155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</row>
    <row r="166" spans="1:84" x14ac:dyDescent="0.2">
      <c r="A166" s="4"/>
      <c r="B166" s="19"/>
      <c r="C166" s="4"/>
      <c r="D166" s="4"/>
      <c r="F166" s="4"/>
      <c r="G166" s="4"/>
      <c r="H166" s="4"/>
      <c r="I166" s="4"/>
      <c r="J166" s="4"/>
      <c r="K166" s="4"/>
      <c r="L166" s="4"/>
      <c r="N166" s="4"/>
      <c r="O166" s="4"/>
      <c r="P166" s="4"/>
      <c r="Q166" s="4"/>
      <c r="R166" s="4"/>
      <c r="S166" s="4"/>
      <c r="T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I166" s="4"/>
      <c r="AJ166" s="4"/>
      <c r="AK166" s="4"/>
      <c r="AL166" s="4"/>
      <c r="AM166" s="4"/>
      <c r="AN166" s="155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1:84" x14ac:dyDescent="0.2">
      <c r="A167" s="4"/>
      <c r="B167" s="19"/>
      <c r="C167" s="4"/>
      <c r="D167" s="4"/>
      <c r="F167" s="4"/>
      <c r="G167" s="4"/>
      <c r="H167" s="4"/>
      <c r="I167" s="4"/>
      <c r="J167" s="4"/>
      <c r="K167" s="4"/>
      <c r="L167" s="4"/>
      <c r="N167" s="4"/>
      <c r="O167" s="4"/>
      <c r="P167" s="4"/>
      <c r="Q167" s="4"/>
      <c r="R167" s="4"/>
      <c r="S167" s="4"/>
      <c r="T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I167" s="4"/>
      <c r="AJ167" s="4"/>
      <c r="AK167" s="4"/>
      <c r="AL167" s="4"/>
      <c r="AM167" s="4"/>
      <c r="AN167" s="155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</row>
    <row r="168" spans="1:84" x14ac:dyDescent="0.2">
      <c r="A168" s="4"/>
      <c r="B168" s="19"/>
      <c r="C168" s="4"/>
      <c r="D168" s="4"/>
      <c r="F168" s="4"/>
      <c r="G168" s="4"/>
      <c r="H168" s="4"/>
      <c r="I168" s="4"/>
      <c r="J168" s="4"/>
      <c r="K168" s="4"/>
      <c r="L168" s="4"/>
      <c r="N168" s="4"/>
      <c r="O168" s="4"/>
      <c r="P168" s="4"/>
      <c r="Q168" s="4"/>
      <c r="R168" s="4"/>
      <c r="S168" s="4"/>
      <c r="T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I168" s="4"/>
      <c r="AJ168" s="4"/>
      <c r="AK168" s="4"/>
      <c r="AL168" s="4"/>
      <c r="AM168" s="4"/>
      <c r="AN168" s="155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1:84" x14ac:dyDescent="0.2">
      <c r="A169" s="4"/>
      <c r="B169" s="19"/>
      <c r="C169" s="4"/>
      <c r="D169" s="4"/>
      <c r="F169" s="4"/>
      <c r="G169" s="4"/>
      <c r="H169" s="4"/>
      <c r="I169" s="4"/>
      <c r="J169" s="4"/>
      <c r="K169" s="4"/>
      <c r="L169" s="4"/>
      <c r="N169" s="4"/>
      <c r="O169" s="4"/>
      <c r="P169" s="4"/>
      <c r="Q169" s="4"/>
      <c r="R169" s="4"/>
      <c r="S169" s="4"/>
      <c r="T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I169" s="4"/>
      <c r="AJ169" s="4"/>
      <c r="AK169" s="4"/>
      <c r="AL169" s="4"/>
      <c r="AM169" s="4"/>
      <c r="AN169" s="155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</row>
    <row r="170" spans="1:84" x14ac:dyDescent="0.2">
      <c r="A170" s="4"/>
      <c r="B170" s="19"/>
      <c r="C170" s="4"/>
      <c r="D170" s="4"/>
      <c r="F170" s="4"/>
      <c r="G170" s="4"/>
      <c r="H170" s="4"/>
      <c r="I170" s="4"/>
      <c r="J170" s="4"/>
      <c r="K170" s="4"/>
      <c r="L170" s="4"/>
      <c r="N170" s="4"/>
      <c r="O170" s="4"/>
      <c r="P170" s="4"/>
      <c r="Q170" s="4"/>
      <c r="R170" s="4"/>
      <c r="S170" s="4"/>
      <c r="T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I170" s="4"/>
      <c r="AJ170" s="4"/>
      <c r="AK170" s="4"/>
      <c r="AL170" s="4"/>
      <c r="AM170" s="4"/>
      <c r="AN170" s="155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1:84" x14ac:dyDescent="0.2">
      <c r="A171" s="4"/>
      <c r="B171" s="19"/>
      <c r="C171" s="4"/>
      <c r="D171" s="4"/>
      <c r="F171" s="4"/>
      <c r="G171" s="4"/>
      <c r="H171" s="4"/>
      <c r="I171" s="4"/>
      <c r="J171" s="4"/>
      <c r="K171" s="4"/>
      <c r="L171" s="4"/>
      <c r="N171" s="4"/>
      <c r="O171" s="4"/>
      <c r="P171" s="4"/>
      <c r="Q171" s="4"/>
      <c r="R171" s="4"/>
      <c r="S171" s="4"/>
      <c r="T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I171" s="4"/>
      <c r="AJ171" s="4"/>
      <c r="AK171" s="4"/>
      <c r="AL171" s="4"/>
      <c r="AM171" s="4"/>
      <c r="AN171" s="155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</row>
    <row r="172" spans="1:84" x14ac:dyDescent="0.2">
      <c r="A172" s="4"/>
      <c r="B172" s="19"/>
      <c r="C172" s="4"/>
      <c r="D172" s="4"/>
      <c r="F172" s="4"/>
      <c r="G172" s="4"/>
      <c r="H172" s="4"/>
      <c r="I172" s="4"/>
      <c r="J172" s="4"/>
      <c r="K172" s="4"/>
      <c r="L172" s="4"/>
      <c r="N172" s="4"/>
      <c r="O172" s="4"/>
      <c r="P172" s="4"/>
      <c r="Q172" s="4"/>
      <c r="R172" s="4"/>
      <c r="S172" s="4"/>
      <c r="T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I172" s="4"/>
      <c r="AJ172" s="4"/>
      <c r="AK172" s="4"/>
      <c r="AL172" s="4"/>
      <c r="AM172" s="4"/>
      <c r="AN172" s="155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1:84" x14ac:dyDescent="0.2">
      <c r="A173" s="4"/>
      <c r="B173" s="19"/>
      <c r="C173" s="4"/>
      <c r="D173" s="4"/>
      <c r="F173" s="4"/>
      <c r="G173" s="4"/>
      <c r="H173" s="4"/>
      <c r="I173" s="4"/>
      <c r="J173" s="4"/>
      <c r="K173" s="4"/>
      <c r="L173" s="4"/>
      <c r="N173" s="4"/>
      <c r="O173" s="4"/>
      <c r="P173" s="4"/>
      <c r="Q173" s="4"/>
      <c r="R173" s="4"/>
      <c r="S173" s="4"/>
      <c r="T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I173" s="4"/>
      <c r="AJ173" s="4"/>
      <c r="AK173" s="4"/>
      <c r="AL173" s="4"/>
      <c r="AM173" s="4"/>
      <c r="AN173" s="155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</row>
    <row r="174" spans="1:84" x14ac:dyDescent="0.2">
      <c r="A174" s="4"/>
      <c r="B174" s="19"/>
      <c r="C174" s="4"/>
      <c r="D174" s="4"/>
      <c r="F174" s="4"/>
      <c r="G174" s="4"/>
      <c r="H174" s="4"/>
      <c r="I174" s="4"/>
      <c r="J174" s="4"/>
      <c r="K174" s="4"/>
      <c r="L174" s="4"/>
      <c r="N174" s="4"/>
      <c r="O174" s="4"/>
      <c r="P174" s="4"/>
      <c r="Q174" s="4"/>
      <c r="R174" s="4"/>
      <c r="S174" s="4"/>
      <c r="T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I174" s="4"/>
      <c r="AJ174" s="4"/>
      <c r="AK174" s="4"/>
      <c r="AL174" s="4"/>
      <c r="AM174" s="4"/>
      <c r="AN174" s="155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1:84" x14ac:dyDescent="0.2">
      <c r="A175" s="4"/>
      <c r="B175" s="19"/>
      <c r="C175" s="4"/>
      <c r="D175" s="4"/>
      <c r="F175" s="4"/>
      <c r="G175" s="4"/>
      <c r="H175" s="4"/>
      <c r="I175" s="4"/>
      <c r="J175" s="4"/>
      <c r="K175" s="4"/>
      <c r="L175" s="4"/>
      <c r="N175" s="4"/>
      <c r="O175" s="4"/>
      <c r="P175" s="4"/>
      <c r="Q175" s="4"/>
      <c r="R175" s="4"/>
      <c r="S175" s="4"/>
      <c r="T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I175" s="4"/>
      <c r="AJ175" s="4"/>
      <c r="AK175" s="4"/>
      <c r="AL175" s="4"/>
      <c r="AM175" s="4"/>
      <c r="AN175" s="155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</row>
    <row r="176" spans="1:84" x14ac:dyDescent="0.2">
      <c r="A176" s="4"/>
      <c r="B176" s="19"/>
      <c r="C176" s="4"/>
      <c r="D176" s="4"/>
      <c r="F176" s="4"/>
      <c r="G176" s="4"/>
      <c r="H176" s="4"/>
      <c r="I176" s="4"/>
      <c r="J176" s="4"/>
      <c r="K176" s="4"/>
      <c r="L176" s="4"/>
      <c r="N176" s="4"/>
      <c r="O176" s="4"/>
      <c r="P176" s="4"/>
      <c r="Q176" s="4"/>
      <c r="R176" s="4"/>
      <c r="S176" s="4"/>
      <c r="T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I176" s="4"/>
      <c r="AJ176" s="4"/>
      <c r="AK176" s="4"/>
      <c r="AL176" s="4"/>
      <c r="AM176" s="4"/>
      <c r="AN176" s="155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1:84" x14ac:dyDescent="0.2">
      <c r="A177" s="4"/>
      <c r="B177" s="19"/>
      <c r="C177" s="4"/>
      <c r="D177" s="4"/>
      <c r="F177" s="4"/>
      <c r="G177" s="4"/>
      <c r="H177" s="4"/>
      <c r="I177" s="4"/>
      <c r="J177" s="4"/>
      <c r="K177" s="4"/>
      <c r="L177" s="4"/>
      <c r="N177" s="4"/>
      <c r="O177" s="4"/>
      <c r="P177" s="4"/>
      <c r="Q177" s="4"/>
      <c r="R177" s="4"/>
      <c r="S177" s="4"/>
      <c r="T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I177" s="4"/>
      <c r="AJ177" s="4"/>
      <c r="AK177" s="4"/>
      <c r="AL177" s="4"/>
      <c r="AM177" s="4"/>
      <c r="AN177" s="155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</row>
    <row r="178" spans="1:84" x14ac:dyDescent="0.2">
      <c r="A178" s="4"/>
      <c r="B178" s="19"/>
      <c r="C178" s="4"/>
      <c r="D178" s="4"/>
      <c r="F178" s="4"/>
      <c r="G178" s="4"/>
      <c r="H178" s="4"/>
      <c r="I178" s="4"/>
      <c r="J178" s="4"/>
      <c r="K178" s="4"/>
      <c r="L178" s="4"/>
      <c r="N178" s="4"/>
      <c r="O178" s="4"/>
      <c r="P178" s="4"/>
      <c r="Q178" s="4"/>
      <c r="R178" s="4"/>
      <c r="S178" s="4"/>
      <c r="T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I178" s="4"/>
      <c r="AJ178" s="4"/>
      <c r="AK178" s="4"/>
      <c r="AL178" s="4"/>
      <c r="AM178" s="4"/>
      <c r="AN178" s="155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1:84" x14ac:dyDescent="0.2">
      <c r="A179" s="4"/>
      <c r="B179" s="19"/>
      <c r="C179" s="4"/>
      <c r="D179" s="4"/>
      <c r="F179" s="4"/>
      <c r="G179" s="4"/>
      <c r="H179" s="4"/>
      <c r="I179" s="4"/>
      <c r="J179" s="4"/>
      <c r="K179" s="4"/>
      <c r="L179" s="4"/>
      <c r="N179" s="4"/>
      <c r="O179" s="4"/>
      <c r="P179" s="4"/>
      <c r="Q179" s="4"/>
      <c r="R179" s="4"/>
      <c r="S179" s="4"/>
      <c r="T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I179" s="4"/>
      <c r="AJ179" s="4"/>
      <c r="AK179" s="4"/>
      <c r="AL179" s="4"/>
      <c r="AM179" s="4"/>
      <c r="AN179" s="155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</row>
    <row r="180" spans="1:84" x14ac:dyDescent="0.2">
      <c r="A180" s="4"/>
      <c r="B180" s="19"/>
      <c r="C180" s="4"/>
      <c r="D180" s="4"/>
      <c r="F180" s="4"/>
      <c r="G180" s="4"/>
      <c r="H180" s="4"/>
      <c r="I180" s="4"/>
      <c r="J180" s="4"/>
      <c r="K180" s="4"/>
      <c r="L180" s="4"/>
      <c r="N180" s="4"/>
      <c r="O180" s="4"/>
      <c r="P180" s="4"/>
      <c r="Q180" s="4"/>
      <c r="R180" s="4"/>
      <c r="S180" s="4"/>
      <c r="T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I180" s="4"/>
      <c r="AJ180" s="4"/>
      <c r="AK180" s="4"/>
      <c r="AL180" s="4"/>
      <c r="AM180" s="4"/>
      <c r="AN180" s="155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1:84" x14ac:dyDescent="0.2">
      <c r="A181" s="4"/>
      <c r="B181" s="19"/>
      <c r="C181" s="4"/>
      <c r="D181" s="4"/>
      <c r="F181" s="4"/>
      <c r="G181" s="4"/>
      <c r="H181" s="4"/>
      <c r="I181" s="4"/>
      <c r="J181" s="4"/>
      <c r="K181" s="4"/>
      <c r="L181" s="4"/>
      <c r="N181" s="4"/>
      <c r="O181" s="4"/>
      <c r="P181" s="4"/>
      <c r="Q181" s="4"/>
      <c r="R181" s="4"/>
      <c r="S181" s="4"/>
      <c r="T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I181" s="4"/>
      <c r="AJ181" s="4"/>
      <c r="AK181" s="4"/>
      <c r="AL181" s="4"/>
      <c r="AM181" s="4"/>
      <c r="AN181" s="155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</row>
    <row r="182" spans="1:84" x14ac:dyDescent="0.2">
      <c r="A182" s="4"/>
      <c r="B182" s="19"/>
      <c r="C182" s="4"/>
      <c r="D182" s="4"/>
      <c r="F182" s="4"/>
      <c r="G182" s="4"/>
      <c r="H182" s="4"/>
      <c r="I182" s="4"/>
      <c r="J182" s="4"/>
      <c r="K182" s="4"/>
      <c r="L182" s="4"/>
      <c r="N182" s="4"/>
      <c r="O182" s="4"/>
      <c r="P182" s="4"/>
      <c r="Q182" s="4"/>
      <c r="R182" s="4"/>
      <c r="S182" s="4"/>
      <c r="T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I182" s="4"/>
      <c r="AJ182" s="4"/>
      <c r="AK182" s="4"/>
      <c r="AL182" s="4"/>
      <c r="AM182" s="4"/>
      <c r="AN182" s="155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1:84" x14ac:dyDescent="0.2">
      <c r="A183" s="4"/>
      <c r="B183" s="19"/>
      <c r="C183" s="4"/>
      <c r="D183" s="4"/>
      <c r="F183" s="4"/>
      <c r="G183" s="4"/>
      <c r="H183" s="4"/>
      <c r="I183" s="4"/>
      <c r="J183" s="4"/>
      <c r="K183" s="4"/>
      <c r="L183" s="4"/>
      <c r="N183" s="4"/>
      <c r="O183" s="4"/>
      <c r="P183" s="4"/>
      <c r="Q183" s="4"/>
      <c r="R183" s="4"/>
      <c r="S183" s="4"/>
      <c r="T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I183" s="4"/>
      <c r="AJ183" s="4"/>
      <c r="AK183" s="4"/>
      <c r="AL183" s="4"/>
      <c r="AM183" s="4"/>
      <c r="AN183" s="155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</row>
    <row r="184" spans="1:84" x14ac:dyDescent="0.2">
      <c r="A184" s="4"/>
      <c r="B184" s="19"/>
      <c r="C184" s="4"/>
      <c r="D184" s="4"/>
      <c r="F184" s="4"/>
      <c r="G184" s="4"/>
      <c r="H184" s="4"/>
      <c r="I184" s="4"/>
      <c r="J184" s="4"/>
      <c r="K184" s="4"/>
      <c r="L184" s="4"/>
      <c r="N184" s="4"/>
      <c r="O184" s="4"/>
      <c r="P184" s="4"/>
      <c r="Q184" s="4"/>
      <c r="R184" s="4"/>
      <c r="S184" s="4"/>
      <c r="T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I184" s="4"/>
      <c r="AJ184" s="4"/>
      <c r="AK184" s="4"/>
      <c r="AL184" s="4"/>
      <c r="AM184" s="4"/>
      <c r="AN184" s="155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1:84" x14ac:dyDescent="0.2">
      <c r="A185" s="4"/>
      <c r="B185" s="19"/>
      <c r="C185" s="4"/>
      <c r="D185" s="4"/>
      <c r="F185" s="4"/>
      <c r="G185" s="4"/>
      <c r="H185" s="4"/>
      <c r="I185" s="4"/>
      <c r="J185" s="4"/>
      <c r="K185" s="4"/>
      <c r="L185" s="4"/>
      <c r="N185" s="4"/>
      <c r="O185" s="4"/>
      <c r="P185" s="4"/>
      <c r="Q185" s="4"/>
      <c r="R185" s="4"/>
      <c r="S185" s="4"/>
      <c r="T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I185" s="4"/>
      <c r="AJ185" s="4"/>
      <c r="AK185" s="4"/>
      <c r="AL185" s="4"/>
      <c r="AM185" s="4"/>
      <c r="AN185" s="155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</row>
    <row r="186" spans="1:84" x14ac:dyDescent="0.2">
      <c r="A186" s="4"/>
      <c r="B186" s="19"/>
      <c r="C186" s="4"/>
      <c r="D186" s="4"/>
      <c r="F186" s="4"/>
      <c r="G186" s="4"/>
      <c r="H186" s="4"/>
      <c r="I186" s="4"/>
      <c r="J186" s="4"/>
      <c r="K186" s="4"/>
      <c r="L186" s="4"/>
      <c r="N186" s="4"/>
      <c r="O186" s="4"/>
      <c r="P186" s="4"/>
      <c r="Q186" s="4"/>
      <c r="R186" s="4"/>
      <c r="S186" s="4"/>
      <c r="T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I186" s="4"/>
      <c r="AJ186" s="4"/>
      <c r="AK186" s="4"/>
      <c r="AL186" s="4"/>
      <c r="AM186" s="4"/>
      <c r="AN186" s="155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1:84" x14ac:dyDescent="0.2">
      <c r="A187" s="4"/>
      <c r="B187" s="19"/>
      <c r="C187" s="4"/>
      <c r="D187" s="4"/>
      <c r="F187" s="4"/>
      <c r="G187" s="4"/>
      <c r="H187" s="4"/>
      <c r="I187" s="4"/>
      <c r="J187" s="4"/>
      <c r="K187" s="4"/>
      <c r="L187" s="4"/>
      <c r="N187" s="4"/>
      <c r="O187" s="4"/>
      <c r="P187" s="4"/>
      <c r="Q187" s="4"/>
      <c r="R187" s="4"/>
      <c r="S187" s="4"/>
      <c r="T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I187" s="4"/>
      <c r="AJ187" s="4"/>
      <c r="AK187" s="4"/>
      <c r="AL187" s="4"/>
      <c r="AM187" s="4"/>
      <c r="AN187" s="155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</row>
    <row r="188" spans="1:84" x14ac:dyDescent="0.2">
      <c r="A188" s="4"/>
      <c r="B188" s="19"/>
      <c r="C188" s="4"/>
      <c r="D188" s="4"/>
      <c r="F188" s="4"/>
      <c r="G188" s="4"/>
      <c r="H188" s="4"/>
      <c r="I188" s="4"/>
      <c r="J188" s="4"/>
      <c r="K188" s="4"/>
      <c r="L188" s="4"/>
      <c r="N188" s="4"/>
      <c r="O188" s="4"/>
      <c r="P188" s="4"/>
      <c r="Q188" s="4"/>
      <c r="R188" s="4"/>
      <c r="S188" s="4"/>
      <c r="T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I188" s="4"/>
      <c r="AJ188" s="4"/>
      <c r="AK188" s="4"/>
      <c r="AL188" s="4"/>
      <c r="AM188" s="4"/>
      <c r="AN188" s="155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1:84" x14ac:dyDescent="0.2">
      <c r="A189" s="4"/>
      <c r="B189" s="19"/>
      <c r="C189" s="4"/>
      <c r="D189" s="4"/>
      <c r="F189" s="4"/>
      <c r="G189" s="4"/>
      <c r="H189" s="4"/>
      <c r="I189" s="4"/>
      <c r="J189" s="4"/>
      <c r="K189" s="4"/>
      <c r="L189" s="4"/>
      <c r="N189" s="4"/>
      <c r="O189" s="4"/>
      <c r="P189" s="4"/>
      <c r="Q189" s="4"/>
      <c r="R189" s="4"/>
      <c r="S189" s="4"/>
      <c r="T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I189" s="4"/>
      <c r="AJ189" s="4"/>
      <c r="AK189" s="4"/>
      <c r="AL189" s="4"/>
      <c r="AM189" s="4"/>
      <c r="AN189" s="155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</row>
    <row r="190" spans="1:84" x14ac:dyDescent="0.2">
      <c r="A190" s="4"/>
      <c r="B190" s="19"/>
      <c r="C190" s="4"/>
      <c r="D190" s="4"/>
      <c r="F190" s="4"/>
      <c r="G190" s="4"/>
      <c r="H190" s="4"/>
      <c r="I190" s="4"/>
      <c r="J190" s="4"/>
      <c r="K190" s="4"/>
      <c r="L190" s="4"/>
      <c r="N190" s="4"/>
      <c r="O190" s="4"/>
      <c r="P190" s="4"/>
      <c r="Q190" s="4"/>
      <c r="R190" s="4"/>
      <c r="S190" s="4"/>
      <c r="T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I190" s="4"/>
      <c r="AJ190" s="4"/>
      <c r="AK190" s="4"/>
      <c r="AL190" s="4"/>
      <c r="AM190" s="4"/>
      <c r="AN190" s="155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1:84" x14ac:dyDescent="0.2">
      <c r="A191" s="4"/>
      <c r="B191" s="19"/>
      <c r="C191" s="4"/>
      <c r="D191" s="4"/>
      <c r="F191" s="4"/>
      <c r="G191" s="4"/>
      <c r="H191" s="4"/>
      <c r="I191" s="4"/>
      <c r="J191" s="4"/>
      <c r="K191" s="4"/>
      <c r="L191" s="4"/>
      <c r="N191" s="4"/>
      <c r="O191" s="4"/>
      <c r="P191" s="4"/>
      <c r="Q191" s="4"/>
      <c r="R191" s="4"/>
      <c r="S191" s="4"/>
      <c r="T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I191" s="4"/>
      <c r="AJ191" s="4"/>
      <c r="AK191" s="4"/>
      <c r="AL191" s="4"/>
      <c r="AM191" s="4"/>
      <c r="AN191" s="155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</row>
    <row r="192" spans="1:84" x14ac:dyDescent="0.2">
      <c r="A192" s="4"/>
      <c r="B192" s="19"/>
      <c r="C192" s="4"/>
      <c r="D192" s="4"/>
      <c r="F192" s="4"/>
      <c r="G192" s="4"/>
      <c r="H192" s="4"/>
      <c r="I192" s="4"/>
      <c r="J192" s="4"/>
      <c r="K192" s="4"/>
      <c r="L192" s="4"/>
      <c r="N192" s="4"/>
      <c r="O192" s="4"/>
      <c r="P192" s="4"/>
      <c r="Q192" s="4"/>
      <c r="R192" s="4"/>
      <c r="S192" s="4"/>
      <c r="T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I192" s="4"/>
      <c r="AJ192" s="4"/>
      <c r="AK192" s="4"/>
      <c r="AL192" s="4"/>
      <c r="AM192" s="4"/>
      <c r="AN192" s="155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1:84" x14ac:dyDescent="0.2">
      <c r="A193" s="4"/>
      <c r="B193" s="19"/>
      <c r="C193" s="4"/>
      <c r="D193" s="4"/>
      <c r="F193" s="4"/>
      <c r="G193" s="4"/>
      <c r="H193" s="4"/>
      <c r="I193" s="4"/>
      <c r="J193" s="4"/>
      <c r="K193" s="4"/>
      <c r="L193" s="4"/>
      <c r="N193" s="4"/>
      <c r="O193" s="4"/>
      <c r="P193" s="4"/>
      <c r="Q193" s="4"/>
      <c r="R193" s="4"/>
      <c r="S193" s="4"/>
      <c r="T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I193" s="4"/>
      <c r="AJ193" s="4"/>
      <c r="AK193" s="4"/>
      <c r="AL193" s="4"/>
      <c r="AM193" s="4"/>
      <c r="AN193" s="155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</row>
    <row r="194" spans="1:84" x14ac:dyDescent="0.2">
      <c r="A194" s="4"/>
      <c r="B194" s="19"/>
      <c r="C194" s="4"/>
      <c r="D194" s="4"/>
      <c r="F194" s="4"/>
      <c r="G194" s="4"/>
      <c r="H194" s="4"/>
      <c r="I194" s="4"/>
      <c r="J194" s="4"/>
      <c r="K194" s="4"/>
      <c r="L194" s="4"/>
      <c r="N194" s="4"/>
      <c r="O194" s="4"/>
      <c r="P194" s="4"/>
      <c r="Q194" s="4"/>
      <c r="R194" s="4"/>
      <c r="S194" s="4"/>
      <c r="T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I194" s="4"/>
      <c r="AJ194" s="4"/>
      <c r="AK194" s="4"/>
      <c r="AL194" s="4"/>
      <c r="AM194" s="4"/>
      <c r="AN194" s="155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1:84" x14ac:dyDescent="0.2">
      <c r="A195" s="4"/>
      <c r="B195" s="19"/>
      <c r="C195" s="4"/>
      <c r="D195" s="4"/>
      <c r="F195" s="4"/>
      <c r="G195" s="4"/>
      <c r="H195" s="4"/>
      <c r="I195" s="4"/>
      <c r="J195" s="4"/>
      <c r="K195" s="4"/>
      <c r="L195" s="4"/>
      <c r="N195" s="4"/>
      <c r="O195" s="4"/>
      <c r="P195" s="4"/>
      <c r="Q195" s="4"/>
      <c r="R195" s="4"/>
      <c r="S195" s="4"/>
      <c r="T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I195" s="4"/>
      <c r="AJ195" s="4"/>
      <c r="AK195" s="4"/>
      <c r="AL195" s="4"/>
      <c r="AM195" s="4"/>
      <c r="AN195" s="155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</row>
    <row r="196" spans="1:84" x14ac:dyDescent="0.2">
      <c r="A196" s="4"/>
      <c r="B196" s="19"/>
      <c r="C196" s="4"/>
      <c r="D196" s="4"/>
      <c r="F196" s="4"/>
      <c r="G196" s="4"/>
      <c r="H196" s="4"/>
      <c r="I196" s="4"/>
      <c r="J196" s="4"/>
      <c r="K196" s="4"/>
      <c r="L196" s="4"/>
      <c r="N196" s="4"/>
      <c r="O196" s="4"/>
      <c r="P196" s="4"/>
      <c r="Q196" s="4"/>
      <c r="R196" s="4"/>
      <c r="S196" s="4"/>
      <c r="T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I196" s="4"/>
      <c r="AJ196" s="4"/>
      <c r="AK196" s="4"/>
      <c r="AL196" s="4"/>
      <c r="AM196" s="4"/>
      <c r="AN196" s="155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1:84" x14ac:dyDescent="0.2">
      <c r="A197" s="4"/>
      <c r="B197" s="19"/>
      <c r="C197" s="4"/>
      <c r="D197" s="4"/>
      <c r="F197" s="4"/>
      <c r="G197" s="4"/>
      <c r="H197" s="4"/>
      <c r="I197" s="4"/>
      <c r="J197" s="4"/>
      <c r="K197" s="4"/>
      <c r="L197" s="4"/>
      <c r="N197" s="4"/>
      <c r="O197" s="4"/>
      <c r="P197" s="4"/>
      <c r="Q197" s="4"/>
      <c r="R197" s="4"/>
      <c r="S197" s="4"/>
      <c r="T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I197" s="4"/>
      <c r="AJ197" s="4"/>
      <c r="AK197" s="4"/>
      <c r="AL197" s="4"/>
      <c r="AM197" s="4"/>
      <c r="AN197" s="155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</row>
    <row r="198" spans="1:84" x14ac:dyDescent="0.2">
      <c r="A198" s="4"/>
      <c r="B198" s="19"/>
      <c r="C198" s="4"/>
      <c r="D198" s="4"/>
      <c r="F198" s="4"/>
      <c r="G198" s="4"/>
      <c r="H198" s="4"/>
      <c r="I198" s="4"/>
      <c r="J198" s="4"/>
      <c r="K198" s="4"/>
      <c r="L198" s="4"/>
      <c r="N198" s="4"/>
      <c r="O198" s="4"/>
      <c r="P198" s="4"/>
      <c r="Q198" s="4"/>
      <c r="R198" s="4"/>
      <c r="S198" s="4"/>
      <c r="T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I198" s="4"/>
      <c r="AJ198" s="4"/>
      <c r="AK198" s="4"/>
      <c r="AL198" s="4"/>
      <c r="AM198" s="4"/>
      <c r="AN198" s="155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1:84" x14ac:dyDescent="0.2">
      <c r="A199" s="4"/>
      <c r="B199" s="19"/>
      <c r="C199" s="4"/>
      <c r="D199" s="4"/>
      <c r="F199" s="4"/>
      <c r="G199" s="4"/>
      <c r="H199" s="4"/>
      <c r="I199" s="4"/>
      <c r="J199" s="4"/>
      <c r="K199" s="4"/>
      <c r="L199" s="4"/>
      <c r="N199" s="4"/>
      <c r="O199" s="4"/>
      <c r="P199" s="4"/>
      <c r="Q199" s="4"/>
      <c r="R199" s="4"/>
      <c r="S199" s="4"/>
      <c r="T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I199" s="4"/>
      <c r="AJ199" s="4"/>
      <c r="AK199" s="4"/>
      <c r="AL199" s="4"/>
      <c r="AM199" s="4"/>
      <c r="AN199" s="155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</row>
    <row r="200" spans="1:84" x14ac:dyDescent="0.2">
      <c r="A200" s="4"/>
      <c r="B200" s="19"/>
      <c r="C200" s="4"/>
      <c r="D200" s="4"/>
      <c r="F200" s="4"/>
      <c r="G200" s="4"/>
      <c r="H200" s="4"/>
      <c r="I200" s="4"/>
      <c r="J200" s="4"/>
      <c r="K200" s="4"/>
      <c r="L200" s="4"/>
      <c r="N200" s="4"/>
      <c r="O200" s="4"/>
      <c r="P200" s="4"/>
      <c r="Q200" s="4"/>
      <c r="R200" s="4"/>
      <c r="S200" s="4"/>
      <c r="T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I200" s="4"/>
      <c r="AJ200" s="4"/>
      <c r="AK200" s="4"/>
      <c r="AL200" s="4"/>
      <c r="AM200" s="4"/>
      <c r="AN200" s="155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1:84" x14ac:dyDescent="0.2">
      <c r="A201" s="4"/>
      <c r="B201" s="19"/>
      <c r="C201" s="4"/>
      <c r="D201" s="4"/>
      <c r="F201" s="4"/>
      <c r="G201" s="4"/>
      <c r="H201" s="4"/>
      <c r="I201" s="4"/>
      <c r="J201" s="4"/>
      <c r="K201" s="4"/>
      <c r="L201" s="4"/>
      <c r="N201" s="4"/>
      <c r="O201" s="4"/>
      <c r="P201" s="4"/>
      <c r="Q201" s="4"/>
      <c r="R201" s="4"/>
      <c r="S201" s="4"/>
      <c r="T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I201" s="4"/>
      <c r="AJ201" s="4"/>
      <c r="AK201" s="4"/>
      <c r="AL201" s="4"/>
      <c r="AM201" s="4"/>
      <c r="AN201" s="155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</row>
    <row r="202" spans="1:84" x14ac:dyDescent="0.2">
      <c r="A202" s="4"/>
      <c r="B202" s="19"/>
      <c r="C202" s="4"/>
      <c r="D202" s="4"/>
      <c r="F202" s="4"/>
      <c r="G202" s="4"/>
      <c r="H202" s="4"/>
      <c r="I202" s="4"/>
      <c r="J202" s="4"/>
      <c r="K202" s="4"/>
      <c r="L202" s="4"/>
      <c r="N202" s="4"/>
      <c r="O202" s="4"/>
      <c r="P202" s="4"/>
      <c r="Q202" s="4"/>
      <c r="R202" s="4"/>
      <c r="S202" s="4"/>
      <c r="T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I202" s="4"/>
      <c r="AJ202" s="4"/>
      <c r="AK202" s="4"/>
      <c r="AL202" s="4"/>
      <c r="AM202" s="4"/>
      <c r="AN202" s="155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1:84" x14ac:dyDescent="0.2">
      <c r="A203" s="4"/>
      <c r="B203" s="19"/>
      <c r="C203" s="4"/>
      <c r="D203" s="4"/>
      <c r="F203" s="4"/>
      <c r="G203" s="4"/>
      <c r="H203" s="4"/>
      <c r="I203" s="4"/>
      <c r="J203" s="4"/>
      <c r="K203" s="4"/>
      <c r="L203" s="4"/>
      <c r="N203" s="4"/>
      <c r="O203" s="4"/>
      <c r="P203" s="4"/>
      <c r="Q203" s="4"/>
      <c r="R203" s="4"/>
      <c r="S203" s="4"/>
      <c r="T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I203" s="4"/>
      <c r="AJ203" s="4"/>
      <c r="AK203" s="4"/>
      <c r="AL203" s="4"/>
      <c r="AM203" s="4"/>
      <c r="AN203" s="155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</row>
    <row r="204" spans="1:84" x14ac:dyDescent="0.2">
      <c r="A204" s="4"/>
      <c r="B204" s="19"/>
      <c r="C204" s="4"/>
      <c r="D204" s="4"/>
      <c r="F204" s="4"/>
      <c r="G204" s="4"/>
      <c r="H204" s="4"/>
      <c r="I204" s="4"/>
      <c r="J204" s="4"/>
      <c r="K204" s="4"/>
      <c r="L204" s="4"/>
      <c r="N204" s="4"/>
      <c r="O204" s="4"/>
      <c r="P204" s="4"/>
      <c r="Q204" s="4"/>
      <c r="R204" s="4"/>
      <c r="S204" s="4"/>
      <c r="T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I204" s="4"/>
      <c r="AJ204" s="4"/>
      <c r="AK204" s="4"/>
      <c r="AL204" s="4"/>
      <c r="AM204" s="4"/>
      <c r="AN204" s="155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1:84" x14ac:dyDescent="0.2">
      <c r="A205" s="4"/>
      <c r="B205" s="19"/>
      <c r="C205" s="4"/>
      <c r="D205" s="4"/>
      <c r="F205" s="4"/>
      <c r="G205" s="4"/>
      <c r="H205" s="4"/>
      <c r="I205" s="4"/>
      <c r="J205" s="4"/>
      <c r="K205" s="4"/>
      <c r="L205" s="4"/>
      <c r="N205" s="4"/>
      <c r="O205" s="4"/>
      <c r="P205" s="4"/>
      <c r="Q205" s="4"/>
      <c r="R205" s="4"/>
      <c r="S205" s="4"/>
      <c r="T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I205" s="4"/>
      <c r="AJ205" s="4"/>
      <c r="AK205" s="4"/>
      <c r="AL205" s="4"/>
      <c r="AM205" s="4"/>
      <c r="AN205" s="155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</row>
    <row r="206" spans="1:84" x14ac:dyDescent="0.2">
      <c r="A206" s="4"/>
      <c r="B206" s="19"/>
      <c r="C206" s="4"/>
      <c r="D206" s="4"/>
      <c r="F206" s="4"/>
      <c r="G206" s="4"/>
      <c r="H206" s="4"/>
      <c r="I206" s="4"/>
      <c r="J206" s="4"/>
      <c r="K206" s="4"/>
      <c r="L206" s="4"/>
      <c r="N206" s="4"/>
      <c r="O206" s="4"/>
      <c r="P206" s="4"/>
      <c r="Q206" s="4"/>
      <c r="R206" s="4"/>
      <c r="S206" s="4"/>
      <c r="T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I206" s="4"/>
      <c r="AJ206" s="4"/>
      <c r="AK206" s="4"/>
      <c r="AL206" s="4"/>
      <c r="AM206" s="4"/>
      <c r="AN206" s="155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1:84" x14ac:dyDescent="0.2">
      <c r="A207" s="4"/>
      <c r="B207" s="19"/>
      <c r="C207" s="4"/>
      <c r="D207" s="4"/>
      <c r="F207" s="4"/>
      <c r="G207" s="4"/>
      <c r="H207" s="4"/>
      <c r="I207" s="4"/>
      <c r="J207" s="4"/>
      <c r="K207" s="4"/>
      <c r="L207" s="4"/>
      <c r="N207" s="4"/>
      <c r="O207" s="4"/>
      <c r="P207" s="4"/>
      <c r="Q207" s="4"/>
      <c r="R207" s="4"/>
      <c r="S207" s="4"/>
      <c r="T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I207" s="4"/>
      <c r="AJ207" s="4"/>
      <c r="AK207" s="4"/>
      <c r="AL207" s="4"/>
      <c r="AM207" s="4"/>
      <c r="AN207" s="155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</row>
    <row r="208" spans="1:84" x14ac:dyDescent="0.2">
      <c r="A208" s="4"/>
      <c r="B208" s="19"/>
      <c r="C208" s="4"/>
      <c r="D208" s="4"/>
      <c r="F208" s="4"/>
      <c r="G208" s="4"/>
      <c r="H208" s="4"/>
      <c r="I208" s="4"/>
      <c r="J208" s="4"/>
      <c r="K208" s="4"/>
      <c r="L208" s="4"/>
      <c r="N208" s="4"/>
      <c r="O208" s="4"/>
      <c r="P208" s="4"/>
      <c r="Q208" s="4"/>
      <c r="R208" s="4"/>
      <c r="S208" s="4"/>
      <c r="T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I208" s="4"/>
      <c r="AJ208" s="4"/>
      <c r="AK208" s="4"/>
      <c r="AL208" s="4"/>
      <c r="AM208" s="4"/>
      <c r="AN208" s="155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1:2" x14ac:dyDescent="0.2">
      <c r="A209" s="4"/>
      <c r="B209" s="19"/>
    </row>
  </sheetData>
  <autoFilter ref="A4:CF57" xr:uid="{00000000-0009-0000-0000-000005000000}">
    <filterColumn colId="36" showButton="0"/>
  </autoFilter>
  <mergeCells count="6">
    <mergeCell ref="AK4:AL4"/>
    <mergeCell ref="C2:C4"/>
    <mergeCell ref="E2:H3"/>
    <mergeCell ref="M2:P3"/>
    <mergeCell ref="U2:X3"/>
    <mergeCell ref="AC2:AF3"/>
  </mergeCells>
  <conditionalFormatting sqref="H5:H12 H14:H16 H18:H19 H22:H29 H31:H38 H40:H44">
    <cfRule type="cellIs" dxfId="45" priority="21" operator="greaterThanOrEqual">
      <formula>1.2</formula>
    </cfRule>
    <cfRule type="cellIs" dxfId="44" priority="22" operator="greaterThanOrEqual">
      <formula>120</formula>
    </cfRule>
  </conditionalFormatting>
  <conditionalFormatting sqref="H46:H56 P46:P56">
    <cfRule type="cellIs" dxfId="43" priority="37" operator="greaterThanOrEqual">
      <formula>1.2</formula>
    </cfRule>
    <cfRule type="cellIs" dxfId="42" priority="38" operator="greaterThanOrEqual">
      <formula>120</formula>
    </cfRule>
  </conditionalFormatting>
  <conditionalFormatting sqref="P5:P12 P14:P16 P18:P19 P22:P29 P31:P38 P40:P44">
    <cfRule type="cellIs" dxfId="41" priority="19" operator="greaterThanOrEqual">
      <formula>1.2</formula>
    </cfRule>
    <cfRule type="cellIs" dxfId="40" priority="20" operator="greaterThanOrEqual">
      <formula>120</formula>
    </cfRule>
  </conditionalFormatting>
  <conditionalFormatting sqref="X5:X12 X14:X16 X18:X19 X22:X29 X31:X38 X40:X44">
    <cfRule type="cellIs" dxfId="39" priority="17" operator="greaterThanOrEqual">
      <formula>1.2</formula>
    </cfRule>
    <cfRule type="cellIs" dxfId="38" priority="18" operator="greaterThanOrEqual">
      <formula>120</formula>
    </cfRule>
  </conditionalFormatting>
  <conditionalFormatting sqref="X46:X56">
    <cfRule type="cellIs" dxfId="37" priority="9" operator="greaterThanOrEqual">
      <formula>1.2</formula>
    </cfRule>
    <cfRule type="cellIs" dxfId="36" priority="10" operator="greaterThanOrEqual">
      <formula>120</formula>
    </cfRule>
  </conditionalFormatting>
  <conditionalFormatting sqref="AF5:AF12 AF14:AF16 AF18:AF19 AF22:AF29 AF31:AF38 AF40:AF44 AF46:AF56">
    <cfRule type="cellIs" dxfId="35" priority="15" operator="greaterThanOrEqual">
      <formula>1.2</formula>
    </cfRule>
    <cfRule type="cellIs" dxfId="34" priority="16" operator="greaterThanOrEqual">
      <formula>120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M70"/>
  <sheetViews>
    <sheetView zoomScaleNormal="100" workbookViewId="0">
      <pane xSplit="3" ySplit="4" topLeftCell="D27" activePane="bottomRight" state="frozen"/>
      <selection activeCell="C53" sqref="C53"/>
      <selection pane="topRight" activeCell="C53" sqref="C53"/>
      <selection pane="bottomLeft" activeCell="C53" sqref="C53"/>
      <selection pane="bottomRight" activeCell="Z53" sqref="Z53"/>
    </sheetView>
  </sheetViews>
  <sheetFormatPr baseColWidth="10" defaultColWidth="9.1640625" defaultRowHeight="12" x14ac:dyDescent="0.15"/>
  <cols>
    <col min="1" max="1" width="1.33203125" style="4" customWidth="1"/>
    <col min="2" max="2" width="2" style="19" customWidth="1"/>
    <col min="3" max="3" width="39.6640625" style="4" customWidth="1"/>
    <col min="4" max="4" width="1.33203125" style="4" customWidth="1"/>
    <col min="5" max="5" width="9" style="13" customWidth="1"/>
    <col min="6" max="8" width="8.33203125" style="4" customWidth="1"/>
    <col min="9" max="9" width="1.33203125" style="4" customWidth="1"/>
    <col min="10" max="10" width="8.6640625" style="13" customWidth="1"/>
    <col min="11" max="11" width="5.1640625" style="4" customWidth="1"/>
    <col min="12" max="12" width="1.33203125" style="4" customWidth="1"/>
    <col min="13" max="13" width="9" style="13" customWidth="1"/>
    <col min="14" max="16" width="8.33203125" style="4" customWidth="1"/>
    <col min="17" max="17" width="1.33203125" style="4" customWidth="1"/>
    <col min="18" max="18" width="8.6640625" style="13" customWidth="1"/>
    <col min="19" max="19" width="5.1640625" style="4" customWidth="1"/>
    <col min="20" max="20" width="1.33203125" style="4" customWidth="1"/>
    <col min="21" max="21" width="9" style="13" customWidth="1"/>
    <col min="22" max="24" width="8.33203125" style="4" customWidth="1"/>
    <col min="25" max="25" width="1.33203125" style="4" customWidth="1"/>
    <col min="26" max="26" width="8.6640625" style="13" customWidth="1"/>
    <col min="27" max="27" width="5.1640625" style="4" customWidth="1"/>
    <col min="28" max="28" width="1.33203125" style="4" customWidth="1"/>
    <col min="29" max="29" width="9" style="13" customWidth="1"/>
    <col min="30" max="32" width="8.33203125" style="4" customWidth="1"/>
    <col min="33" max="33" width="1.33203125" style="4" customWidth="1"/>
    <col min="34" max="34" width="8.6640625" style="25" customWidth="1"/>
    <col min="35" max="35" width="6.6640625" style="4" customWidth="1"/>
    <col min="36" max="36" width="1.33203125" style="4" customWidth="1"/>
    <col min="37" max="37" width="9" style="13" customWidth="1"/>
    <col min="38" max="38" width="8.5" style="4" customWidth="1"/>
    <col min="39" max="39" width="7.83203125" style="13" customWidth="1"/>
    <col min="40" max="16384" width="9.1640625" style="4"/>
  </cols>
  <sheetData>
    <row r="1" spans="2:39" ht="13" thickBot="1" x14ac:dyDescent="0.2">
      <c r="B1" s="17"/>
      <c r="C1" s="3" t="str">
        <f>'GENEL HEDEF'!C1</f>
        <v>01.05.2023 - 04.05.2023</v>
      </c>
    </row>
    <row r="2" spans="2:39" ht="5.25" customHeight="1" thickTop="1" thickBot="1" x14ac:dyDescent="0.2">
      <c r="B2" s="17"/>
      <c r="C2" s="211" t="s">
        <v>0</v>
      </c>
      <c r="E2" s="203" t="s">
        <v>162</v>
      </c>
      <c r="F2" s="204"/>
      <c r="G2" s="204"/>
      <c r="H2" s="205"/>
      <c r="M2" s="203" t="s">
        <v>195</v>
      </c>
      <c r="N2" s="204"/>
      <c r="O2" s="204"/>
      <c r="P2" s="205"/>
      <c r="U2" s="203" t="s">
        <v>129</v>
      </c>
      <c r="V2" s="204"/>
      <c r="W2" s="204"/>
      <c r="X2" s="205"/>
      <c r="AC2" s="214" t="s">
        <v>57</v>
      </c>
      <c r="AD2" s="215"/>
      <c r="AE2" s="215"/>
      <c r="AF2" s="216"/>
    </row>
    <row r="3" spans="2:39" ht="12" customHeight="1" thickBot="1" x14ac:dyDescent="0.2">
      <c r="B3" s="17"/>
      <c r="C3" s="212"/>
      <c r="E3" s="206"/>
      <c r="F3" s="207"/>
      <c r="G3" s="207"/>
      <c r="H3" s="208"/>
      <c r="M3" s="206"/>
      <c r="N3" s="207"/>
      <c r="O3" s="207"/>
      <c r="P3" s="208"/>
      <c r="U3" s="206"/>
      <c r="V3" s="207"/>
      <c r="W3" s="207"/>
      <c r="X3" s="208"/>
      <c r="AC3" s="217"/>
      <c r="AD3" s="218"/>
      <c r="AE3" s="218"/>
      <c r="AF3" s="219"/>
    </row>
    <row r="4" spans="2:39" ht="12.75" customHeight="1" thickTop="1" thickBot="1" x14ac:dyDescent="0.2">
      <c r="B4" s="17"/>
      <c r="C4" s="213"/>
      <c r="E4" s="5" t="s">
        <v>33</v>
      </c>
      <c r="F4" s="6" t="s">
        <v>34</v>
      </c>
      <c r="G4" s="6" t="s">
        <v>35</v>
      </c>
      <c r="H4" s="7" t="s">
        <v>36</v>
      </c>
      <c r="J4" s="30">
        <v>2022</v>
      </c>
      <c r="K4" s="10"/>
      <c r="M4" s="5" t="s">
        <v>33</v>
      </c>
      <c r="N4" s="6" t="s">
        <v>34</v>
      </c>
      <c r="O4" s="6" t="s">
        <v>35</v>
      </c>
      <c r="P4" s="7" t="s">
        <v>36</v>
      </c>
      <c r="R4" s="30">
        <v>2022</v>
      </c>
      <c r="S4" s="10"/>
      <c r="T4" s="73"/>
      <c r="U4" s="5" t="s">
        <v>33</v>
      </c>
      <c r="V4" s="6" t="s">
        <v>34</v>
      </c>
      <c r="W4" s="6" t="s">
        <v>35</v>
      </c>
      <c r="X4" s="7" t="s">
        <v>36</v>
      </c>
      <c r="Z4" s="30">
        <v>2022</v>
      </c>
      <c r="AA4" s="10"/>
      <c r="AC4" s="5" t="s">
        <v>33</v>
      </c>
      <c r="AD4" s="6" t="s">
        <v>34</v>
      </c>
      <c r="AE4" s="6" t="s">
        <v>35</v>
      </c>
      <c r="AF4" s="7" t="s">
        <v>36</v>
      </c>
      <c r="AH4" s="30">
        <v>2022</v>
      </c>
      <c r="AI4" s="10"/>
      <c r="AK4" s="209" t="s">
        <v>37</v>
      </c>
      <c r="AL4" s="210"/>
    </row>
    <row r="5" spans="2:39" ht="13" thickTop="1" x14ac:dyDescent="0.15">
      <c r="B5" s="31">
        <v>10000</v>
      </c>
      <c r="C5" s="88" t="s">
        <v>1</v>
      </c>
      <c r="E5" s="20"/>
      <c r="F5" s="23">
        <f>IF(ISERROR(VLOOKUP($B5,[1]Hedef!$A$4:$ES$45409,111,0)),0,VLOOKUP($B5,[1]Hedef!$A$4:$ES$45409,111,0))</f>
        <v>0.49189000000000005</v>
      </c>
      <c r="G5" s="21" t="str">
        <f t="shared" ref="G5:G19" si="0">IF((E5-F5)&lt;0, "-", (E5-F5))</f>
        <v>-</v>
      </c>
      <c r="H5" s="80" t="e">
        <f>TRUNC(IF((F5/E5)&gt;1.2,"120%",(F5/E5)),2)</f>
        <v>#DIV/0!</v>
      </c>
      <c r="J5" s="44">
        <v>2.7018399999999998</v>
      </c>
      <c r="K5" s="11">
        <f>IF(ISERROR((F5-J5)/J5),0,(F5-J5)/J5)</f>
        <v>-0.81794258727385771</v>
      </c>
      <c r="M5" s="20"/>
      <c r="N5" s="23">
        <f>IF(ISERROR(VLOOKUP($B5,[1]Hedef!$A$4:$ES$45409,113,0)),0,VLOOKUP($B5,[1]Hedef!$A$4:$ES$45409,113,0))</f>
        <v>3.8530000000000002E-2</v>
      </c>
      <c r="O5" s="21" t="str">
        <f t="shared" ref="O5:O12" si="1">IF((M5-N5)&lt;0, "-", (M5-N5))</f>
        <v>-</v>
      </c>
      <c r="P5" s="80" t="e">
        <f t="shared" ref="P5:P12" si="2">TRUNC(IF((N5/M5)&gt;1.2,"120%",(N5/M5)),2)</f>
        <v>#DIV/0!</v>
      </c>
      <c r="R5" s="44">
        <v>0.37553999999999998</v>
      </c>
      <c r="S5" s="11">
        <f t="shared" ref="S5:S12" si="3">IF(ISERROR((N5-R5)/R5),0,(N5-R5)/R5)</f>
        <v>-0.89740107578420403</v>
      </c>
      <c r="T5" s="72"/>
      <c r="U5" s="20"/>
      <c r="V5" s="23">
        <f>IF(ISERROR(VLOOKUP($B5,[1]Hedef!$A$4:$ES$45409,115,0)),0,VLOOKUP($B5,[1]Hedef!$A$4:$ES$45409,115,0))</f>
        <v>1.12E-2</v>
      </c>
      <c r="W5" s="21" t="str">
        <f t="shared" ref="W5:W12" si="4">IF((U5-V5)&lt;0, "-", (U5-V5))</f>
        <v>-</v>
      </c>
      <c r="X5" s="80" t="e">
        <f t="shared" ref="X5:X12" si="5">TRUNC(IF((V5/U5)&gt;1.2,"120%",(V5/U5)),2)</f>
        <v>#DIV/0!</v>
      </c>
      <c r="Z5" s="44">
        <v>7.178000000000001E-2</v>
      </c>
      <c r="AA5" s="11">
        <f t="shared" ref="AA5:AA12" si="6">IF(ISERROR((V5-Z5)/Z5),0,(V5-Z5)/Z5)</f>
        <v>-0.84396767901922543</v>
      </c>
      <c r="AC5" s="22">
        <f t="shared" ref="AC5:AC12" si="7">M5+E5+U5</f>
        <v>0</v>
      </c>
      <c r="AD5" s="23">
        <f>IF(ISERROR(VLOOKUP($B5,[1]Hedef!$A$4:$ES$45409,117,0)),0,VLOOKUP($B5,[1]Hedef!$A$4:$ES$45409,117,0))</f>
        <v>0.54161999999999999</v>
      </c>
      <c r="AE5" s="21" t="str">
        <f t="shared" ref="AE5:AE12" si="8">IF((AC5-AD5)&lt;0, "-", (AC5-AD5))</f>
        <v>-</v>
      </c>
      <c r="AF5" s="80" t="e">
        <f t="shared" ref="AF5:AF12" si="9">TRUNC(IF((AD5/AC5)&gt;1.2,"120%",(AD5/AC5)),2)</f>
        <v>#DIV/0!</v>
      </c>
      <c r="AH5" s="44">
        <f>+Z5+R5+J5</f>
        <v>3.1491599999999997</v>
      </c>
      <c r="AI5" s="11">
        <f t="shared" ref="AI5:AI12" si="10">IF(ISERROR((AD5-AH5)/AH5),0,(AD5-AH5)/AH5)</f>
        <v>-0.82801127919826234</v>
      </c>
      <c r="AK5" s="12">
        <f>AC5-'GENEL HEDEF'!BI5</f>
        <v>-3.25</v>
      </c>
      <c r="AL5" s="15">
        <f>AD5-V5-N5-F5</f>
        <v>0</v>
      </c>
      <c r="AM5" s="13">
        <f t="shared" ref="AM5:AM56" si="11">AK5*-1</f>
        <v>3.25</v>
      </c>
    </row>
    <row r="6" spans="2:39" x14ac:dyDescent="0.15">
      <c r="B6" s="18">
        <v>2</v>
      </c>
      <c r="C6" s="1" t="s">
        <v>2</v>
      </c>
      <c r="E6" s="22"/>
      <c r="F6" s="23">
        <f>IF(ISERROR(VLOOKUP($B6,[1]Hedef!$A$4:$ES$45409,111,0)),0,VLOOKUP($B6,[1]Hedef!$A$4:$ES$45409,111,0))</f>
        <v>0.16925000000000001</v>
      </c>
      <c r="G6" s="23" t="str">
        <f t="shared" si="0"/>
        <v>-</v>
      </c>
      <c r="H6" s="80" t="e">
        <f t="shared" ref="H6:H12" si="12">TRUNC(IF((F6/E6)&gt;1.2,"120%",(F6/E6)),2)</f>
        <v>#DIV/0!</v>
      </c>
      <c r="J6" s="44">
        <v>1.7349999999999999</v>
      </c>
      <c r="K6" s="11">
        <f t="shared" ref="K6:K19" si="13">IF(ISERROR((F6-J6)/J6),0,(F6-J6)/J6)</f>
        <v>-0.90244956772334295</v>
      </c>
      <c r="M6" s="22"/>
      <c r="N6" s="23">
        <f>IF(ISERROR(VLOOKUP($B6,[1]Hedef!$A$4:$ES$45409,113,0)),0,VLOOKUP($B6,[1]Hedef!$A$4:$ES$45409,113,0))</f>
        <v>7.9000000000000001E-2</v>
      </c>
      <c r="O6" s="23" t="str">
        <f t="shared" si="1"/>
        <v>-</v>
      </c>
      <c r="P6" s="80" t="e">
        <f t="shared" si="2"/>
        <v>#DIV/0!</v>
      </c>
      <c r="R6" s="44">
        <v>1.7247499999999998</v>
      </c>
      <c r="S6" s="11">
        <f t="shared" si="3"/>
        <v>-0.95419626032758376</v>
      </c>
      <c r="T6" s="72"/>
      <c r="U6" s="22"/>
      <c r="V6" s="23">
        <f>IF(ISERROR(VLOOKUP($B6,[1]Hedef!$A$4:$ES$45409,115,0)),0,VLOOKUP($B6,[1]Hedef!$A$4:$ES$45409,115,0))</f>
        <v>6.4500000000000002E-2</v>
      </c>
      <c r="W6" s="23" t="str">
        <f t="shared" si="4"/>
        <v>-</v>
      </c>
      <c r="X6" s="80" t="e">
        <f t="shared" si="5"/>
        <v>#DIV/0!</v>
      </c>
      <c r="Z6" s="44">
        <v>1.4970000000000001</v>
      </c>
      <c r="AA6" s="11">
        <f t="shared" si="6"/>
        <v>-0.95691382765531063</v>
      </c>
      <c r="AC6" s="22">
        <f t="shared" si="7"/>
        <v>0</v>
      </c>
      <c r="AD6" s="23">
        <f>IF(ISERROR(VLOOKUP($B6,[1]Hedef!$A$4:$ES$45409,117,0)),0,VLOOKUP($B6,[1]Hedef!$A$4:$ES$45409,117,0))</f>
        <v>0.35575000000000001</v>
      </c>
      <c r="AE6" s="23" t="str">
        <f t="shared" si="8"/>
        <v>-</v>
      </c>
      <c r="AF6" s="80" t="e">
        <f t="shared" si="9"/>
        <v>#DIV/0!</v>
      </c>
      <c r="AH6" s="44">
        <f t="shared" ref="AH6:AH12" si="14">+Z6+R6+J6</f>
        <v>4.9567499999999995</v>
      </c>
      <c r="AI6" s="11">
        <f t="shared" si="10"/>
        <v>-0.92822918242800212</v>
      </c>
      <c r="AK6" s="12">
        <f>AC6-'GENEL HEDEF'!BI6</f>
        <v>-5.2</v>
      </c>
      <c r="AL6" s="15">
        <f t="shared" ref="AL6:AL19" si="15">AD6-V6-N6-F6</f>
        <v>4.2999999999999983E-2</v>
      </c>
      <c r="AM6" s="13">
        <f>AK6*-1</f>
        <v>5.2</v>
      </c>
    </row>
    <row r="7" spans="2:39" x14ac:dyDescent="0.15">
      <c r="B7" s="18">
        <v>3</v>
      </c>
      <c r="C7" s="1" t="s">
        <v>65</v>
      </c>
      <c r="E7" s="22"/>
      <c r="F7" s="23">
        <f>IF(ISERROR(VLOOKUP($B7,[1]Hedef!$A$4:$ES$45409,111,0)),0,VLOOKUP($B7,[1]Hedef!$A$4:$ES$45409,111,0))</f>
        <v>1.3000000000000001E-2</v>
      </c>
      <c r="G7" s="23" t="str">
        <f t="shared" si="0"/>
        <v>-</v>
      </c>
      <c r="H7" s="80" t="e">
        <f t="shared" si="12"/>
        <v>#DIV/0!</v>
      </c>
      <c r="J7" s="44">
        <v>0.2419</v>
      </c>
      <c r="K7" s="11">
        <f t="shared" si="13"/>
        <v>-0.94625878462174451</v>
      </c>
      <c r="M7" s="22"/>
      <c r="N7" s="23">
        <f>IF(ISERROR(VLOOKUP($B7,[1]Hedef!$A$4:$ES$45409,113,0)),0,VLOOKUP($B7,[1]Hedef!$A$4:$ES$45409,113,0))</f>
        <v>5.1999999999999998E-2</v>
      </c>
      <c r="O7" s="23" t="str">
        <f t="shared" si="1"/>
        <v>-</v>
      </c>
      <c r="P7" s="80" t="e">
        <f t="shared" si="2"/>
        <v>#DIV/0!</v>
      </c>
      <c r="R7" s="44">
        <v>0.38340000000000002</v>
      </c>
      <c r="S7" s="11">
        <f t="shared" si="3"/>
        <v>-0.86437141366718839</v>
      </c>
      <c r="T7" s="72"/>
      <c r="U7" s="22"/>
      <c r="V7" s="23">
        <f>IF(ISERROR(VLOOKUP($B7,[1]Hedef!$A$4:$ES$45409,115,0)),0,VLOOKUP($B7,[1]Hedef!$A$4:$ES$45409,115,0))</f>
        <v>0.372</v>
      </c>
      <c r="W7" s="23" t="str">
        <f t="shared" si="4"/>
        <v>-</v>
      </c>
      <c r="X7" s="80" t="e">
        <f t="shared" si="5"/>
        <v>#DIV/0!</v>
      </c>
      <c r="Z7" s="44">
        <v>1.2180999999999997</v>
      </c>
      <c r="AA7" s="11">
        <f t="shared" si="6"/>
        <v>-0.694606354158115</v>
      </c>
      <c r="AC7" s="22">
        <f t="shared" si="7"/>
        <v>0</v>
      </c>
      <c r="AD7" s="23">
        <f>IF(ISERROR(VLOOKUP($B7,[1]Hedef!$A$4:$ES$45409,117,0)),0,VLOOKUP($B7,[1]Hedef!$A$4:$ES$45409,117,0))</f>
        <v>0.43700000000000006</v>
      </c>
      <c r="AE7" s="23" t="str">
        <f t="shared" si="8"/>
        <v>-</v>
      </c>
      <c r="AF7" s="80" t="e">
        <f t="shared" si="9"/>
        <v>#DIV/0!</v>
      </c>
      <c r="AH7" s="44">
        <f t="shared" si="14"/>
        <v>1.8433999999999997</v>
      </c>
      <c r="AI7" s="11">
        <f t="shared" si="10"/>
        <v>-0.76293804925680797</v>
      </c>
      <c r="AK7" s="12">
        <f>AC7-'GENEL HEDEF'!BI7</f>
        <v>-9.9</v>
      </c>
      <c r="AL7" s="15">
        <f t="shared" si="15"/>
        <v>5.8980598183211441E-17</v>
      </c>
      <c r="AM7" s="13">
        <f t="shared" si="11"/>
        <v>9.9</v>
      </c>
    </row>
    <row r="8" spans="2:39" x14ac:dyDescent="0.15">
      <c r="B8" s="18">
        <v>4</v>
      </c>
      <c r="C8" s="1" t="s">
        <v>3</v>
      </c>
      <c r="E8" s="22"/>
      <c r="F8" s="23">
        <f>IF(ISERROR(VLOOKUP($B8,[1]Hedef!$A$4:$ES$45409,111,0)),0,VLOOKUP($B8,[1]Hedef!$A$4:$ES$45409,111,0))</f>
        <v>0</v>
      </c>
      <c r="G8" s="23">
        <f t="shared" si="0"/>
        <v>0</v>
      </c>
      <c r="H8" s="80" t="e">
        <f t="shared" si="12"/>
        <v>#DIV/0!</v>
      </c>
      <c r="J8" s="44">
        <v>5.2210000000000001</v>
      </c>
      <c r="K8" s="11">
        <f t="shared" si="13"/>
        <v>-1</v>
      </c>
      <c r="M8" s="22"/>
      <c r="N8" s="23">
        <f>IF(ISERROR(VLOOKUP($B8,[1]Hedef!$A$4:$ES$45409,113,0)),0,VLOOKUP($B8,[1]Hedef!$A$4:$ES$45409,113,0))</f>
        <v>0.38749997741999997</v>
      </c>
      <c r="O8" s="23" t="str">
        <f t="shared" si="1"/>
        <v>-</v>
      </c>
      <c r="P8" s="80" t="e">
        <f t="shared" si="2"/>
        <v>#DIV/0!</v>
      </c>
      <c r="R8" s="44">
        <v>3.4205000000000001</v>
      </c>
      <c r="S8" s="11">
        <f t="shared" si="3"/>
        <v>-0.88671247553866395</v>
      </c>
      <c r="T8" s="72"/>
      <c r="U8" s="22"/>
      <c r="V8" s="23">
        <f>IF(ISERROR(VLOOKUP($B8,[1]Hedef!$A$4:$ES$45409,115,0)),0,VLOOKUP($B8,[1]Hedef!$A$4:$ES$45409,115,0))</f>
        <v>0.19800000000000001</v>
      </c>
      <c r="W8" s="23" t="str">
        <f t="shared" si="4"/>
        <v>-</v>
      </c>
      <c r="X8" s="80" t="e">
        <f t="shared" si="5"/>
        <v>#DIV/0!</v>
      </c>
      <c r="Z8" s="44">
        <v>2.6520000000000001</v>
      </c>
      <c r="AA8" s="11">
        <f t="shared" si="6"/>
        <v>-0.92533936651583715</v>
      </c>
      <c r="AC8" s="22">
        <f t="shared" si="7"/>
        <v>0</v>
      </c>
      <c r="AD8" s="23">
        <f>IF(ISERROR(VLOOKUP($B8,[1]Hedef!$A$4:$ES$45409,117,0)),0,VLOOKUP($B8,[1]Hedef!$A$4:$ES$45409,117,0))</f>
        <v>0.58549997741999993</v>
      </c>
      <c r="AE8" s="23" t="str">
        <f t="shared" si="8"/>
        <v>-</v>
      </c>
      <c r="AF8" s="80" t="e">
        <f t="shared" si="9"/>
        <v>#DIV/0!</v>
      </c>
      <c r="AH8" s="44">
        <f t="shared" si="14"/>
        <v>11.2935</v>
      </c>
      <c r="AI8" s="11">
        <f t="shared" si="10"/>
        <v>-0.94815602094833318</v>
      </c>
      <c r="AK8" s="12">
        <f>AC8-'GENEL HEDEF'!BI8</f>
        <v>-10.9</v>
      </c>
      <c r="AL8" s="15">
        <f t="shared" si="15"/>
        <v>-5.5511151231257827E-17</v>
      </c>
      <c r="AM8" s="13">
        <f t="shared" si="11"/>
        <v>10.9</v>
      </c>
    </row>
    <row r="9" spans="2:39" x14ac:dyDescent="0.15">
      <c r="B9" s="18">
        <v>5</v>
      </c>
      <c r="C9" s="1" t="s">
        <v>4</v>
      </c>
      <c r="E9" s="22"/>
      <c r="F9" s="23">
        <f>IF(ISERROR(VLOOKUP($B9,[1]Hedef!$A$4:$ES$45409,111,0)),0,VLOOKUP($B9,[1]Hedef!$A$4:$ES$45409,111,0))</f>
        <v>3.2000000000000001E-2</v>
      </c>
      <c r="G9" s="23" t="str">
        <f t="shared" si="0"/>
        <v>-</v>
      </c>
      <c r="H9" s="80" t="e">
        <f t="shared" si="12"/>
        <v>#DIV/0!</v>
      </c>
      <c r="J9" s="44">
        <v>8.5000000000000006E-2</v>
      </c>
      <c r="K9" s="11">
        <f t="shared" si="13"/>
        <v>-0.62352941176470589</v>
      </c>
      <c r="M9" s="22"/>
      <c r="N9" s="23">
        <f>IF(ISERROR(VLOOKUP($B9,[1]Hedef!$A$4:$ES$45409,113,0)),0,VLOOKUP($B9,[1]Hedef!$A$4:$ES$45409,113,0))</f>
        <v>0</v>
      </c>
      <c r="O9" s="23">
        <f t="shared" si="1"/>
        <v>0</v>
      </c>
      <c r="P9" s="80" t="e">
        <f t="shared" si="2"/>
        <v>#DIV/0!</v>
      </c>
      <c r="R9" s="44">
        <v>3.1E-2</v>
      </c>
      <c r="S9" s="11">
        <f t="shared" si="3"/>
        <v>-1</v>
      </c>
      <c r="T9" s="72"/>
      <c r="U9" s="22"/>
      <c r="V9" s="23">
        <f>IF(ISERROR(VLOOKUP($B9,[1]Hedef!$A$4:$ES$45409,115,0)),0,VLOOKUP($B9,[1]Hedef!$A$4:$ES$45409,115,0))</f>
        <v>3.0000000000000001E-3</v>
      </c>
      <c r="W9" s="23" t="str">
        <f t="shared" si="4"/>
        <v>-</v>
      </c>
      <c r="X9" s="80" t="e">
        <f t="shared" si="5"/>
        <v>#DIV/0!</v>
      </c>
      <c r="Z9" s="44">
        <v>0.20599999999999999</v>
      </c>
      <c r="AA9" s="11">
        <f t="shared" si="6"/>
        <v>-0.9854368932038835</v>
      </c>
      <c r="AC9" s="22">
        <f t="shared" si="7"/>
        <v>0</v>
      </c>
      <c r="AD9" s="23">
        <f>IF(ISERROR(VLOOKUP($B9,[1]Hedef!$A$4:$ES$45409,117,0)),0,VLOOKUP($B9,[1]Hedef!$A$4:$ES$45409,117,0))</f>
        <v>3.5000000000000003E-2</v>
      </c>
      <c r="AE9" s="23" t="str">
        <f t="shared" si="8"/>
        <v>-</v>
      </c>
      <c r="AF9" s="80" t="e">
        <f t="shared" si="9"/>
        <v>#DIV/0!</v>
      </c>
      <c r="AH9" s="44">
        <f t="shared" si="14"/>
        <v>0.32200000000000001</v>
      </c>
      <c r="AI9" s="11">
        <f t="shared" si="10"/>
        <v>-0.89130434782608703</v>
      </c>
      <c r="AK9" s="12">
        <f>AC9-'GENEL HEDEF'!BI9</f>
        <v>-0.35</v>
      </c>
      <c r="AL9" s="15">
        <f t="shared" si="15"/>
        <v>0</v>
      </c>
      <c r="AM9" s="13">
        <f t="shared" si="11"/>
        <v>0.35</v>
      </c>
    </row>
    <row r="10" spans="2:39" x14ac:dyDescent="0.15">
      <c r="B10" s="18">
        <v>6</v>
      </c>
      <c r="C10" s="1" t="s">
        <v>5</v>
      </c>
      <c r="E10" s="22"/>
      <c r="F10" s="23">
        <f>IF(ISERROR(VLOOKUP($B10,[1]Hedef!$A$4:$ES$45409,111,0)),0,VLOOKUP($B10,[1]Hedef!$A$4:$ES$45409,111,0))</f>
        <v>4.7499999999999999E-3</v>
      </c>
      <c r="G10" s="23" t="str">
        <f t="shared" si="0"/>
        <v>-</v>
      </c>
      <c r="H10" s="80" t="e">
        <f t="shared" si="12"/>
        <v>#DIV/0!</v>
      </c>
      <c r="J10" s="44">
        <v>3.7250000000000005E-2</v>
      </c>
      <c r="K10" s="11">
        <f t="shared" si="13"/>
        <v>-0.87248322147651014</v>
      </c>
      <c r="M10" s="22"/>
      <c r="N10" s="23">
        <f>IF(ISERROR(VLOOKUP($B10,[1]Hedef!$A$4:$ES$45409,113,0)),0,VLOOKUP($B10,[1]Hedef!$A$4:$ES$45409,113,0))</f>
        <v>6.2500000000000003E-3</v>
      </c>
      <c r="O10" s="23" t="str">
        <f t="shared" si="1"/>
        <v>-</v>
      </c>
      <c r="P10" s="80" t="e">
        <f t="shared" si="2"/>
        <v>#DIV/0!</v>
      </c>
      <c r="R10" s="44">
        <v>6.0750000000000005E-2</v>
      </c>
      <c r="S10" s="11">
        <f t="shared" si="3"/>
        <v>-0.89711934156378603</v>
      </c>
      <c r="T10" s="72"/>
      <c r="U10" s="22"/>
      <c r="V10" s="23">
        <f>IF(ISERROR(VLOOKUP($B10,[1]Hedef!$A$4:$ES$45409,115,0)),0,VLOOKUP($B10,[1]Hedef!$A$4:$ES$45409,115,0))</f>
        <v>2.2500000000000003E-3</v>
      </c>
      <c r="W10" s="23" t="str">
        <f t="shared" si="4"/>
        <v>-</v>
      </c>
      <c r="X10" s="80" t="e">
        <f t="shared" si="5"/>
        <v>#DIV/0!</v>
      </c>
      <c r="Z10" s="44">
        <v>3.4750000000000003E-2</v>
      </c>
      <c r="AA10" s="11">
        <f t="shared" si="6"/>
        <v>-0.93525179856115104</v>
      </c>
      <c r="AC10" s="22">
        <f t="shared" si="7"/>
        <v>0</v>
      </c>
      <c r="AD10" s="23">
        <f>IF(ISERROR(VLOOKUP($B10,[1]Hedef!$A$4:$ES$45409,117,0)),0,VLOOKUP($B10,[1]Hedef!$A$4:$ES$45409,117,0))</f>
        <v>1.3250000000000001E-2</v>
      </c>
      <c r="AE10" s="23" t="str">
        <f t="shared" si="8"/>
        <v>-</v>
      </c>
      <c r="AF10" s="80" t="e">
        <f t="shared" si="9"/>
        <v>#DIV/0!</v>
      </c>
      <c r="AH10" s="44">
        <f t="shared" si="14"/>
        <v>0.13275000000000001</v>
      </c>
      <c r="AI10" s="11">
        <f t="shared" si="10"/>
        <v>-0.90018832391713755</v>
      </c>
      <c r="AK10" s="12">
        <f>AC10-'GENEL HEDEF'!BI10</f>
        <v>-0.14000000000000001</v>
      </c>
      <c r="AL10" s="15">
        <f t="shared" si="15"/>
        <v>0</v>
      </c>
      <c r="AM10" s="13">
        <f t="shared" si="11"/>
        <v>0.14000000000000001</v>
      </c>
    </row>
    <row r="11" spans="2:39" x14ac:dyDescent="0.15">
      <c r="B11" s="31">
        <v>54</v>
      </c>
      <c r="C11" s="1" t="s">
        <v>151</v>
      </c>
      <c r="E11" s="22"/>
      <c r="F11" s="23">
        <f>IF(ISERROR(VLOOKUP($B11,[1]Hedef!$A$4:$ES$45409,111,0)),0,VLOOKUP($B11,[1]Hedef!$A$4:$ES$45409,111,0))</f>
        <v>0</v>
      </c>
      <c r="G11" s="23">
        <f t="shared" ref="G11" si="16">IF((E11-F11)&lt;0, "-", (E11-F11))</f>
        <v>0</v>
      </c>
      <c r="H11" s="80" t="e">
        <f t="shared" si="12"/>
        <v>#DIV/0!</v>
      </c>
      <c r="J11" s="44">
        <v>1.406E-2</v>
      </c>
      <c r="K11" s="11">
        <f t="shared" ref="K11" si="17">IF(ISERROR((F11-J11)/J11),0,(F11-J11)/J11)</f>
        <v>-1</v>
      </c>
      <c r="M11" s="22"/>
      <c r="N11" s="23">
        <f>IF(ISERROR(VLOOKUP($B11,[1]Hedef!$A$4:$ES$45409,113,0)),0,VLOOKUP($B11,[1]Hedef!$A$4:$ES$45409,113,0))</f>
        <v>1.8500000000000001E-3</v>
      </c>
      <c r="O11" s="23" t="str">
        <f t="shared" ref="O11" si="18">IF((M11-N11)&lt;0, "-", (M11-N11))</f>
        <v>-</v>
      </c>
      <c r="P11" s="80" t="e">
        <f t="shared" si="2"/>
        <v>#DIV/0!</v>
      </c>
      <c r="R11" s="44">
        <v>3.6760000000000001E-2</v>
      </c>
      <c r="S11" s="11">
        <f t="shared" ref="S11" si="19">IF(ISERROR((N11-R11)/R11),0,(N11-R11)/R11)</f>
        <v>-0.94967355821545163</v>
      </c>
      <c r="T11" s="72"/>
      <c r="U11" s="22"/>
      <c r="V11" s="23">
        <f>IF(ISERROR(VLOOKUP($B11,[1]Hedef!$A$4:$ES$45409,115,0)),0,VLOOKUP($B11,[1]Hedef!$A$4:$ES$45409,115,0))</f>
        <v>1.5499999999999999E-3</v>
      </c>
      <c r="W11" s="23" t="str">
        <f t="shared" ref="W11" si="20">IF((U11-V11)&lt;0, "-", (U11-V11))</f>
        <v>-</v>
      </c>
      <c r="X11" s="80" t="e">
        <f t="shared" si="5"/>
        <v>#DIV/0!</v>
      </c>
      <c r="Z11" s="44">
        <v>9.9500000000000005E-3</v>
      </c>
      <c r="AA11" s="11">
        <f t="shared" ref="AA11" si="21">IF(ISERROR((V11-Z11)/Z11),0,(V11-Z11)/Z11)</f>
        <v>-0.84422110552763829</v>
      </c>
      <c r="AC11" s="22">
        <f t="shared" si="7"/>
        <v>0</v>
      </c>
      <c r="AD11" s="23">
        <f>IF(ISERROR(VLOOKUP($B11,[1]Hedef!$A$4:$ES$45409,117,0)),0,VLOOKUP($B11,[1]Hedef!$A$4:$ES$45409,117,0))</f>
        <v>3.3999999999999998E-3</v>
      </c>
      <c r="AE11" s="23" t="str">
        <f t="shared" ref="AE11" si="22">IF((AC11-AD11)&lt;0, "-", (AC11-AD11))</f>
        <v>-</v>
      </c>
      <c r="AF11" s="80" t="e">
        <f t="shared" si="9"/>
        <v>#DIV/0!</v>
      </c>
      <c r="AH11" s="44">
        <f t="shared" si="14"/>
        <v>6.0770000000000005E-2</v>
      </c>
      <c r="AI11" s="11">
        <f t="shared" ref="AI11" si="23">IF(ISERROR((AD11-AH11)/AH11),0,(AD11-AH11)/AH11)</f>
        <v>-0.9440513411222643</v>
      </c>
      <c r="AK11" s="12">
        <f>AC11-'GENEL HEDEF'!BI11</f>
        <v>-7.0000000000000007E-2</v>
      </c>
      <c r="AL11" s="15">
        <f t="shared" ref="AL11" si="24">AD11-V11-N11-F11</f>
        <v>-2.1684043449710089E-19</v>
      </c>
      <c r="AM11" s="13">
        <f t="shared" ref="AM11" si="25">AK11*-1</f>
        <v>7.0000000000000007E-2</v>
      </c>
    </row>
    <row r="12" spans="2:39" ht="13" thickBot="1" x14ac:dyDescent="0.2">
      <c r="B12" s="18">
        <v>7</v>
      </c>
      <c r="C12" s="1" t="s">
        <v>6</v>
      </c>
      <c r="E12" s="22"/>
      <c r="F12" s="23">
        <f>IF(ISERROR(VLOOKUP($B12,[1]Hedef!$A$4:$ES$45409,111,0)),0,VLOOKUP($B12,[1]Hedef!$A$4:$ES$45409,111,0))</f>
        <v>9.9360000000000004E-3</v>
      </c>
      <c r="G12" s="23" t="str">
        <f t="shared" si="0"/>
        <v>-</v>
      </c>
      <c r="H12" s="80" t="e">
        <f t="shared" si="12"/>
        <v>#DIV/0!</v>
      </c>
      <c r="J12" s="44">
        <v>0.27789599999999998</v>
      </c>
      <c r="K12" s="11">
        <f t="shared" si="13"/>
        <v>-0.96424561706537693</v>
      </c>
      <c r="M12" s="22"/>
      <c r="N12" s="23">
        <f>IF(ISERROR(VLOOKUP($B12,[1]Hedef!$A$4:$ES$45409,113,0)),0,VLOOKUP($B12,[1]Hedef!$A$4:$ES$45409,113,0))</f>
        <v>3.8648022580000004E-2</v>
      </c>
      <c r="O12" s="23" t="str">
        <f t="shared" si="1"/>
        <v>-</v>
      </c>
      <c r="P12" s="80" t="e">
        <f t="shared" si="2"/>
        <v>#DIV/0!</v>
      </c>
      <c r="R12" s="44">
        <v>0.468696</v>
      </c>
      <c r="S12" s="11">
        <f t="shared" si="3"/>
        <v>-0.91754138593032586</v>
      </c>
      <c r="T12" s="72"/>
      <c r="U12" s="22"/>
      <c r="V12" s="23">
        <f>IF(ISERROR(VLOOKUP($B12,[1]Hedef!$A$4:$ES$45409,115,0)),0,VLOOKUP($B12,[1]Hedef!$A$4:$ES$45409,115,0))</f>
        <v>7.6375999999999999E-2</v>
      </c>
      <c r="W12" s="23" t="str">
        <f t="shared" si="4"/>
        <v>-</v>
      </c>
      <c r="X12" s="80" t="e">
        <f t="shared" si="5"/>
        <v>#DIV/0!</v>
      </c>
      <c r="Z12" s="44">
        <v>0.34271600000000002</v>
      </c>
      <c r="AA12" s="11">
        <f t="shared" si="6"/>
        <v>-0.77714492466065199</v>
      </c>
      <c r="AC12" s="22">
        <f t="shared" si="7"/>
        <v>0</v>
      </c>
      <c r="AD12" s="23">
        <f>IF(ISERROR(VLOOKUP($B12,[1]Hedef!$A$4:$ES$45409,117,0)),0,VLOOKUP($B12,[1]Hedef!$A$4:$ES$45409,117,0))</f>
        <v>0.14096002258000001</v>
      </c>
      <c r="AE12" s="23" t="str">
        <f t="shared" si="8"/>
        <v>-</v>
      </c>
      <c r="AF12" s="80" t="e">
        <f t="shared" si="9"/>
        <v>#DIV/0!</v>
      </c>
      <c r="AH12" s="44">
        <f t="shared" si="14"/>
        <v>1.0893079999999999</v>
      </c>
      <c r="AI12" s="11">
        <f t="shared" si="10"/>
        <v>-0.87059672509519803</v>
      </c>
      <c r="AK12" s="12">
        <f>AC12-'GENEL HEDEF'!BI12</f>
        <v>-1.25</v>
      </c>
      <c r="AL12" s="15">
        <f t="shared" si="15"/>
        <v>1.6000000000000007E-2</v>
      </c>
      <c r="AM12" s="13">
        <f t="shared" si="11"/>
        <v>1.25</v>
      </c>
    </row>
    <row r="13" spans="2:39" ht="14" thickTop="1" thickBot="1" x14ac:dyDescent="0.2">
      <c r="B13" s="18"/>
      <c r="C13" s="2" t="s">
        <v>7</v>
      </c>
      <c r="E13" s="67">
        <f>SUM(E5:E12)</f>
        <v>0</v>
      </c>
      <c r="F13" s="67">
        <f>SUM(F5:F12)</f>
        <v>0.72082600000000019</v>
      </c>
      <c r="G13" s="67">
        <f>SUM(G5:G12)</f>
        <v>0</v>
      </c>
      <c r="H13" s="39" t="e">
        <f>TRUNC(IF((F13/E13)&gt;1.2,"120%",(F13/E13)),2)</f>
        <v>#DIV/0!</v>
      </c>
      <c r="I13" s="109"/>
      <c r="J13" s="67"/>
      <c r="K13" s="48"/>
      <c r="L13" s="109"/>
      <c r="M13" s="67">
        <f>SUM(M5:M12)</f>
        <v>0</v>
      </c>
      <c r="N13" s="67">
        <f>SUM(N5:N12)</f>
        <v>0.60377799999999993</v>
      </c>
      <c r="O13" s="67">
        <f>SUM(O5:O12)</f>
        <v>0</v>
      </c>
      <c r="P13" s="39" t="e">
        <f>TRUNC(IF((N13/M13)&gt;1.2,"120%",(N13/M13)),2)</f>
        <v>#DIV/0!</v>
      </c>
      <c r="Q13" s="109"/>
      <c r="R13" s="67"/>
      <c r="S13" s="48"/>
      <c r="T13" s="74"/>
      <c r="U13" s="67">
        <f>SUM(U5:U12)</f>
        <v>0</v>
      </c>
      <c r="V13" s="67">
        <f>SUM(V5:V12)</f>
        <v>0.72887599999999997</v>
      </c>
      <c r="W13" s="67">
        <f>SUM(W5:W12)</f>
        <v>0</v>
      </c>
      <c r="X13" s="39" t="e">
        <f>TRUNC(IF((V13/U13)&gt;1.2,"120%",(V13/U13)),2)</f>
        <v>#DIV/0!</v>
      </c>
      <c r="Y13" s="109"/>
      <c r="Z13" s="67"/>
      <c r="AA13" s="48"/>
      <c r="AB13" s="109"/>
      <c r="AC13" s="67">
        <f>SUM(AC5:AC12)</f>
        <v>0</v>
      </c>
      <c r="AD13" s="67">
        <f>SUM(AD5:AD12)</f>
        <v>2.1124799999999997</v>
      </c>
      <c r="AE13" s="67">
        <f>SUM(AE5:AE12)</f>
        <v>0</v>
      </c>
      <c r="AF13" s="39" t="e">
        <f>TRUNC(IF((AD13/AC13)&gt;1.2,"120%",(AD13/AC13)),2)</f>
        <v>#DIV/0!</v>
      </c>
      <c r="AH13" s="67"/>
      <c r="AI13" s="48"/>
      <c r="AK13" s="8"/>
      <c r="AL13" s="89"/>
      <c r="AM13" s="13">
        <f t="shared" si="11"/>
        <v>0</v>
      </c>
    </row>
    <row r="14" spans="2:39" ht="13" thickTop="1" x14ac:dyDescent="0.15">
      <c r="B14" s="18">
        <v>4000</v>
      </c>
      <c r="C14" s="1" t="s">
        <v>8</v>
      </c>
      <c r="E14" s="22"/>
      <c r="F14" s="23">
        <f>IF(ISERROR(VLOOKUP($B14,[1]Hedef!$A$4:$ES$45409,111,0)),0,VLOOKUP($B14,[1]Hedef!$A$4:$ES$45409,111,0))</f>
        <v>2.1950000000000001E-2</v>
      </c>
      <c r="G14" s="23" t="str">
        <f t="shared" si="0"/>
        <v>-</v>
      </c>
      <c r="H14" s="80" t="e">
        <f t="shared" ref="H14:H16" si="26">TRUNC(IF((F14/E14)&gt;1.2,"120%",(F14/E14)),2)</f>
        <v>#DIV/0!</v>
      </c>
      <c r="J14" s="44">
        <v>0.45169999999999999</v>
      </c>
      <c r="K14" s="11">
        <f t="shared" si="13"/>
        <v>-0.95140580030994015</v>
      </c>
      <c r="M14" s="22"/>
      <c r="N14" s="23">
        <f>IF(ISERROR(VLOOKUP($B14,[1]Hedef!$A$4:$ES$45409,113,0)),0,VLOOKUP($B14,[1]Hedef!$A$4:$ES$45409,113,0))</f>
        <v>5.3399999999999996E-2</v>
      </c>
      <c r="O14" s="23" t="str">
        <f>IF((M14-N14)&lt;0, "-", (M14-N14))</f>
        <v>-</v>
      </c>
      <c r="P14" s="80" t="e">
        <f t="shared" ref="P14:P16" si="27">TRUNC(IF((N14/M14)&gt;1.2,"120%",(N14/M14)),2)</f>
        <v>#DIV/0!</v>
      </c>
      <c r="R14" s="44">
        <v>1.1427499999999999</v>
      </c>
      <c r="S14" s="11">
        <f>IF(ISERROR((N14-R14)/R14),0,(N14-R14)/R14)</f>
        <v>-0.95327061912054267</v>
      </c>
      <c r="T14" s="72"/>
      <c r="U14" s="22"/>
      <c r="V14" s="23">
        <f>IF(ISERROR(VLOOKUP($B14,[1]Hedef!$A$4:$ES$45409,115,0)),0,VLOOKUP($B14,[1]Hedef!$A$4:$ES$45409,115,0))</f>
        <v>1.3850000000000001E-2</v>
      </c>
      <c r="W14" s="23" t="str">
        <f>IF((U14-V14)&lt;0, "-", (U14-V14))</f>
        <v>-</v>
      </c>
      <c r="X14" s="80" t="e">
        <f t="shared" ref="X14:X16" si="28">TRUNC(IF((V14/U14)&gt;1.2,"120%",(V14/U14)),2)</f>
        <v>#DIV/0!</v>
      </c>
      <c r="Z14" s="44">
        <v>0.22065000000000001</v>
      </c>
      <c r="AA14" s="11">
        <f>IF(ISERROR((V14-Z14)/Z14),0,(V14-Z14)/Z14)</f>
        <v>-0.93723090867890324</v>
      </c>
      <c r="AC14" s="22">
        <f>M14+E14+U14</f>
        <v>0</v>
      </c>
      <c r="AD14" s="23">
        <f>IF(ISERROR(VLOOKUP($B14,[1]Hedef!$A$4:$ES$45409,117,0)),0,VLOOKUP($B14,[1]Hedef!$A$4:$ES$45409,117,0))</f>
        <v>8.9200000000000002E-2</v>
      </c>
      <c r="AE14" s="23" t="str">
        <f>IF((AC14-AD14)&lt;0, "-", (AC14-AD14))</f>
        <v>-</v>
      </c>
      <c r="AF14" s="80" t="e">
        <f t="shared" ref="AF14:AF16" si="29">TRUNC(IF((AD14/AC14)&gt;1.2,"120%",(AD14/AC14)),2)</f>
        <v>#DIV/0!</v>
      </c>
      <c r="AH14" s="44">
        <f t="shared" ref="AH14:AH16" si="30">+Z14+R14+J14</f>
        <v>1.8150999999999999</v>
      </c>
      <c r="AI14" s="11">
        <f>IF(ISERROR((AD14-AH14)/AH14),0,(AD14-AH14)/AH14)</f>
        <v>-0.95085670211007656</v>
      </c>
      <c r="AK14" s="12">
        <f>AC14-'GENEL HEDEF'!BI14</f>
        <v>-1.77</v>
      </c>
      <c r="AL14" s="15">
        <f t="shared" si="15"/>
        <v>0</v>
      </c>
      <c r="AM14" s="13">
        <f t="shared" si="11"/>
        <v>1.77</v>
      </c>
    </row>
    <row r="15" spans="2:39" x14ac:dyDescent="0.15">
      <c r="B15" s="18">
        <v>3000</v>
      </c>
      <c r="C15" s="1" t="s">
        <v>9</v>
      </c>
      <c r="E15" s="22"/>
      <c r="F15" s="23">
        <f>IF(ISERROR(VLOOKUP($B15,[1]Hedef!$A$4:$ES$45409,111,0)),0,VLOOKUP($B15,[1]Hedef!$A$4:$ES$45409,111,0))</f>
        <v>4.1999999999999997E-3</v>
      </c>
      <c r="G15" s="23" t="str">
        <f t="shared" si="0"/>
        <v>-</v>
      </c>
      <c r="H15" s="80" t="e">
        <f t="shared" si="26"/>
        <v>#DIV/0!</v>
      </c>
      <c r="J15" s="44">
        <v>7.5250000000000011E-2</v>
      </c>
      <c r="K15" s="11">
        <f t="shared" si="13"/>
        <v>-0.94418604651162796</v>
      </c>
      <c r="M15" s="22"/>
      <c r="N15" s="23">
        <f>IF(ISERROR(VLOOKUP($B15,[1]Hedef!$A$4:$ES$45409,113,0)),0,VLOOKUP($B15,[1]Hedef!$A$4:$ES$45409,113,0))</f>
        <v>2.7000000000000001E-3</v>
      </c>
      <c r="O15" s="23" t="str">
        <f>IF((M15-N15)&lt;0, "-", (M15-N15))</f>
        <v>-</v>
      </c>
      <c r="P15" s="80" t="e">
        <f t="shared" si="27"/>
        <v>#DIV/0!</v>
      </c>
      <c r="R15" s="44">
        <v>5.0974999999999999E-2</v>
      </c>
      <c r="S15" s="11">
        <f>IF(ISERROR((N15-R15)/R15),0,(N15-R15)/R15)</f>
        <v>-0.9470328592447278</v>
      </c>
      <c r="T15" s="72"/>
      <c r="U15" s="22"/>
      <c r="V15" s="23">
        <f>IF(ISERROR(VLOOKUP($B15,[1]Hedef!$A$4:$ES$45409,115,0)),0,VLOOKUP($B15,[1]Hedef!$A$4:$ES$45409,115,0))</f>
        <v>3.6999999999999993E-3</v>
      </c>
      <c r="W15" s="23" t="str">
        <f>IF((U15-V15)&lt;0, "-", (U15-V15))</f>
        <v>-</v>
      </c>
      <c r="X15" s="80" t="e">
        <f t="shared" si="28"/>
        <v>#DIV/0!</v>
      </c>
      <c r="Z15" s="44">
        <v>3.4699999999999995E-2</v>
      </c>
      <c r="AA15" s="11">
        <f>IF(ISERROR((V15-Z15)/Z15),0,(V15-Z15)/Z15)</f>
        <v>-0.89337175792507206</v>
      </c>
      <c r="AC15" s="22">
        <f>M15+E15+U15</f>
        <v>0</v>
      </c>
      <c r="AD15" s="23">
        <f>IF(ISERROR(VLOOKUP($B15,[1]Hedef!$A$4:$ES$45409,117,0)),0,VLOOKUP($B15,[1]Hedef!$A$4:$ES$45409,117,0))</f>
        <v>1.06E-2</v>
      </c>
      <c r="AE15" s="23" t="str">
        <f>IF((AC15-AD15)&lt;0, "-", (AC15-AD15))</f>
        <v>-</v>
      </c>
      <c r="AF15" s="80" t="e">
        <f t="shared" si="29"/>
        <v>#DIV/0!</v>
      </c>
      <c r="AH15" s="44">
        <f t="shared" si="30"/>
        <v>0.16092500000000001</v>
      </c>
      <c r="AI15" s="11">
        <f>IF(ISERROR((AD15-AH15)/AH15),0,(AD15-AH15)/AH15)</f>
        <v>-0.9341308062762157</v>
      </c>
      <c r="AK15" s="12">
        <f>AC15-'GENEL HEDEF'!BI15</f>
        <v>-0.17</v>
      </c>
      <c r="AL15" s="15">
        <f t="shared" si="15"/>
        <v>0</v>
      </c>
      <c r="AM15" s="13">
        <f t="shared" si="11"/>
        <v>0.17</v>
      </c>
    </row>
    <row r="16" spans="2:39" ht="13" thickBot="1" x14ac:dyDescent="0.2">
      <c r="B16" s="18">
        <v>5000</v>
      </c>
      <c r="C16" s="1" t="s">
        <v>10</v>
      </c>
      <c r="E16" s="22"/>
      <c r="F16" s="23">
        <f>IF(ISERROR(VLOOKUP($B16,[1]Hedef!$A$4:$ES$45409,111,0)),0,VLOOKUP($B16,[1]Hedef!$A$4:$ES$45409,111,0))</f>
        <v>2.2000000000000001E-3</v>
      </c>
      <c r="G16" s="23" t="str">
        <f t="shared" si="0"/>
        <v>-</v>
      </c>
      <c r="H16" s="80" t="e">
        <f t="shared" si="26"/>
        <v>#DIV/0!</v>
      </c>
      <c r="J16" s="44">
        <v>7.1150000000000005E-2</v>
      </c>
      <c r="K16" s="11">
        <f t="shared" si="13"/>
        <v>-0.96907940969782158</v>
      </c>
      <c r="M16" s="22"/>
      <c r="N16" s="23">
        <f>IF(ISERROR(VLOOKUP($B16,[1]Hedef!$A$4:$ES$45409,113,0)),0,VLOOKUP($B16,[1]Hedef!$A$4:$ES$45409,113,0))</f>
        <v>3.5750000000000004E-2</v>
      </c>
      <c r="O16" s="23" t="str">
        <f>IF((M16-N16)&lt;0, "-", (M16-N16))</f>
        <v>-</v>
      </c>
      <c r="P16" s="80" t="e">
        <f t="shared" si="27"/>
        <v>#DIV/0!</v>
      </c>
      <c r="R16" s="44">
        <v>0.69192500000000012</v>
      </c>
      <c r="S16" s="11">
        <f>IF(ISERROR((N16-R16)/R16),0,(N16-R16)/R16)</f>
        <v>-0.94833255049318932</v>
      </c>
      <c r="T16" s="72"/>
      <c r="U16" s="22"/>
      <c r="V16" s="23">
        <f>IF(ISERROR(VLOOKUP($B16,[1]Hedef!$A$4:$ES$45409,115,0)),0,VLOOKUP($B16,[1]Hedef!$A$4:$ES$45409,115,0))</f>
        <v>2.43904E-2</v>
      </c>
      <c r="W16" s="23" t="str">
        <f>IF((U16-V16)&lt;0, "-", (U16-V16))</f>
        <v>-</v>
      </c>
      <c r="X16" s="80" t="e">
        <f t="shared" si="28"/>
        <v>#DIV/0!</v>
      </c>
      <c r="Z16" s="44">
        <v>0.59555000000000002</v>
      </c>
      <c r="AA16" s="11">
        <f>IF(ISERROR((V16-Z16)/Z16),0,(V16-Z16)/Z16)</f>
        <v>-0.95904558811182938</v>
      </c>
      <c r="AC16" s="22">
        <f>M16+E16+U16</f>
        <v>0</v>
      </c>
      <c r="AD16" s="23">
        <f>IF(ISERROR(VLOOKUP($B16,[1]Hedef!$A$4:$ES$45409,117,0)),0,VLOOKUP($B16,[1]Hedef!$A$4:$ES$45409,117,0))</f>
        <v>6.2340400000000004E-2</v>
      </c>
      <c r="AE16" s="23" t="str">
        <f>IF((AC16-AD16)&lt;0, "-", (AC16-AD16))</f>
        <v>-</v>
      </c>
      <c r="AF16" s="80" t="e">
        <f t="shared" si="29"/>
        <v>#DIV/0!</v>
      </c>
      <c r="AH16" s="44">
        <f t="shared" si="30"/>
        <v>1.3586250000000002</v>
      </c>
      <c r="AI16" s="11">
        <f>IF(ISERROR((AD16-AH16)/AH16),0,(AD16-AH16)/AH16)</f>
        <v>-0.95411507958413833</v>
      </c>
      <c r="AK16" s="12">
        <f>AC16-'GENEL HEDEF'!BI16</f>
        <v>-1.7</v>
      </c>
      <c r="AL16" s="15">
        <f t="shared" si="15"/>
        <v>0</v>
      </c>
      <c r="AM16" s="13">
        <f t="shared" si="11"/>
        <v>1.7</v>
      </c>
    </row>
    <row r="17" spans="2:39" ht="14" thickTop="1" thickBot="1" x14ac:dyDescent="0.2">
      <c r="B17" s="18" t="s">
        <v>55</v>
      </c>
      <c r="C17" s="2" t="s">
        <v>11</v>
      </c>
      <c r="E17" s="67">
        <f>SUM(E14:E16)</f>
        <v>0</v>
      </c>
      <c r="F17" s="67">
        <f>SUM(F14:F16)</f>
        <v>2.835E-2</v>
      </c>
      <c r="G17" s="67">
        <f>SUM(G14:G16)</f>
        <v>0</v>
      </c>
      <c r="H17" s="39" t="e">
        <f>TRUNC(IF((F17/E17)&gt;1.2,"120%",(F17/E17)),2)</f>
        <v>#DIV/0!</v>
      </c>
      <c r="I17" s="109"/>
      <c r="J17" s="67"/>
      <c r="K17" s="48"/>
      <c r="L17" s="109"/>
      <c r="M17" s="67">
        <f>SUM(M14:M16)</f>
        <v>0</v>
      </c>
      <c r="N17" s="67">
        <f>SUM(N14:N16)</f>
        <v>9.1850000000000001E-2</v>
      </c>
      <c r="O17" s="67">
        <f>SUM(O14:O16)</f>
        <v>0</v>
      </c>
      <c r="P17" s="39" t="e">
        <f>TRUNC(IF((N17/M17)&gt;1.2,"120%",(N17/M17)),2)</f>
        <v>#DIV/0!</v>
      </c>
      <c r="Q17" s="109"/>
      <c r="R17" s="67"/>
      <c r="S17" s="48"/>
      <c r="T17" s="74"/>
      <c r="U17" s="67">
        <f>SUM(U14:U16)</f>
        <v>0</v>
      </c>
      <c r="V17" s="67">
        <f>SUM(V14:V16)</f>
        <v>4.1940400000000003E-2</v>
      </c>
      <c r="W17" s="67">
        <f>SUM(W14:W16)</f>
        <v>0</v>
      </c>
      <c r="X17" s="39" t="e">
        <f>TRUNC(IF((V17/U17)&gt;1.2,"120%",(V17/U17)),2)</f>
        <v>#DIV/0!</v>
      </c>
      <c r="Y17" s="109"/>
      <c r="Z17" s="67"/>
      <c r="AA17" s="48"/>
      <c r="AB17" s="109"/>
      <c r="AC17" s="67">
        <f>SUM(AC14:AC16)</f>
        <v>0</v>
      </c>
      <c r="AD17" s="67">
        <f>SUM(AD14:AD16)</f>
        <v>0.16214040000000002</v>
      </c>
      <c r="AE17" s="67">
        <f>SUM(AE14:AE16)</f>
        <v>0</v>
      </c>
      <c r="AF17" s="39" t="e">
        <f>TRUNC(IF((AD17/AC17)&gt;1.2,"120%",(AD17/AC17)),2)</f>
        <v>#DIV/0!</v>
      </c>
      <c r="AH17" s="67"/>
      <c r="AI17" s="48"/>
      <c r="AK17" s="8"/>
      <c r="AL17" s="89"/>
      <c r="AM17" s="13">
        <f t="shared" si="11"/>
        <v>0</v>
      </c>
    </row>
    <row r="18" spans="2:39" ht="13" thickTop="1" x14ac:dyDescent="0.15">
      <c r="B18" s="18">
        <v>1000</v>
      </c>
      <c r="C18" s="1" t="s">
        <v>105</v>
      </c>
      <c r="E18" s="22"/>
      <c r="F18" s="23">
        <f>IF(ISERROR(VLOOKUP($B18,[1]Hedef!$A$4:$ES$45409,111,0)),0,VLOOKUP($B18,[1]Hedef!$A$4:$ES$45409,111,0))</f>
        <v>1.7899999999999999E-2</v>
      </c>
      <c r="G18" s="23" t="str">
        <f t="shared" si="0"/>
        <v>-</v>
      </c>
      <c r="H18" s="80" t="e">
        <f t="shared" ref="H18:H21" si="31">TRUNC(IF((F18/E18)&gt;1.2,"120%",(F18/E18)),2)</f>
        <v>#DIV/0!</v>
      </c>
      <c r="J18" s="44">
        <v>0.16518959999999999</v>
      </c>
      <c r="K18" s="11">
        <f t="shared" si="13"/>
        <v>-0.89163966738826173</v>
      </c>
      <c r="M18" s="22"/>
      <c r="N18" s="23">
        <f>IF(ISERROR(VLOOKUP($B18,[1]Hedef!$A$4:$ES$45409,113,0)),0,VLOOKUP($B18,[1]Hedef!$A$4:$ES$45409,113,0))</f>
        <v>1.2199999999999999E-2</v>
      </c>
      <c r="O18" s="23" t="str">
        <f>IF((M18-N18)&lt;0, "-", (M18-N18))</f>
        <v>-</v>
      </c>
      <c r="P18" s="80" t="e">
        <f t="shared" ref="P18:P21" si="32">TRUNC(IF((N18/M18)&gt;1.2,"120%",(N18/M18)),2)</f>
        <v>#DIV/0!</v>
      </c>
      <c r="R18" s="44">
        <v>0.12152400000000001</v>
      </c>
      <c r="S18" s="11">
        <f>IF(ISERROR((N18-R18)/R18),0,(N18-R18)/R18)</f>
        <v>-0.89960830782396894</v>
      </c>
      <c r="T18" s="72"/>
      <c r="U18" s="22"/>
      <c r="V18" s="23">
        <f>IF(ISERROR(VLOOKUP($B18,[1]Hedef!$A$4:$ES$45409,115,0)),0,VLOOKUP($B18,[1]Hedef!$A$4:$ES$45409,115,0))</f>
        <v>1.9493999999999997E-2</v>
      </c>
      <c r="W18" s="23" t="str">
        <f>IF((U18-V18)&lt;0, "-", (U18-V18))</f>
        <v>-</v>
      </c>
      <c r="X18" s="80" t="e">
        <f t="shared" ref="X18:X21" si="33">TRUNC(IF((V18/U18)&gt;1.2,"120%",(V18/U18)),2)</f>
        <v>#DIV/0!</v>
      </c>
      <c r="Z18" s="44">
        <v>8.9690800000000015E-2</v>
      </c>
      <c r="AA18" s="11">
        <f>IF(ISERROR((V18-Z18)/Z18),0,(V18-Z18)/Z18)</f>
        <v>-0.78265329331436451</v>
      </c>
      <c r="AC18" s="22">
        <f>M18+E18+U18</f>
        <v>0</v>
      </c>
      <c r="AD18" s="23">
        <f>IF(ISERROR(VLOOKUP($B18,[1]Hedef!$A$4:$ES$45409,117,0)),0,VLOOKUP($B18,[1]Hedef!$A$4:$ES$45409,117,0))</f>
        <v>4.9593999999999992E-2</v>
      </c>
      <c r="AE18" s="23" t="str">
        <f>IF((AC18-AD18)&lt;0, "-", (AC18-AD18))</f>
        <v>-</v>
      </c>
      <c r="AF18" s="80" t="e">
        <f t="shared" ref="AF18:AF21" si="34">TRUNC(IF((AD18/AC18)&gt;1.2,"120%",(AD18/AC18)),2)</f>
        <v>#DIV/0!</v>
      </c>
      <c r="AH18" s="44">
        <f t="shared" ref="AH18:AH19" si="35">+Z18+R18+J18</f>
        <v>0.37640440000000003</v>
      </c>
      <c r="AI18" s="11">
        <f>IF(ISERROR((AD18-AH18)/AH18),0,(AD18-AH18)/AH18)</f>
        <v>-0.86824277293251628</v>
      </c>
      <c r="AK18" s="12">
        <f>AC18-'GENEL HEDEF'!BI18</f>
        <v>-0.38</v>
      </c>
      <c r="AL18" s="15">
        <f t="shared" si="15"/>
        <v>0</v>
      </c>
      <c r="AM18" s="13">
        <f t="shared" si="11"/>
        <v>0.38</v>
      </c>
    </row>
    <row r="19" spans="2:39" ht="13" thickBot="1" x14ac:dyDescent="0.2">
      <c r="B19" s="18">
        <v>2000</v>
      </c>
      <c r="C19" s="1" t="s">
        <v>12</v>
      </c>
      <c r="E19" s="22"/>
      <c r="F19" s="23">
        <f>IF(ISERROR(VLOOKUP($B19,[1]Hedef!$A$4:$ES$45409,111,0)),0,VLOOKUP($B19,[1]Hedef!$A$4:$ES$45409,111,0))</f>
        <v>6.2449999999999997E-3</v>
      </c>
      <c r="G19" s="23" t="str">
        <f t="shared" si="0"/>
        <v>-</v>
      </c>
      <c r="H19" s="80" t="e">
        <f t="shared" si="31"/>
        <v>#DIV/0!</v>
      </c>
      <c r="J19" s="44">
        <v>5.8534999999999997E-2</v>
      </c>
      <c r="K19" s="11">
        <f t="shared" si="13"/>
        <v>-0.89331169385837528</v>
      </c>
      <c r="M19" s="22"/>
      <c r="N19" s="23">
        <f>IF(ISERROR(VLOOKUP($B19,[1]Hedef!$A$4:$ES$45409,113,0)),0,VLOOKUP($B19,[1]Hedef!$A$4:$ES$45409,113,0))</f>
        <v>4.4449999999999993E-3</v>
      </c>
      <c r="O19" s="23" t="str">
        <f>IF((M19-N19)&lt;0, "-", (M19-N19))</f>
        <v>-</v>
      </c>
      <c r="P19" s="80" t="e">
        <f t="shared" si="32"/>
        <v>#DIV/0!</v>
      </c>
      <c r="R19" s="44">
        <v>4.0648000000000004E-2</v>
      </c>
      <c r="S19" s="11">
        <f>IF(ISERROR((N19-R19)/R19),0,(N19-R19)/R19)</f>
        <v>-0.89064652627435548</v>
      </c>
      <c r="T19" s="72"/>
      <c r="U19" s="22"/>
      <c r="V19" s="23">
        <f>IF(ISERROR(VLOOKUP($B19,[1]Hedef!$A$4:$ES$45409,115,0)),0,VLOOKUP($B19,[1]Hedef!$A$4:$ES$45409,115,0))</f>
        <v>5.6749999999999995E-3</v>
      </c>
      <c r="W19" s="23" t="str">
        <f>IF((U19-V19)&lt;0, "-", (U19-V19))</f>
        <v>-</v>
      </c>
      <c r="X19" s="80" t="e">
        <f t="shared" si="33"/>
        <v>#DIV/0!</v>
      </c>
      <c r="Z19" s="44">
        <v>2.6809999999999997E-2</v>
      </c>
      <c r="AA19" s="11">
        <f>IF(ISERROR((V19-Z19)/Z19),0,(V19-Z19)/Z19)</f>
        <v>-0.78832525177172696</v>
      </c>
      <c r="AC19" s="22">
        <f>M19+E19+U19</f>
        <v>0</v>
      </c>
      <c r="AD19" s="23">
        <f>IF(ISERROR(VLOOKUP($B19,[1]Hedef!$A$4:$ES$45409,117,0)),0,VLOOKUP($B19,[1]Hedef!$A$4:$ES$45409,117,0))</f>
        <v>1.6364999999999998E-2</v>
      </c>
      <c r="AE19" s="23" t="str">
        <f>IF((AC19-AD19)&lt;0, "-", (AC19-AD19))</f>
        <v>-</v>
      </c>
      <c r="AF19" s="80" t="e">
        <f t="shared" si="34"/>
        <v>#DIV/0!</v>
      </c>
      <c r="AH19" s="44">
        <f t="shared" si="35"/>
        <v>0.12599299999999999</v>
      </c>
      <c r="AI19" s="11">
        <f>IF(ISERROR((AD19-AH19)/AH19),0,(AD19-AH19)/AH19)</f>
        <v>-0.87011183160969263</v>
      </c>
      <c r="AK19" s="12">
        <f>AC19-'GENEL HEDEF'!BI19</f>
        <v>-0.18</v>
      </c>
      <c r="AL19" s="15">
        <f t="shared" si="15"/>
        <v>0</v>
      </c>
      <c r="AM19" s="13">
        <f t="shared" si="11"/>
        <v>0.18</v>
      </c>
    </row>
    <row r="20" spans="2:39" ht="14" thickTop="1" thickBot="1" x14ac:dyDescent="0.2">
      <c r="B20" s="18" t="s">
        <v>56</v>
      </c>
      <c r="C20" s="2" t="s">
        <v>13</v>
      </c>
      <c r="E20" s="67">
        <f>SUM(E18:E19)</f>
        <v>0</v>
      </c>
      <c r="F20" s="67">
        <f>SUM(F18:F19)</f>
        <v>2.4145E-2</v>
      </c>
      <c r="G20" s="67">
        <f>SUM(G18:G19)</f>
        <v>0</v>
      </c>
      <c r="H20" s="39" t="e">
        <f t="shared" si="31"/>
        <v>#DIV/0!</v>
      </c>
      <c r="I20" s="109"/>
      <c r="J20" s="67"/>
      <c r="K20" s="48"/>
      <c r="L20" s="109"/>
      <c r="M20" s="67">
        <f>SUM(M18:M19)</f>
        <v>0</v>
      </c>
      <c r="N20" s="67">
        <f>SUM(N18:N19)</f>
        <v>1.6645E-2</v>
      </c>
      <c r="O20" s="67">
        <f>SUM(O18:O19)</f>
        <v>0</v>
      </c>
      <c r="P20" s="39" t="e">
        <f t="shared" si="32"/>
        <v>#DIV/0!</v>
      </c>
      <c r="Q20" s="109"/>
      <c r="R20" s="67"/>
      <c r="S20" s="48"/>
      <c r="T20" s="74"/>
      <c r="U20" s="67">
        <f>SUM(U18:U19)</f>
        <v>0</v>
      </c>
      <c r="V20" s="67">
        <f>SUM(V18:V19)</f>
        <v>2.5168999999999997E-2</v>
      </c>
      <c r="W20" s="67">
        <f>SUM(W18:W19)</f>
        <v>0</v>
      </c>
      <c r="X20" s="39" t="e">
        <f t="shared" si="33"/>
        <v>#DIV/0!</v>
      </c>
      <c r="Y20" s="109"/>
      <c r="Z20" s="67"/>
      <c r="AA20" s="48"/>
      <c r="AB20" s="109"/>
      <c r="AC20" s="67">
        <f>SUM(AC18:AC19)</f>
        <v>0</v>
      </c>
      <c r="AD20" s="67">
        <f>SUM(AD18:AD19)</f>
        <v>6.595899999999999E-2</v>
      </c>
      <c r="AE20" s="67">
        <f>SUM(AE18:AE19)</f>
        <v>0</v>
      </c>
      <c r="AF20" s="39" t="e">
        <f t="shared" si="34"/>
        <v>#DIV/0!</v>
      </c>
      <c r="AH20" s="67"/>
      <c r="AI20" s="48"/>
      <c r="AK20" s="8"/>
      <c r="AL20" s="89"/>
      <c r="AM20" s="13">
        <f t="shared" si="11"/>
        <v>0</v>
      </c>
    </row>
    <row r="21" spans="2:39" ht="14" thickTop="1" thickBot="1" x14ac:dyDescent="0.2">
      <c r="B21" s="18"/>
      <c r="C21" s="2" t="s">
        <v>14</v>
      </c>
      <c r="E21" s="67">
        <f>E20+E17</f>
        <v>0</v>
      </c>
      <c r="F21" s="110">
        <f>F20+F17</f>
        <v>5.2495E-2</v>
      </c>
      <c r="G21" s="110">
        <f>G20+G17</f>
        <v>0</v>
      </c>
      <c r="H21" s="39" t="e">
        <f t="shared" si="31"/>
        <v>#DIV/0!</v>
      </c>
      <c r="I21" s="109"/>
      <c r="J21" s="67"/>
      <c r="K21" s="48"/>
      <c r="L21" s="109"/>
      <c r="M21" s="67">
        <f>M20+M17</f>
        <v>0</v>
      </c>
      <c r="N21" s="110">
        <f>N20+N17</f>
        <v>0.10849500000000001</v>
      </c>
      <c r="O21" s="110">
        <f>O20+O17</f>
        <v>0</v>
      </c>
      <c r="P21" s="39" t="e">
        <f t="shared" si="32"/>
        <v>#DIV/0!</v>
      </c>
      <c r="Q21" s="109"/>
      <c r="R21" s="67"/>
      <c r="S21" s="48"/>
      <c r="T21" s="74"/>
      <c r="U21" s="67">
        <f>U20+U17</f>
        <v>0</v>
      </c>
      <c r="V21" s="110">
        <f>V20+V17</f>
        <v>6.71094E-2</v>
      </c>
      <c r="W21" s="110">
        <f>W20+W17</f>
        <v>0</v>
      </c>
      <c r="X21" s="39" t="e">
        <f t="shared" si="33"/>
        <v>#DIV/0!</v>
      </c>
      <c r="Y21" s="109"/>
      <c r="Z21" s="67"/>
      <c r="AA21" s="48"/>
      <c r="AB21" s="109"/>
      <c r="AC21" s="67">
        <f>AC20+AC17</f>
        <v>0</v>
      </c>
      <c r="AD21" s="110">
        <f>AD20+AD17</f>
        <v>0.22809940000000001</v>
      </c>
      <c r="AE21" s="110">
        <f>AE20+AE17</f>
        <v>0</v>
      </c>
      <c r="AF21" s="39" t="e">
        <f t="shared" si="34"/>
        <v>#DIV/0!</v>
      </c>
      <c r="AH21" s="67"/>
      <c r="AI21" s="48"/>
      <c r="AK21" s="8"/>
      <c r="AL21" s="89"/>
      <c r="AM21" s="13">
        <f t="shared" si="11"/>
        <v>0</v>
      </c>
    </row>
    <row r="22" spans="2:39" ht="13" thickTop="1" x14ac:dyDescent="0.15">
      <c r="B22" s="31">
        <v>6000</v>
      </c>
      <c r="C22" s="1" t="s">
        <v>15</v>
      </c>
      <c r="E22" s="22"/>
      <c r="F22" s="23">
        <f>IF(ISERROR(VLOOKUP($B22,[1]Hedef!$A$4:$ES$45409,111,0)),0,VLOOKUP($B22,[1]Hedef!$A$4:$ES$45409,111,0))</f>
        <v>0.27060000000000001</v>
      </c>
      <c r="G22" s="23" t="str">
        <f t="shared" ref="G22:G29" si="36">IF((E22-F22)&lt;0, "-", (E22-F22))</f>
        <v>-</v>
      </c>
      <c r="H22" s="80" t="e">
        <f t="shared" ref="H22:H29" si="37">TRUNC(IF((F22/E22)&gt;1.2,"120%",(F22/E22)),2)</f>
        <v>#DIV/0!</v>
      </c>
      <c r="J22" s="44">
        <v>1.1841999999999999</v>
      </c>
      <c r="K22" s="11">
        <f t="shared" ref="K22:K29" si="38">IF(ISERROR((F22-J22)/J22),0,(F22-J22)/J22)</f>
        <v>-0.77149130214490802</v>
      </c>
      <c r="M22" s="22"/>
      <c r="N22" s="23">
        <f>IF(ISERROR(VLOOKUP($B22,[1]Hedef!$A$4:$ES$45409,113,0)),0,VLOOKUP($B22,[1]Hedef!$A$4:$ES$45409,113,0))</f>
        <v>4.0800000000000003E-2</v>
      </c>
      <c r="O22" s="23" t="str">
        <f t="shared" ref="O22:O29" si="39">IF((M22-N22)&lt;0, "-", (M22-N22))</f>
        <v>-</v>
      </c>
      <c r="P22" s="80" t="e">
        <f t="shared" ref="P22:P29" si="40">TRUNC(IF((N22/M22)&gt;1.2,"120%",(N22/M22)),2)</f>
        <v>#DIV/0!</v>
      </c>
      <c r="R22" s="44">
        <v>0.98860000000000003</v>
      </c>
      <c r="S22" s="11">
        <f t="shared" ref="S22:S29" si="41">IF(ISERROR((N22-R22)/R22),0,(N22-R22)/R22)</f>
        <v>-0.95872951648796267</v>
      </c>
      <c r="T22" s="72"/>
      <c r="U22" s="22"/>
      <c r="V22" s="23">
        <f>IF(ISERROR(VLOOKUP($B22,[1]Hedef!$A$4:$ES$45409,115,0)),0,VLOOKUP($B22,[1]Hedef!$A$4:$ES$45409,115,0))</f>
        <v>9.5000000000000001E-2</v>
      </c>
      <c r="W22" s="23" t="str">
        <f t="shared" ref="W22:W29" si="42">IF((U22-V22)&lt;0, "-", (U22-V22))</f>
        <v>-</v>
      </c>
      <c r="X22" s="80" t="e">
        <f t="shared" ref="X22:X29" si="43">TRUNC(IF((V22/U22)&gt;1.2,"120%",(V22/U22)),2)</f>
        <v>#DIV/0!</v>
      </c>
      <c r="Z22" s="44">
        <v>0.81059999999999999</v>
      </c>
      <c r="AA22" s="11">
        <f t="shared" ref="AA22:AA29" si="44">IF(ISERROR((V22-Z22)/Z22),0,(V22-Z22)/Z22)</f>
        <v>-0.88280286207747349</v>
      </c>
      <c r="AC22" s="22">
        <f t="shared" ref="AC22:AC29" si="45">M22+E22+U22</f>
        <v>0</v>
      </c>
      <c r="AD22" s="23">
        <f>IF(ISERROR(VLOOKUP($B22,[1]Hedef!$A$4:$ES$45409,117,0)),0,VLOOKUP($B22,[1]Hedef!$A$4:$ES$45409,117,0))</f>
        <v>0.40640000000000004</v>
      </c>
      <c r="AE22" s="23" t="str">
        <f t="shared" ref="AE22:AE29" si="46">IF((AC22-AD22)&lt;0, "-", (AC22-AD22))</f>
        <v>-</v>
      </c>
      <c r="AF22" s="80" t="e">
        <f t="shared" ref="AF22:AF29" si="47">TRUNC(IF((AD22/AC22)&gt;1.2,"120%",(AD22/AC22)),2)</f>
        <v>#DIV/0!</v>
      </c>
      <c r="AH22" s="44">
        <f t="shared" ref="AH22:AH29" si="48">+Z22+R22+J22</f>
        <v>2.9833999999999996</v>
      </c>
      <c r="AI22" s="11">
        <f t="shared" ref="AI22:AI29" si="49">IF(ISERROR((AD22-AH22)/AH22),0,(AD22-AH22)/AH22)</f>
        <v>-0.86377958034457325</v>
      </c>
      <c r="AK22" s="12">
        <f>AC22-'GENEL HEDEF'!BI22</f>
        <v>-2.8</v>
      </c>
      <c r="AL22" s="15">
        <f t="shared" ref="AL22:AL29" si="50">AD22-V22-N22-F22</f>
        <v>0</v>
      </c>
      <c r="AM22" s="13">
        <f t="shared" si="11"/>
        <v>2.8</v>
      </c>
    </row>
    <row r="23" spans="2:39" x14ac:dyDescent="0.15">
      <c r="B23" s="31">
        <v>10</v>
      </c>
      <c r="C23" s="1" t="s">
        <v>16</v>
      </c>
      <c r="E23" s="22"/>
      <c r="F23" s="23">
        <f>IF(ISERROR(VLOOKUP($B23,[1]Hedef!$A$4:$ES$45409,111,0)),0,VLOOKUP($B23,[1]Hedef!$A$4:$ES$45409,111,0))</f>
        <v>0.35449999999999993</v>
      </c>
      <c r="G23" s="23" t="str">
        <f t="shared" si="36"/>
        <v>-</v>
      </c>
      <c r="H23" s="80" t="e">
        <f t="shared" si="37"/>
        <v>#DIV/0!</v>
      </c>
      <c r="J23" s="44">
        <v>1.7723</v>
      </c>
      <c r="K23" s="11">
        <f t="shared" si="38"/>
        <v>-0.79997743045759762</v>
      </c>
      <c r="M23" s="22"/>
      <c r="N23" s="23">
        <f>IF(ISERROR(VLOOKUP($B23,[1]Hedef!$A$4:$ES$45409,113,0)),0,VLOOKUP($B23,[1]Hedef!$A$4:$ES$45409,113,0))</f>
        <v>0.10890000000000001</v>
      </c>
      <c r="O23" s="23" t="str">
        <f t="shared" si="39"/>
        <v>-</v>
      </c>
      <c r="P23" s="80" t="e">
        <f t="shared" si="40"/>
        <v>#DIV/0!</v>
      </c>
      <c r="R23" s="44">
        <v>1.2666500000000001</v>
      </c>
      <c r="S23" s="11">
        <f t="shared" si="41"/>
        <v>-0.91402518454190185</v>
      </c>
      <c r="T23" s="72"/>
      <c r="U23" s="22"/>
      <c r="V23" s="23">
        <f>IF(ISERROR(VLOOKUP($B23,[1]Hedef!$A$4:$ES$45409,115,0)),0,VLOOKUP($B23,[1]Hedef!$A$4:$ES$45409,115,0))</f>
        <v>7.3400000000000007E-2</v>
      </c>
      <c r="W23" s="23" t="str">
        <f t="shared" si="42"/>
        <v>-</v>
      </c>
      <c r="X23" s="80" t="e">
        <f t="shared" si="43"/>
        <v>#DIV/0!</v>
      </c>
      <c r="Z23" s="44">
        <v>1.5039499999999999</v>
      </c>
      <c r="AA23" s="11">
        <f t="shared" si="44"/>
        <v>-0.95119518601017328</v>
      </c>
      <c r="AC23" s="22">
        <f t="shared" si="45"/>
        <v>0</v>
      </c>
      <c r="AD23" s="23">
        <f>IF(ISERROR(VLOOKUP($B23,[1]Hedef!$A$4:$ES$45409,117,0)),0,VLOOKUP($B23,[1]Hedef!$A$4:$ES$45409,117,0))</f>
        <v>0.53679999999999994</v>
      </c>
      <c r="AE23" s="23" t="str">
        <f t="shared" si="46"/>
        <v>-</v>
      </c>
      <c r="AF23" s="80" t="e">
        <f t="shared" si="47"/>
        <v>#DIV/0!</v>
      </c>
      <c r="AH23" s="44">
        <f t="shared" si="48"/>
        <v>4.5428999999999995</v>
      </c>
      <c r="AI23" s="11">
        <f t="shared" si="49"/>
        <v>-0.88183759272711271</v>
      </c>
      <c r="AK23" s="12">
        <f>AC23-'GENEL HEDEF'!BI23</f>
        <v>-5.2</v>
      </c>
      <c r="AL23" s="15">
        <f t="shared" si="50"/>
        <v>0</v>
      </c>
      <c r="AM23" s="13">
        <f t="shared" si="11"/>
        <v>5.2</v>
      </c>
    </row>
    <row r="24" spans="2:39" x14ac:dyDescent="0.15">
      <c r="B24" s="31">
        <v>60</v>
      </c>
      <c r="C24" s="1" t="s">
        <v>62</v>
      </c>
      <c r="E24" s="22"/>
      <c r="F24" s="23">
        <f>IF(ISERROR(VLOOKUP($B24,[1]Hedef!$A$4:$ES$45409,111,0)),0,VLOOKUP($B24,[1]Hedef!$A$4:$ES$45409,111,0))</f>
        <v>5.5600000000000004E-2</v>
      </c>
      <c r="G24" s="23" t="str">
        <f>IF((E24-F24)&lt;0, "-", (E24-F24))</f>
        <v>-</v>
      </c>
      <c r="H24" s="80" t="e">
        <f t="shared" si="37"/>
        <v>#DIV/0!</v>
      </c>
      <c r="J24" s="44">
        <v>0.46733999999999998</v>
      </c>
      <c r="K24" s="11">
        <f t="shared" si="38"/>
        <v>-0.88102880130098005</v>
      </c>
      <c r="M24" s="22"/>
      <c r="N24" s="23">
        <f>IF(ISERROR(VLOOKUP($B24,[1]Hedef!$A$4:$ES$45409,113,0)),0,VLOOKUP($B24,[1]Hedef!$A$4:$ES$45409,113,0))</f>
        <v>5.5399999999999998E-2</v>
      </c>
      <c r="O24" s="23" t="str">
        <f>IF((M24-N24)&lt;0, "-", (M24-N24))</f>
        <v>-</v>
      </c>
      <c r="P24" s="80" t="e">
        <f t="shared" si="40"/>
        <v>#DIV/0!</v>
      </c>
      <c r="R24" s="44">
        <v>0.30110000000000003</v>
      </c>
      <c r="S24" s="11">
        <f>IF(ISERROR((N24-R24)/R24),0,(N24-R24)/R24)</f>
        <v>-0.81600797077382925</v>
      </c>
      <c r="T24" s="72"/>
      <c r="U24" s="22"/>
      <c r="V24" s="23">
        <f>IF(ISERROR(VLOOKUP($B24,[1]Hedef!$A$4:$ES$45409,115,0)),0,VLOOKUP($B24,[1]Hedef!$A$4:$ES$45409,115,0))</f>
        <v>8.3999999999999995E-3</v>
      </c>
      <c r="W24" s="23" t="str">
        <f>IF((U24-V24)&lt;0, "-", (U24-V24))</f>
        <v>-</v>
      </c>
      <c r="X24" s="80" t="e">
        <f t="shared" si="43"/>
        <v>#DIV/0!</v>
      </c>
      <c r="Z24" s="44">
        <v>0.28160000000000002</v>
      </c>
      <c r="AA24" s="11">
        <f>IF(ISERROR((V24-Z24)/Z24),0,(V24-Z24)/Z24)</f>
        <v>-0.97017045454545447</v>
      </c>
      <c r="AC24" s="22">
        <f>M24+E24+U24</f>
        <v>0</v>
      </c>
      <c r="AD24" s="23">
        <f>IF(ISERROR(VLOOKUP($B24,[1]Hedef!$A$4:$ES$45409,117,0)),0,VLOOKUP($B24,[1]Hedef!$A$4:$ES$45409,117,0))</f>
        <v>0.11939999999999999</v>
      </c>
      <c r="AE24" s="23" t="str">
        <f>IF((AC24-AD24)&lt;0, "-", (AC24-AD24))</f>
        <v>-</v>
      </c>
      <c r="AF24" s="80" t="e">
        <f t="shared" si="47"/>
        <v>#DIV/0!</v>
      </c>
      <c r="AH24" s="44">
        <f t="shared" si="48"/>
        <v>1.0500400000000001</v>
      </c>
      <c r="AI24" s="11">
        <f>IF(ISERROR((AD24-AH24)/AH24),0,(AD24-AH24)/AH24)</f>
        <v>-0.88629004609348216</v>
      </c>
      <c r="AK24" s="12">
        <f>AC24-'GENEL HEDEF'!BI24</f>
        <v>-1.1000000000000001</v>
      </c>
      <c r="AL24" s="15">
        <f t="shared" si="50"/>
        <v>0</v>
      </c>
      <c r="AM24" s="13">
        <f>AK24*-1</f>
        <v>1.1000000000000001</v>
      </c>
    </row>
    <row r="25" spans="2:39" x14ac:dyDescent="0.15">
      <c r="B25" s="31">
        <v>45</v>
      </c>
      <c r="C25" s="1" t="s">
        <v>17</v>
      </c>
      <c r="E25" s="22"/>
      <c r="F25" s="23">
        <f>IF(ISERROR(VLOOKUP($B25,[1]Hedef!$A$4:$ES$45409,111,0)),0,VLOOKUP($B25,[1]Hedef!$A$4:$ES$45409,111,0))</f>
        <v>0.20600000000000002</v>
      </c>
      <c r="G25" s="23" t="str">
        <f t="shared" si="36"/>
        <v>-</v>
      </c>
      <c r="H25" s="80" t="e">
        <f t="shared" si="37"/>
        <v>#DIV/0!</v>
      </c>
      <c r="J25" s="44">
        <v>1.0894999999999999</v>
      </c>
      <c r="K25" s="11">
        <f t="shared" si="38"/>
        <v>-0.81092244148692061</v>
      </c>
      <c r="M25" s="22"/>
      <c r="N25" s="23">
        <f>IF(ISERROR(VLOOKUP($B25,[1]Hedef!$A$4:$ES$45409,113,0)),0,VLOOKUP($B25,[1]Hedef!$A$4:$ES$45409,113,0))</f>
        <v>0.2515</v>
      </c>
      <c r="O25" s="23" t="str">
        <f t="shared" si="39"/>
        <v>-</v>
      </c>
      <c r="P25" s="80" t="e">
        <f t="shared" si="40"/>
        <v>#DIV/0!</v>
      </c>
      <c r="R25" s="44">
        <v>1.1725000000000001</v>
      </c>
      <c r="S25" s="11">
        <f t="shared" si="41"/>
        <v>-0.78550106609808101</v>
      </c>
      <c r="T25" s="72"/>
      <c r="U25" s="22"/>
      <c r="V25" s="23">
        <f>IF(ISERROR(VLOOKUP($B25,[1]Hedef!$A$4:$ES$45409,115,0)),0,VLOOKUP($B25,[1]Hedef!$A$4:$ES$45409,115,0))</f>
        <v>0.29849999999999999</v>
      </c>
      <c r="W25" s="23" t="str">
        <f t="shared" si="42"/>
        <v>-</v>
      </c>
      <c r="X25" s="80" t="e">
        <f t="shared" si="43"/>
        <v>#DIV/0!</v>
      </c>
      <c r="Z25" s="44">
        <v>0.98050000000000004</v>
      </c>
      <c r="AA25" s="11">
        <f t="shared" si="44"/>
        <v>-0.69556348801631818</v>
      </c>
      <c r="AC25" s="22">
        <f t="shared" si="45"/>
        <v>0</v>
      </c>
      <c r="AD25" s="23">
        <f>IF(ISERROR(VLOOKUP($B25,[1]Hedef!$A$4:$ES$45409,117,0)),0,VLOOKUP($B25,[1]Hedef!$A$4:$ES$45409,117,0))</f>
        <v>0.75600000000000012</v>
      </c>
      <c r="AE25" s="23" t="str">
        <f t="shared" si="46"/>
        <v>-</v>
      </c>
      <c r="AF25" s="80" t="e">
        <f t="shared" si="47"/>
        <v>#DIV/0!</v>
      </c>
      <c r="AH25" s="44">
        <f t="shared" si="48"/>
        <v>3.2424999999999997</v>
      </c>
      <c r="AI25" s="11">
        <f t="shared" si="49"/>
        <v>-0.76684656900539694</v>
      </c>
      <c r="AK25" s="12">
        <f>AC25-'GENEL HEDEF'!BI25</f>
        <v>-4.5</v>
      </c>
      <c r="AL25" s="15">
        <f t="shared" si="50"/>
        <v>0</v>
      </c>
      <c r="AM25" s="13">
        <f t="shared" si="11"/>
        <v>4.5</v>
      </c>
    </row>
    <row r="26" spans="2:39" x14ac:dyDescent="0.15">
      <c r="B26" s="31">
        <v>12</v>
      </c>
      <c r="C26" s="1" t="s">
        <v>18</v>
      </c>
      <c r="E26" s="22"/>
      <c r="F26" s="23">
        <f>IF(ISERROR(VLOOKUP($B26,[1]Hedef!$A$4:$ES$45409,111,0)),0,VLOOKUP($B26,[1]Hedef!$A$4:$ES$45409,111,0))</f>
        <v>1.2E-2</v>
      </c>
      <c r="G26" s="23" t="str">
        <f t="shared" si="36"/>
        <v>-</v>
      </c>
      <c r="H26" s="80" t="e">
        <f t="shared" si="37"/>
        <v>#DIV/0!</v>
      </c>
      <c r="J26" s="44">
        <v>5.9350000000000007E-2</v>
      </c>
      <c r="K26" s="11">
        <f t="shared" si="38"/>
        <v>-0.79780960404380785</v>
      </c>
      <c r="M26" s="22"/>
      <c r="N26" s="23">
        <f>IF(ISERROR(VLOOKUP($B26,[1]Hedef!$A$4:$ES$45409,113,0)),0,VLOOKUP($B26,[1]Hedef!$A$4:$ES$45409,113,0))</f>
        <v>1.41E-2</v>
      </c>
      <c r="O26" s="23" t="str">
        <f t="shared" si="39"/>
        <v>-</v>
      </c>
      <c r="P26" s="80" t="e">
        <f t="shared" si="40"/>
        <v>#DIV/0!</v>
      </c>
      <c r="R26" s="44">
        <v>0.11600000000000001</v>
      </c>
      <c r="S26" s="11">
        <f t="shared" si="41"/>
        <v>-0.87844827586206897</v>
      </c>
      <c r="T26" s="72"/>
      <c r="U26" s="22"/>
      <c r="V26" s="23">
        <f>IF(ISERROR(VLOOKUP($B26,[1]Hedef!$A$4:$ES$45409,115,0)),0,VLOOKUP($B26,[1]Hedef!$A$4:$ES$45409,115,0))</f>
        <v>6.1500000000000001E-3</v>
      </c>
      <c r="W26" s="23" t="str">
        <f t="shared" si="42"/>
        <v>-</v>
      </c>
      <c r="X26" s="80" t="e">
        <f t="shared" si="43"/>
        <v>#DIV/0!</v>
      </c>
      <c r="Z26" s="44">
        <v>0.18975000000000003</v>
      </c>
      <c r="AA26" s="11">
        <f t="shared" si="44"/>
        <v>-0.96758893280632419</v>
      </c>
      <c r="AC26" s="22">
        <f t="shared" si="45"/>
        <v>0</v>
      </c>
      <c r="AD26" s="23">
        <f>IF(ISERROR(VLOOKUP($B26,[1]Hedef!$A$4:$ES$45409,117,0)),0,VLOOKUP($B26,[1]Hedef!$A$4:$ES$45409,117,0))</f>
        <v>3.2250000000000001E-2</v>
      </c>
      <c r="AE26" s="23" t="str">
        <f t="shared" si="46"/>
        <v>-</v>
      </c>
      <c r="AF26" s="80" t="e">
        <f t="shared" si="47"/>
        <v>#DIV/0!</v>
      </c>
      <c r="AH26" s="44">
        <f t="shared" si="48"/>
        <v>0.36510000000000004</v>
      </c>
      <c r="AI26" s="11">
        <f t="shared" si="49"/>
        <v>-0.91166803615447822</v>
      </c>
      <c r="AK26" s="12">
        <f>AC26-'GENEL HEDEF'!BI26</f>
        <v>-0.6</v>
      </c>
      <c r="AL26" s="15">
        <f t="shared" si="50"/>
        <v>0</v>
      </c>
      <c r="AM26" s="13">
        <f t="shared" si="11"/>
        <v>0.6</v>
      </c>
    </row>
    <row r="27" spans="2:39" x14ac:dyDescent="0.15">
      <c r="B27" s="31">
        <v>13</v>
      </c>
      <c r="C27" s="1" t="s">
        <v>106</v>
      </c>
      <c r="E27" s="22"/>
      <c r="F27" s="23">
        <f>IF(ISERROR(VLOOKUP($B27,[1]Hedef!$A$4:$ES$45409,111,0)),0,VLOOKUP($B27,[1]Hedef!$A$4:$ES$45409,111,0))</f>
        <v>0.14600000000000002</v>
      </c>
      <c r="G27" s="23" t="str">
        <f t="shared" si="36"/>
        <v>-</v>
      </c>
      <c r="H27" s="80" t="e">
        <f t="shared" si="37"/>
        <v>#DIV/0!</v>
      </c>
      <c r="J27" s="44">
        <v>8.8760100000000008</v>
      </c>
      <c r="K27" s="11">
        <f t="shared" si="38"/>
        <v>-0.98355116769809847</v>
      </c>
      <c r="M27" s="22"/>
      <c r="N27" s="23">
        <f>IF(ISERROR(VLOOKUP($B27,[1]Hedef!$A$4:$ES$45409,113,0)),0,VLOOKUP($B27,[1]Hedef!$A$4:$ES$45409,113,0))</f>
        <v>0.25498999999999999</v>
      </c>
      <c r="O27" s="23" t="str">
        <f t="shared" si="39"/>
        <v>-</v>
      </c>
      <c r="P27" s="80" t="e">
        <f t="shared" si="40"/>
        <v>#DIV/0!</v>
      </c>
      <c r="R27" s="44">
        <v>13.610440000000001</v>
      </c>
      <c r="S27" s="11">
        <f t="shared" si="41"/>
        <v>-0.9812651170718949</v>
      </c>
      <c r="T27" s="72"/>
      <c r="U27" s="22"/>
      <c r="V27" s="23">
        <f>IF(ISERROR(VLOOKUP($B27,[1]Hedef!$A$4:$ES$45409,115,0)),0,VLOOKUP($B27,[1]Hedef!$A$4:$ES$45409,115,0))</f>
        <v>0.32046000000000002</v>
      </c>
      <c r="W27" s="23" t="str">
        <f t="shared" si="42"/>
        <v>-</v>
      </c>
      <c r="X27" s="80" t="e">
        <f t="shared" si="43"/>
        <v>#DIV/0!</v>
      </c>
      <c r="Z27" s="44">
        <v>3.4534799999999999</v>
      </c>
      <c r="AA27" s="11">
        <f t="shared" si="44"/>
        <v>-0.90720664373327764</v>
      </c>
      <c r="AC27" s="22">
        <f t="shared" si="45"/>
        <v>0</v>
      </c>
      <c r="AD27" s="23">
        <f>IF(ISERROR(VLOOKUP($B27,[1]Hedef!$A$4:$ES$45409,117,0)),0,VLOOKUP($B27,[1]Hedef!$A$4:$ES$45409,117,0))</f>
        <v>0.72144999999999992</v>
      </c>
      <c r="AE27" s="23" t="str">
        <f t="shared" si="46"/>
        <v>-</v>
      </c>
      <c r="AF27" s="80" t="e">
        <f t="shared" si="47"/>
        <v>#DIV/0!</v>
      </c>
      <c r="AH27" s="44">
        <f t="shared" si="48"/>
        <v>25.93993</v>
      </c>
      <c r="AI27" s="11">
        <f t="shared" si="49"/>
        <v>-0.97218766588807293</v>
      </c>
      <c r="AK27" s="12">
        <f>AC27-'GENEL HEDEF'!BI27</f>
        <v>-12.5</v>
      </c>
      <c r="AL27" s="15">
        <f t="shared" si="50"/>
        <v>0</v>
      </c>
      <c r="AM27" s="13">
        <f t="shared" si="11"/>
        <v>12.5</v>
      </c>
    </row>
    <row r="28" spans="2:39" x14ac:dyDescent="0.15">
      <c r="B28" s="31">
        <v>21</v>
      </c>
      <c r="C28" s="1" t="s">
        <v>70</v>
      </c>
      <c r="E28" s="22"/>
      <c r="F28" s="23">
        <f>IF(ISERROR(VLOOKUP($B28,[1]Hedef!$A$4:$ES$45409,111,0)),0,VLOOKUP($B28,[1]Hedef!$A$4:$ES$45409,111,0))</f>
        <v>2.5000000000000001E-2</v>
      </c>
      <c r="G28" s="23" t="str">
        <f t="shared" si="36"/>
        <v>-</v>
      </c>
      <c r="H28" s="80" t="e">
        <f t="shared" si="37"/>
        <v>#DIV/0!</v>
      </c>
      <c r="J28" s="44">
        <v>4.0750000000000002</v>
      </c>
      <c r="K28" s="11">
        <f t="shared" si="38"/>
        <v>-0.99386503067484655</v>
      </c>
      <c r="M28" s="22"/>
      <c r="N28" s="23">
        <f>IF(ISERROR(VLOOKUP($B28,[1]Hedef!$A$4:$ES$45409,113,0)),0,VLOOKUP($B28,[1]Hedef!$A$4:$ES$45409,113,0))</f>
        <v>0</v>
      </c>
      <c r="O28" s="23">
        <f t="shared" si="39"/>
        <v>0</v>
      </c>
      <c r="P28" s="80" t="e">
        <f t="shared" si="40"/>
        <v>#DIV/0!</v>
      </c>
      <c r="R28" s="44">
        <v>70.650000000000006</v>
      </c>
      <c r="S28" s="11">
        <f t="shared" si="41"/>
        <v>-1</v>
      </c>
      <c r="T28" s="72"/>
      <c r="U28" s="22"/>
      <c r="V28" s="23">
        <f>IF(ISERROR(VLOOKUP($B28,[1]Hedef!$A$4:$ES$45409,115,0)),0,VLOOKUP($B28,[1]Hedef!$A$4:$ES$45409,115,0))</f>
        <v>2.5000000000000001E-2</v>
      </c>
      <c r="W28" s="23" t="str">
        <f t="shared" si="42"/>
        <v>-</v>
      </c>
      <c r="X28" s="80" t="e">
        <f t="shared" si="43"/>
        <v>#DIV/0!</v>
      </c>
      <c r="Z28" s="44">
        <v>4.8000000000000007</v>
      </c>
      <c r="AA28" s="11">
        <f t="shared" si="44"/>
        <v>-0.99479166666666663</v>
      </c>
      <c r="AC28" s="22">
        <f t="shared" si="45"/>
        <v>0</v>
      </c>
      <c r="AD28" s="23">
        <f>IF(ISERROR(VLOOKUP($B28,[1]Hedef!$A$4:$ES$45409,117,0)),0,VLOOKUP($B28,[1]Hedef!$A$4:$ES$45409,117,0))</f>
        <v>0.05</v>
      </c>
      <c r="AE28" s="23" t="str">
        <f t="shared" si="46"/>
        <v>-</v>
      </c>
      <c r="AF28" s="80" t="e">
        <f t="shared" si="47"/>
        <v>#DIV/0!</v>
      </c>
      <c r="AH28" s="44">
        <f t="shared" si="48"/>
        <v>79.525000000000006</v>
      </c>
      <c r="AI28" s="11">
        <f t="shared" si="49"/>
        <v>-0.99937126689720213</v>
      </c>
      <c r="AK28" s="12">
        <f>AC28-'GENEL HEDEF'!BI28</f>
        <v>-35.200000000000003</v>
      </c>
      <c r="AL28" s="15">
        <f t="shared" si="50"/>
        <v>0</v>
      </c>
      <c r="AM28" s="13">
        <f t="shared" si="11"/>
        <v>35.200000000000003</v>
      </c>
    </row>
    <row r="29" spans="2:39" ht="13" thickBot="1" x14ac:dyDescent="0.2">
      <c r="B29" s="31">
        <v>40</v>
      </c>
      <c r="C29" s="1" t="s">
        <v>19</v>
      </c>
      <c r="E29" s="22"/>
      <c r="F29" s="23">
        <f>IF(ISERROR(VLOOKUP($B29,[1]Hedef!$A$4:$ES$45409,111,0)),0,VLOOKUP($B29,[1]Hedef!$A$4:$ES$45409,111,0))</f>
        <v>0.05</v>
      </c>
      <c r="G29" s="23" t="str">
        <f t="shared" si="36"/>
        <v>-</v>
      </c>
      <c r="H29" s="80" t="e">
        <f t="shared" si="37"/>
        <v>#DIV/0!</v>
      </c>
      <c r="J29" s="44">
        <v>0.64999999999999991</v>
      </c>
      <c r="K29" s="11">
        <f t="shared" si="38"/>
        <v>-0.92307692307692302</v>
      </c>
      <c r="M29" s="22"/>
      <c r="N29" s="23">
        <f>IF(ISERROR(VLOOKUP($B29,[1]Hedef!$A$4:$ES$45409,113,0)),0,VLOOKUP($B29,[1]Hedef!$A$4:$ES$45409,113,0))</f>
        <v>0.15000000000000002</v>
      </c>
      <c r="O29" s="23" t="str">
        <f t="shared" si="39"/>
        <v>-</v>
      </c>
      <c r="P29" s="80" t="e">
        <f t="shared" si="40"/>
        <v>#DIV/0!</v>
      </c>
      <c r="R29" s="44">
        <v>2.665</v>
      </c>
      <c r="S29" s="11">
        <f t="shared" si="41"/>
        <v>-0.94371482176360233</v>
      </c>
      <c r="T29" s="72"/>
      <c r="U29" s="22"/>
      <c r="V29" s="23">
        <f>IF(ISERROR(VLOOKUP($B29,[1]Hedef!$A$4:$ES$45409,115,0)),0,VLOOKUP($B29,[1]Hedef!$A$4:$ES$45409,115,0))</f>
        <v>0.25</v>
      </c>
      <c r="W29" s="23" t="str">
        <f t="shared" si="42"/>
        <v>-</v>
      </c>
      <c r="X29" s="80" t="e">
        <f t="shared" si="43"/>
        <v>#DIV/0!</v>
      </c>
      <c r="Z29" s="44">
        <v>1.4750000000000001</v>
      </c>
      <c r="AA29" s="11">
        <f t="shared" si="44"/>
        <v>-0.83050847457627119</v>
      </c>
      <c r="AC29" s="22">
        <f t="shared" si="45"/>
        <v>0</v>
      </c>
      <c r="AD29" s="23">
        <f>IF(ISERROR(VLOOKUP($B29,[1]Hedef!$A$4:$ES$45409,117,0)),0,VLOOKUP($B29,[1]Hedef!$A$4:$ES$45409,117,0))</f>
        <v>0.45</v>
      </c>
      <c r="AE29" s="23" t="str">
        <f t="shared" si="46"/>
        <v>-</v>
      </c>
      <c r="AF29" s="80" t="e">
        <f t="shared" si="47"/>
        <v>#DIV/0!</v>
      </c>
      <c r="AH29" s="44">
        <f t="shared" si="48"/>
        <v>4.7900000000000009</v>
      </c>
      <c r="AI29" s="11">
        <f t="shared" si="49"/>
        <v>-0.90605427974947805</v>
      </c>
      <c r="AK29" s="12">
        <f>AC29-'GENEL HEDEF'!BI29</f>
        <v>-4.8499999999999996</v>
      </c>
      <c r="AL29" s="15">
        <f t="shared" si="50"/>
        <v>0</v>
      </c>
      <c r="AM29" s="13">
        <f t="shared" si="11"/>
        <v>4.8499999999999996</v>
      </c>
    </row>
    <row r="30" spans="2:39" ht="14" thickTop="1" thickBot="1" x14ac:dyDescent="0.2">
      <c r="B30" s="18"/>
      <c r="C30" s="2" t="s">
        <v>20</v>
      </c>
      <c r="E30" s="67">
        <f>SUM(E22:E29)</f>
        <v>0</v>
      </c>
      <c r="F30" s="67">
        <f>SUM(F22:F29)</f>
        <v>1.1197000000000001</v>
      </c>
      <c r="G30" s="67">
        <f>SUM(G22:G29)</f>
        <v>0</v>
      </c>
      <c r="H30" s="39" t="e">
        <f>TRUNC(IF((F30/E30)&gt;1.2,"120%",(F30/E30)),2)</f>
        <v>#DIV/0!</v>
      </c>
      <c r="I30" s="109"/>
      <c r="J30" s="40"/>
      <c r="K30" s="48"/>
      <c r="L30" s="109"/>
      <c r="M30" s="67">
        <f>SUM(M22:M29)</f>
        <v>0</v>
      </c>
      <c r="N30" s="67">
        <f>SUM(N22:N29)</f>
        <v>0.87568999999999997</v>
      </c>
      <c r="O30" s="67">
        <f>SUM(O22:O29)</f>
        <v>0</v>
      </c>
      <c r="P30" s="39" t="e">
        <f>TRUNC(IF((N30/M30)&gt;1.2,"120%",(N30/M30)),2)</f>
        <v>#DIV/0!</v>
      </c>
      <c r="Q30" s="109"/>
      <c r="R30" s="67"/>
      <c r="S30" s="48"/>
      <c r="T30" s="74"/>
      <c r="U30" s="67">
        <f>SUM(U22:U29)</f>
        <v>0</v>
      </c>
      <c r="V30" s="67">
        <f>SUM(V22:V29)</f>
        <v>1.0769099999999998</v>
      </c>
      <c r="W30" s="67">
        <f>SUM(W22:W29)</f>
        <v>0</v>
      </c>
      <c r="X30" s="39" t="e">
        <f>TRUNC(IF((V30/U30)&gt;1.2,"120%",(V30/U30)),2)</f>
        <v>#DIV/0!</v>
      </c>
      <c r="Y30" s="109"/>
      <c r="Z30" s="40"/>
      <c r="AA30" s="48"/>
      <c r="AB30" s="109"/>
      <c r="AC30" s="67">
        <f>SUM(AC22:AC29)</f>
        <v>0</v>
      </c>
      <c r="AD30" s="67">
        <f>SUM(AD22:AD29)</f>
        <v>3.0722999999999998</v>
      </c>
      <c r="AE30" s="67">
        <f>SUM(AE22:AE29)</f>
        <v>0</v>
      </c>
      <c r="AF30" s="39" t="e">
        <f>TRUNC(IF((AD30/AC30)&gt;1.2,"120%",(AD30/AC30)),2)</f>
        <v>#DIV/0!</v>
      </c>
      <c r="AH30" s="67"/>
      <c r="AI30" s="48"/>
      <c r="AK30" s="8"/>
      <c r="AL30" s="89"/>
      <c r="AM30" s="13">
        <f t="shared" si="11"/>
        <v>0</v>
      </c>
    </row>
    <row r="31" spans="2:39" ht="13" thickTop="1" x14ac:dyDescent="0.15">
      <c r="B31" s="18">
        <v>15</v>
      </c>
      <c r="C31" s="1" t="s">
        <v>21</v>
      </c>
      <c r="E31" s="22"/>
      <c r="F31" s="23">
        <f>IF(ISERROR(VLOOKUP($B31,[1]Hedef!$A$4:$ES$45409,111,0)),0,VLOOKUP($B31,[1]Hedef!$A$4:$ES$45409,111,0))</f>
        <v>4.5019999999999998E-2</v>
      </c>
      <c r="G31" s="23" t="str">
        <f t="shared" ref="G31:G38" si="51">IF((E31-F31)&lt;0, "-", (E31-F31))</f>
        <v>-</v>
      </c>
      <c r="H31" s="80" t="e">
        <f t="shared" ref="H31:H38" si="52">TRUNC(IF((F31/E31)&gt;1.2,"120%",(F31/E31)),2)</f>
        <v>#DIV/0!</v>
      </c>
      <c r="J31" s="44">
        <v>0.81351999999999991</v>
      </c>
      <c r="K31" s="11">
        <f t="shared" ref="K31:K38" si="53">IF(ISERROR((F31-J31)/J31),0,(F31-J31)/J31)</f>
        <v>-0.9446602419116924</v>
      </c>
      <c r="M31" s="22"/>
      <c r="N31" s="23">
        <f>IF(ISERROR(VLOOKUP($B31,[1]Hedef!$A$4:$ES$45409,113,0)),0,VLOOKUP($B31,[1]Hedef!$A$4:$ES$45409,113,0))</f>
        <v>5.033E-2</v>
      </c>
      <c r="O31" s="23" t="str">
        <f t="shared" ref="O31:O38" si="54">IF((M31-N31)&lt;0, "-", (M31-N31))</f>
        <v>-</v>
      </c>
      <c r="P31" s="80" t="e">
        <f t="shared" ref="P31:P38" si="55">TRUNC(IF((N31/M31)&gt;1.2,"120%",(N31/M31)),2)</f>
        <v>#DIV/0!</v>
      </c>
      <c r="R31" s="44">
        <v>1.0916199999999998</v>
      </c>
      <c r="S31" s="11">
        <f t="shared" ref="S31:S38" si="56">IF(ISERROR((N31-R31)/R31),0,(N31-R31)/R31)</f>
        <v>-0.95389421227166959</v>
      </c>
      <c r="T31" s="72"/>
      <c r="U31" s="22"/>
      <c r="V31" s="23">
        <f>IF(ISERROR(VLOOKUP($B31,[1]Hedef!$A$4:$ES$45409,115,0)),0,VLOOKUP($B31,[1]Hedef!$A$4:$ES$45409,115,0))</f>
        <v>6.9059999999999996E-2</v>
      </c>
      <c r="W31" s="23" t="str">
        <f t="shared" ref="W31:W38" si="57">IF((U31-V31)&lt;0, "-", (U31-V31))</f>
        <v>-</v>
      </c>
      <c r="X31" s="80" t="e">
        <f t="shared" ref="X31:X38" si="58">TRUNC(IF((V31/U31)&gt;1.2,"120%",(V31/U31)),2)</f>
        <v>#DIV/0!</v>
      </c>
      <c r="Z31" s="44">
        <v>0.48588999999999999</v>
      </c>
      <c r="AA31" s="11">
        <f t="shared" ref="AA31:AA38" si="59">IF(ISERROR((V31-Z31)/Z31),0,(V31-Z31)/Z31)</f>
        <v>-0.85786906501471527</v>
      </c>
      <c r="AC31" s="22">
        <f t="shared" ref="AC31:AC38" si="60">M31+E31+U31</f>
        <v>0</v>
      </c>
      <c r="AD31" s="23">
        <f>IF(ISERROR(VLOOKUP($B31,[1]Hedef!$A$4:$ES$45409,117,0)),0,VLOOKUP($B31,[1]Hedef!$A$4:$ES$45409,117,0))</f>
        <v>0.16441</v>
      </c>
      <c r="AE31" s="23" t="str">
        <f t="shared" ref="AE31:AE38" si="61">IF((AC31-AD31)&lt;0, "-", (AC31-AD31))</f>
        <v>-</v>
      </c>
      <c r="AF31" s="80" t="e">
        <f t="shared" ref="AF31:AF38" si="62">TRUNC(IF((AD31/AC31)&gt;1.2,"120%",(AD31/AC31)),2)</f>
        <v>#DIV/0!</v>
      </c>
      <c r="AH31" s="44">
        <f t="shared" ref="AH31:AH38" si="63">+Z31+R31+J31</f>
        <v>2.3910299999999998</v>
      </c>
      <c r="AI31" s="11">
        <f>IF(ISERROR((AD31-AH31)/AH31),0,(AD31-AH31)/AH31)</f>
        <v>-0.9312388384921978</v>
      </c>
      <c r="AK31" s="12">
        <f>AC31-'GENEL HEDEF'!BI31</f>
        <v>-2.5499999999999998</v>
      </c>
      <c r="AL31" s="15">
        <f t="shared" ref="AL31:AL38" si="64">AD31-V31-N31-F31</f>
        <v>0</v>
      </c>
      <c r="AM31" s="13">
        <f t="shared" si="11"/>
        <v>2.5499999999999998</v>
      </c>
    </row>
    <row r="32" spans="2:39" x14ac:dyDescent="0.15">
      <c r="B32" s="18">
        <v>57</v>
      </c>
      <c r="C32" s="1" t="s">
        <v>44</v>
      </c>
      <c r="E32" s="22"/>
      <c r="F32" s="23">
        <f>IF(ISERROR(VLOOKUP($B32,[1]Hedef!$A$4:$ES$45409,111,0)),0,VLOOKUP($B32,[1]Hedef!$A$4:$ES$45409,111,0))</f>
        <v>5.0000000000000001E-4</v>
      </c>
      <c r="G32" s="23" t="str">
        <f t="shared" si="51"/>
        <v>-</v>
      </c>
      <c r="H32" s="80" t="e">
        <f t="shared" si="52"/>
        <v>#DIV/0!</v>
      </c>
      <c r="J32" s="44">
        <v>8.0840000000000009E-2</v>
      </c>
      <c r="K32" s="11">
        <f t="shared" si="53"/>
        <v>-0.99381494309747653</v>
      </c>
      <c r="M32" s="22"/>
      <c r="N32" s="23">
        <f>IF(ISERROR(VLOOKUP($B32,[1]Hedef!$A$4:$ES$45409,113,0)),0,VLOOKUP($B32,[1]Hedef!$A$4:$ES$45409,113,0))</f>
        <v>2.9999999999999997E-4</v>
      </c>
      <c r="O32" s="23" t="str">
        <f t="shared" si="54"/>
        <v>-</v>
      </c>
      <c r="P32" s="80" t="e">
        <f t="shared" si="55"/>
        <v>#DIV/0!</v>
      </c>
      <c r="R32" s="44">
        <v>7.1459999999999996E-2</v>
      </c>
      <c r="S32" s="11">
        <f t="shared" si="56"/>
        <v>-0.99580184718723774</v>
      </c>
      <c r="T32" s="72"/>
      <c r="U32" s="22"/>
      <c r="V32" s="23">
        <f>IF(ISERROR(VLOOKUP($B32,[1]Hedef!$A$4:$ES$45409,115,0)),0,VLOOKUP($B32,[1]Hedef!$A$4:$ES$45409,115,0))</f>
        <v>2.4499999999999999E-3</v>
      </c>
      <c r="W32" s="23" t="str">
        <f t="shared" si="57"/>
        <v>-</v>
      </c>
      <c r="X32" s="80" t="e">
        <f t="shared" si="58"/>
        <v>#DIV/0!</v>
      </c>
      <c r="Z32" s="44">
        <v>1.189E-2</v>
      </c>
      <c r="AA32" s="11">
        <f t="shared" si="59"/>
        <v>-0.79394449116904964</v>
      </c>
      <c r="AC32" s="22">
        <f t="shared" si="60"/>
        <v>0</v>
      </c>
      <c r="AD32" s="23">
        <f>IF(ISERROR(VLOOKUP($B32,[1]Hedef!$A$4:$ES$45409,117,0)),0,VLOOKUP($B32,[1]Hedef!$A$4:$ES$45409,117,0))</f>
        <v>3.2499999999999999E-3</v>
      </c>
      <c r="AE32" s="23" t="str">
        <f t="shared" si="61"/>
        <v>-</v>
      </c>
      <c r="AF32" s="80" t="e">
        <f t="shared" si="62"/>
        <v>#DIV/0!</v>
      </c>
      <c r="AH32" s="44">
        <f t="shared" si="63"/>
        <v>0.16419</v>
      </c>
      <c r="AI32" s="11">
        <f>IF(ISERROR((AD32-AH32)/AH32),0,(AD32-AH32)/AH32)</f>
        <v>-0.98020585906571656</v>
      </c>
      <c r="AK32" s="12">
        <f>AC32-'GENEL HEDEF'!BI32</f>
        <v>-0.16</v>
      </c>
      <c r="AL32" s="15">
        <f t="shared" si="64"/>
        <v>0</v>
      </c>
      <c r="AM32" s="13">
        <f t="shared" si="11"/>
        <v>0.16</v>
      </c>
    </row>
    <row r="33" spans="2:39" x14ac:dyDescent="0.15">
      <c r="B33" s="18">
        <v>16</v>
      </c>
      <c r="C33" s="1" t="s">
        <v>22</v>
      </c>
      <c r="E33" s="22"/>
      <c r="F33" s="23">
        <f>IF(ISERROR(VLOOKUP($B33,[1]Hedef!$A$4:$ES$45409,111,0)),0,VLOOKUP($B33,[1]Hedef!$A$4:$ES$45409,111,0))</f>
        <v>2.8400000000000002E-2</v>
      </c>
      <c r="G33" s="23" t="str">
        <f t="shared" si="51"/>
        <v>-</v>
      </c>
      <c r="H33" s="80" t="e">
        <f t="shared" si="52"/>
        <v>#DIV/0!</v>
      </c>
      <c r="J33" s="44">
        <v>0.16261999999999999</v>
      </c>
      <c r="K33" s="11">
        <f t="shared" si="53"/>
        <v>-0.82535973435001841</v>
      </c>
      <c r="M33" s="22"/>
      <c r="N33" s="23">
        <f>IF(ISERROR(VLOOKUP($B33,[1]Hedef!$A$4:$ES$45409,113,0)),0,VLOOKUP($B33,[1]Hedef!$A$4:$ES$45409,113,0))</f>
        <v>9.5700000000000007E-2</v>
      </c>
      <c r="O33" s="23" t="str">
        <f t="shared" si="54"/>
        <v>-</v>
      </c>
      <c r="P33" s="80" t="e">
        <f t="shared" si="55"/>
        <v>#DIV/0!</v>
      </c>
      <c r="R33" s="44">
        <v>0.34059499999999998</v>
      </c>
      <c r="S33" s="11">
        <f t="shared" si="56"/>
        <v>-0.71902112479631231</v>
      </c>
      <c r="T33" s="72"/>
      <c r="U33" s="22"/>
      <c r="V33" s="23">
        <f>IF(ISERROR(VLOOKUP($B33,[1]Hedef!$A$4:$ES$45409,115,0)),0,VLOOKUP($B33,[1]Hedef!$A$4:$ES$45409,115,0))</f>
        <v>2.1049999999999999E-2</v>
      </c>
      <c r="W33" s="23" t="str">
        <f t="shared" si="57"/>
        <v>-</v>
      </c>
      <c r="X33" s="80" t="e">
        <f t="shared" si="58"/>
        <v>#DIV/0!</v>
      </c>
      <c r="Z33" s="44">
        <v>0.10346</v>
      </c>
      <c r="AA33" s="11">
        <f t="shared" si="59"/>
        <v>-0.79653972549777696</v>
      </c>
      <c r="AC33" s="22">
        <f t="shared" si="60"/>
        <v>0</v>
      </c>
      <c r="AD33" s="23">
        <f>IF(ISERROR(VLOOKUP($B33,[1]Hedef!$A$4:$ES$45409,117,0)),0,VLOOKUP($B33,[1]Hedef!$A$4:$ES$45409,117,0))</f>
        <v>0.14515</v>
      </c>
      <c r="AE33" s="23" t="str">
        <f t="shared" si="61"/>
        <v>-</v>
      </c>
      <c r="AF33" s="80" t="e">
        <f t="shared" si="62"/>
        <v>#DIV/0!</v>
      </c>
      <c r="AH33" s="44">
        <f t="shared" si="63"/>
        <v>0.60667499999999996</v>
      </c>
      <c r="AI33" s="11">
        <f t="shared" ref="AI33:AI38" si="65">IF(ISERROR((AD33-AH33)/AH33),0,(AD33-AH33)/AH33)</f>
        <v>-0.7607450447109243</v>
      </c>
      <c r="AK33" s="12">
        <f>AC33-'GENEL HEDEF'!BI33</f>
        <v>-0.9</v>
      </c>
      <c r="AL33" s="15">
        <f t="shared" si="64"/>
        <v>0</v>
      </c>
      <c r="AM33" s="13">
        <f t="shared" si="11"/>
        <v>0.9</v>
      </c>
    </row>
    <row r="34" spans="2:39" x14ac:dyDescent="0.15">
      <c r="B34" s="18">
        <v>43</v>
      </c>
      <c r="C34" s="1" t="s">
        <v>23</v>
      </c>
      <c r="E34" s="22"/>
      <c r="F34" s="23">
        <f>IF(ISERROR(VLOOKUP($B34,[1]Hedef!$A$4:$ES$45409,111,0)),0,VLOOKUP($B34,[1]Hedef!$A$4:$ES$45409,111,0))</f>
        <v>1.5095000000000001E-2</v>
      </c>
      <c r="G34" s="23" t="str">
        <f t="shared" si="51"/>
        <v>-</v>
      </c>
      <c r="H34" s="80" t="e">
        <f t="shared" si="52"/>
        <v>#DIV/0!</v>
      </c>
      <c r="J34" s="44">
        <v>1.5989999999999997E-2</v>
      </c>
      <c r="K34" s="11">
        <f t="shared" si="53"/>
        <v>-5.5972482801750885E-2</v>
      </c>
      <c r="M34" s="22"/>
      <c r="N34" s="23">
        <f>IF(ISERROR(VLOOKUP($B34,[1]Hedef!$A$4:$ES$45409,113,0)),0,VLOOKUP($B34,[1]Hedef!$A$4:$ES$45409,113,0))</f>
        <v>5.1250000000000002E-3</v>
      </c>
      <c r="O34" s="23" t="str">
        <f t="shared" si="54"/>
        <v>-</v>
      </c>
      <c r="P34" s="80" t="e">
        <f t="shared" si="55"/>
        <v>#DIV/0!</v>
      </c>
      <c r="R34" s="44">
        <v>2.8655E-2</v>
      </c>
      <c r="S34" s="11">
        <f t="shared" si="56"/>
        <v>-0.82114814168556971</v>
      </c>
      <c r="T34" s="72"/>
      <c r="U34" s="22"/>
      <c r="V34" s="23">
        <f>IF(ISERROR(VLOOKUP($B34,[1]Hedef!$A$4:$ES$45409,115,0)),0,VLOOKUP($B34,[1]Hedef!$A$4:$ES$45409,115,0))</f>
        <v>1.1635E-2</v>
      </c>
      <c r="W34" s="23" t="str">
        <f t="shared" si="57"/>
        <v>-</v>
      </c>
      <c r="X34" s="80" t="e">
        <f t="shared" si="58"/>
        <v>#DIV/0!</v>
      </c>
      <c r="Z34" s="44">
        <v>2.1085E-2</v>
      </c>
      <c r="AA34" s="11">
        <f t="shared" si="59"/>
        <v>-0.44818591415698367</v>
      </c>
      <c r="AC34" s="22">
        <f t="shared" si="60"/>
        <v>0</v>
      </c>
      <c r="AD34" s="23">
        <f>IF(ISERROR(VLOOKUP($B34,[1]Hedef!$A$4:$ES$45409,117,0)),0,VLOOKUP($B34,[1]Hedef!$A$4:$ES$45409,117,0))</f>
        <v>3.1855000000000001E-2</v>
      </c>
      <c r="AE34" s="23" t="str">
        <f t="shared" si="61"/>
        <v>-</v>
      </c>
      <c r="AF34" s="80" t="e">
        <f t="shared" si="62"/>
        <v>#DIV/0!</v>
      </c>
      <c r="AH34" s="44">
        <f t="shared" si="63"/>
        <v>6.5729999999999997E-2</v>
      </c>
      <c r="AI34" s="11">
        <f t="shared" si="65"/>
        <v>-0.51536589076525174</v>
      </c>
      <c r="AK34" s="12">
        <f>AC34-'GENEL HEDEF'!BI34</f>
        <v>-0.12</v>
      </c>
      <c r="AL34" s="15">
        <f t="shared" si="64"/>
        <v>0</v>
      </c>
      <c r="AM34" s="13">
        <f t="shared" si="11"/>
        <v>0.12</v>
      </c>
    </row>
    <row r="35" spans="2:39" x14ac:dyDescent="0.15">
      <c r="B35" s="18">
        <v>18</v>
      </c>
      <c r="C35" s="1" t="s">
        <v>67</v>
      </c>
      <c r="E35" s="22"/>
      <c r="F35" s="23">
        <f>IF(ISERROR(VLOOKUP($B35,[1]Hedef!$A$4:$ES$45409,111,0)),0,VLOOKUP($B35,[1]Hedef!$A$4:$ES$45409,111,0))</f>
        <v>1.5999999999999999E-3</v>
      </c>
      <c r="G35" s="23" t="str">
        <f t="shared" si="51"/>
        <v>-</v>
      </c>
      <c r="H35" s="80" t="e">
        <f t="shared" si="52"/>
        <v>#DIV/0!</v>
      </c>
      <c r="J35" s="44">
        <v>0.25359999999999999</v>
      </c>
      <c r="K35" s="11">
        <f t="shared" si="53"/>
        <v>-0.99369085173501581</v>
      </c>
      <c r="M35" s="22"/>
      <c r="N35" s="23">
        <f>IF(ISERROR(VLOOKUP($B35,[1]Hedef!$A$4:$ES$45409,113,0)),0,VLOOKUP($B35,[1]Hedef!$A$4:$ES$45409,113,0))</f>
        <v>1.8000000000000002E-2</v>
      </c>
      <c r="O35" s="23" t="str">
        <f t="shared" si="54"/>
        <v>-</v>
      </c>
      <c r="P35" s="80" t="e">
        <f t="shared" si="55"/>
        <v>#DIV/0!</v>
      </c>
      <c r="R35" s="44">
        <v>4.9599999999999998E-2</v>
      </c>
      <c r="S35" s="11">
        <f t="shared" si="56"/>
        <v>-0.63709677419354838</v>
      </c>
      <c r="T35" s="72"/>
      <c r="U35" s="22"/>
      <c r="V35" s="23">
        <f>IF(ISERROR(VLOOKUP($B35,[1]Hedef!$A$4:$ES$45409,115,0)),0,VLOOKUP($B35,[1]Hedef!$A$4:$ES$45409,115,0))</f>
        <v>8.0000000000000004E-4</v>
      </c>
      <c r="W35" s="23" t="str">
        <f t="shared" si="57"/>
        <v>-</v>
      </c>
      <c r="X35" s="80" t="e">
        <f t="shared" si="58"/>
        <v>#DIV/0!</v>
      </c>
      <c r="Z35" s="44">
        <v>1.3600000000000001E-2</v>
      </c>
      <c r="AA35" s="11">
        <f t="shared" si="59"/>
        <v>-0.94117647058823528</v>
      </c>
      <c r="AC35" s="22">
        <f t="shared" si="60"/>
        <v>0</v>
      </c>
      <c r="AD35" s="23">
        <f>IF(ISERROR(VLOOKUP($B35,[1]Hedef!$A$4:$ES$45409,117,0)),0,VLOOKUP($B35,[1]Hedef!$A$4:$ES$45409,117,0))</f>
        <v>2.0400000000000001E-2</v>
      </c>
      <c r="AE35" s="23" t="str">
        <f t="shared" si="61"/>
        <v>-</v>
      </c>
      <c r="AF35" s="80" t="e">
        <f t="shared" si="62"/>
        <v>#DIV/0!</v>
      </c>
      <c r="AH35" s="44">
        <f t="shared" si="63"/>
        <v>0.31679999999999997</v>
      </c>
      <c r="AI35" s="11">
        <f t="shared" si="65"/>
        <v>-0.93560606060606066</v>
      </c>
      <c r="AK35" s="12">
        <f>AC35-'GENEL HEDEF'!BI35</f>
        <v>-0.39</v>
      </c>
      <c r="AL35" s="15">
        <f t="shared" si="64"/>
        <v>0</v>
      </c>
      <c r="AM35" s="13">
        <f t="shared" si="11"/>
        <v>0.39</v>
      </c>
    </row>
    <row r="36" spans="2:39" x14ac:dyDescent="0.15">
      <c r="B36" s="18">
        <v>51</v>
      </c>
      <c r="C36" s="1" t="s">
        <v>24</v>
      </c>
      <c r="E36" s="22"/>
      <c r="F36" s="23">
        <f>IF(ISERROR(VLOOKUP($B36,[1]Hedef!$A$4:$ES$45409,111,0)),0,VLOOKUP($B36,[1]Hedef!$A$4:$ES$45409,111,0))</f>
        <v>1.89E-2</v>
      </c>
      <c r="G36" s="23" t="str">
        <f t="shared" si="51"/>
        <v>-</v>
      </c>
      <c r="H36" s="80" t="e">
        <f t="shared" si="52"/>
        <v>#DIV/0!</v>
      </c>
      <c r="J36" s="44">
        <v>0.33288000000000006</v>
      </c>
      <c r="K36" s="11">
        <f t="shared" si="53"/>
        <v>-0.94322278298485929</v>
      </c>
      <c r="M36" s="22"/>
      <c r="N36" s="23">
        <f>IF(ISERROR(VLOOKUP($B36,[1]Hedef!$A$4:$ES$45409,113,0)),0,VLOOKUP($B36,[1]Hedef!$A$4:$ES$45409,113,0))</f>
        <v>1.3100000000000001E-2</v>
      </c>
      <c r="O36" s="23" t="str">
        <f t="shared" si="54"/>
        <v>-</v>
      </c>
      <c r="P36" s="80" t="e">
        <f t="shared" si="55"/>
        <v>#DIV/0!</v>
      </c>
      <c r="R36" s="44">
        <v>0.36076000000000003</v>
      </c>
      <c r="S36" s="11">
        <f t="shared" si="56"/>
        <v>-0.96368777026277863</v>
      </c>
      <c r="T36" s="72"/>
      <c r="U36" s="22"/>
      <c r="V36" s="23">
        <f>IF(ISERROR(VLOOKUP($B36,[1]Hedef!$A$4:$ES$45409,115,0)),0,VLOOKUP($B36,[1]Hedef!$A$4:$ES$45409,115,0))</f>
        <v>3.4479999999999997E-2</v>
      </c>
      <c r="W36" s="23" t="str">
        <f t="shared" si="57"/>
        <v>-</v>
      </c>
      <c r="X36" s="80" t="e">
        <f t="shared" si="58"/>
        <v>#DIV/0!</v>
      </c>
      <c r="Z36" s="44">
        <v>0.24633000000000002</v>
      </c>
      <c r="AA36" s="11">
        <f t="shared" si="59"/>
        <v>-0.86002516948808516</v>
      </c>
      <c r="AC36" s="22">
        <f t="shared" si="60"/>
        <v>0</v>
      </c>
      <c r="AD36" s="23">
        <f>IF(ISERROR(VLOOKUP($B36,[1]Hedef!$A$4:$ES$45409,117,0)),0,VLOOKUP($B36,[1]Hedef!$A$4:$ES$45409,117,0))</f>
        <v>6.6480000000000011E-2</v>
      </c>
      <c r="AE36" s="23" t="str">
        <f t="shared" si="61"/>
        <v>-</v>
      </c>
      <c r="AF36" s="80" t="e">
        <f t="shared" si="62"/>
        <v>#DIV/0!</v>
      </c>
      <c r="AH36" s="44">
        <f t="shared" si="63"/>
        <v>0.93997000000000008</v>
      </c>
      <c r="AI36" s="11">
        <f t="shared" si="65"/>
        <v>-0.92927433854271946</v>
      </c>
      <c r="AK36" s="12">
        <f>AC36-'GENEL HEDEF'!BI36</f>
        <v>-1</v>
      </c>
      <c r="AL36" s="15">
        <f t="shared" si="64"/>
        <v>0</v>
      </c>
      <c r="AM36" s="13">
        <f t="shared" si="11"/>
        <v>1</v>
      </c>
    </row>
    <row r="37" spans="2:39" x14ac:dyDescent="0.15">
      <c r="B37" s="18">
        <v>19</v>
      </c>
      <c r="C37" s="1" t="s">
        <v>25</v>
      </c>
      <c r="E37" s="22"/>
      <c r="F37" s="23">
        <f>IF(ISERROR(VLOOKUP($B37,[1]Hedef!$A$4:$ES$45409,111,0)),0,VLOOKUP($B37,[1]Hedef!$A$4:$ES$45409,111,0))</f>
        <v>8.9899999999999997E-3</v>
      </c>
      <c r="G37" s="23" t="str">
        <f t="shared" si="51"/>
        <v>-</v>
      </c>
      <c r="H37" s="80" t="e">
        <f t="shared" si="52"/>
        <v>#DIV/0!</v>
      </c>
      <c r="J37" s="44">
        <v>0.160995</v>
      </c>
      <c r="K37" s="11">
        <f t="shared" si="53"/>
        <v>-0.9441597565141775</v>
      </c>
      <c r="M37" s="22"/>
      <c r="N37" s="23">
        <f>IF(ISERROR(VLOOKUP($B37,[1]Hedef!$A$4:$ES$45409,113,0)),0,VLOOKUP($B37,[1]Hedef!$A$4:$ES$45409,113,0))</f>
        <v>4.9199999999999999E-3</v>
      </c>
      <c r="O37" s="23" t="str">
        <f t="shared" si="54"/>
        <v>-</v>
      </c>
      <c r="P37" s="80" t="e">
        <f t="shared" si="55"/>
        <v>#DIV/0!</v>
      </c>
      <c r="R37" s="44">
        <v>0.10050999999999999</v>
      </c>
      <c r="S37" s="11">
        <f t="shared" si="56"/>
        <v>-0.95104964680131332</v>
      </c>
      <c r="T37" s="72"/>
      <c r="U37" s="22"/>
      <c r="V37" s="23">
        <f>IF(ISERROR(VLOOKUP($B37,[1]Hedef!$A$4:$ES$45409,115,0)),0,VLOOKUP($B37,[1]Hedef!$A$4:$ES$45409,115,0))</f>
        <v>4.4999999999999997E-3</v>
      </c>
      <c r="W37" s="23" t="str">
        <f t="shared" si="57"/>
        <v>-</v>
      </c>
      <c r="X37" s="80" t="e">
        <f t="shared" si="58"/>
        <v>#DIV/0!</v>
      </c>
      <c r="Z37" s="44">
        <v>0.101165</v>
      </c>
      <c r="AA37" s="11">
        <f t="shared" si="59"/>
        <v>-0.95551821282063953</v>
      </c>
      <c r="AC37" s="22">
        <f t="shared" si="60"/>
        <v>0</v>
      </c>
      <c r="AD37" s="23">
        <f>IF(ISERROR(VLOOKUP($B37,[1]Hedef!$A$4:$ES$45409,117,0)),0,VLOOKUP($B37,[1]Hedef!$A$4:$ES$45409,117,0))</f>
        <v>1.8409999999999999E-2</v>
      </c>
      <c r="AE37" s="23" t="str">
        <f t="shared" si="61"/>
        <v>-</v>
      </c>
      <c r="AF37" s="80" t="e">
        <f t="shared" si="62"/>
        <v>#DIV/0!</v>
      </c>
      <c r="AH37" s="44">
        <f t="shared" si="63"/>
        <v>0.36266999999999999</v>
      </c>
      <c r="AI37" s="11">
        <f t="shared" si="65"/>
        <v>-0.94923759891912762</v>
      </c>
      <c r="AK37" s="12">
        <f>AC37-'GENEL HEDEF'!BI37</f>
        <v>-0.51</v>
      </c>
      <c r="AL37" s="15">
        <f t="shared" si="64"/>
        <v>0</v>
      </c>
      <c r="AM37" s="13">
        <f t="shared" si="11"/>
        <v>0.51</v>
      </c>
    </row>
    <row r="38" spans="2:39" ht="13" thickBot="1" x14ac:dyDescent="0.2">
      <c r="B38" s="18">
        <v>20</v>
      </c>
      <c r="C38" s="1" t="s">
        <v>63</v>
      </c>
      <c r="E38" s="22"/>
      <c r="F38" s="23">
        <f>IF(ISERROR(VLOOKUP($B38,[1]Hedef!$A$4:$ES$45409,111,0)),0,VLOOKUP($B38,[1]Hedef!$A$4:$ES$45409,111,0))</f>
        <v>3.0000000000000001E-3</v>
      </c>
      <c r="G38" s="23" t="str">
        <f t="shared" si="51"/>
        <v>-</v>
      </c>
      <c r="H38" s="80" t="e">
        <f t="shared" si="52"/>
        <v>#DIV/0!</v>
      </c>
      <c r="J38" s="44">
        <v>3.5000000000000003E-2</v>
      </c>
      <c r="K38" s="11">
        <f t="shared" si="53"/>
        <v>-0.91428571428571426</v>
      </c>
      <c r="M38" s="22"/>
      <c r="N38" s="23">
        <f>IF(ISERROR(VLOOKUP($B38,[1]Hedef!$A$4:$ES$45409,113,0)),0,VLOOKUP($B38,[1]Hedef!$A$4:$ES$45409,113,0))</f>
        <v>3.3000000000000002E-2</v>
      </c>
      <c r="O38" s="23" t="str">
        <f t="shared" si="54"/>
        <v>-</v>
      </c>
      <c r="P38" s="80" t="e">
        <f t="shared" si="55"/>
        <v>#DIV/0!</v>
      </c>
      <c r="R38" s="44">
        <v>0.17100000000000001</v>
      </c>
      <c r="S38" s="11">
        <f t="shared" si="56"/>
        <v>-0.80701754385964908</v>
      </c>
      <c r="T38" s="72"/>
      <c r="U38" s="22"/>
      <c r="V38" s="23">
        <f>IF(ISERROR(VLOOKUP($B38,[1]Hedef!$A$4:$ES$45409,115,0)),0,VLOOKUP($B38,[1]Hedef!$A$4:$ES$45409,115,0))</f>
        <v>0</v>
      </c>
      <c r="W38" s="23">
        <f t="shared" si="57"/>
        <v>0</v>
      </c>
      <c r="X38" s="80" t="e">
        <f t="shared" si="58"/>
        <v>#DIV/0!</v>
      </c>
      <c r="Z38" s="44">
        <v>2.7000000000000003E-2</v>
      </c>
      <c r="AA38" s="11">
        <f t="shared" si="59"/>
        <v>-1</v>
      </c>
      <c r="AC38" s="22">
        <f t="shared" si="60"/>
        <v>0</v>
      </c>
      <c r="AD38" s="23">
        <f>IF(ISERROR(VLOOKUP($B38,[1]Hedef!$A$4:$ES$45409,117,0)),0,VLOOKUP($B38,[1]Hedef!$A$4:$ES$45409,117,0))</f>
        <v>3.6000000000000004E-2</v>
      </c>
      <c r="AE38" s="23" t="str">
        <f t="shared" si="61"/>
        <v>-</v>
      </c>
      <c r="AF38" s="80" t="e">
        <f t="shared" si="62"/>
        <v>#DIV/0!</v>
      </c>
      <c r="AH38" s="44">
        <f t="shared" si="63"/>
        <v>0.23300000000000001</v>
      </c>
      <c r="AI38" s="11">
        <f t="shared" si="65"/>
        <v>-0.84549356223175964</v>
      </c>
      <c r="AK38" s="12">
        <f>AC38-'GENEL HEDEF'!BI38</f>
        <v>-0.15</v>
      </c>
      <c r="AL38" s="15">
        <f t="shared" si="64"/>
        <v>0</v>
      </c>
      <c r="AM38" s="13">
        <f t="shared" si="11"/>
        <v>0.15</v>
      </c>
    </row>
    <row r="39" spans="2:39" ht="14" thickTop="1" thickBot="1" x14ac:dyDescent="0.2">
      <c r="B39" s="18"/>
      <c r="C39" s="2" t="s">
        <v>26</v>
      </c>
      <c r="E39" s="67">
        <f>SUM(E31:E38)</f>
        <v>0</v>
      </c>
      <c r="F39" s="67">
        <f>SUM(F31:F38)</f>
        <v>0.121505</v>
      </c>
      <c r="G39" s="67">
        <f>SUM(G31:G38)</f>
        <v>0</v>
      </c>
      <c r="H39" s="39" t="e">
        <f>TRUNC(IF((F39/E39)&gt;1.2,"120%",(F39/E39)),2)</f>
        <v>#DIV/0!</v>
      </c>
      <c r="I39" s="109"/>
      <c r="J39" s="67"/>
      <c r="K39" s="48"/>
      <c r="L39" s="109"/>
      <c r="M39" s="67">
        <f>SUM(M31:M38)</f>
        <v>0</v>
      </c>
      <c r="N39" s="67">
        <f>SUM(N31:N38)</f>
        <v>0.22047500000000003</v>
      </c>
      <c r="O39" s="67">
        <f>SUM(O31:O38)</f>
        <v>0</v>
      </c>
      <c r="P39" s="39" t="e">
        <f>TRUNC(IF((N39/M39)&gt;1.2,"120%",(N39/M39)),2)</f>
        <v>#DIV/0!</v>
      </c>
      <c r="Q39" s="109"/>
      <c r="R39" s="67"/>
      <c r="S39" s="48"/>
      <c r="T39" s="74"/>
      <c r="U39" s="67">
        <f>SUM(U31:U38)</f>
        <v>0</v>
      </c>
      <c r="V39" s="67">
        <f>SUM(V31:V38)</f>
        <v>0.14397499999999996</v>
      </c>
      <c r="W39" s="67">
        <f>SUM(W31:W38)</f>
        <v>0</v>
      </c>
      <c r="X39" s="39" t="e">
        <f>TRUNC(IF((V39/U39)&gt;1.2,"120%",(V39/U39)),2)</f>
        <v>#DIV/0!</v>
      </c>
      <c r="Y39" s="109"/>
      <c r="Z39" s="67"/>
      <c r="AA39" s="48"/>
      <c r="AB39" s="109"/>
      <c r="AC39" s="67">
        <f>SUM(AC31:AC38)</f>
        <v>0</v>
      </c>
      <c r="AD39" s="67">
        <f>SUM(AD31:AD38)</f>
        <v>0.48595500000000003</v>
      </c>
      <c r="AE39" s="67">
        <f>SUM(AE31:AE38)</f>
        <v>0</v>
      </c>
      <c r="AF39" s="39" t="e">
        <f>TRUNC(IF((AD39/AC39)&gt;1.2,"120%",(AD39/AC39)),2)</f>
        <v>#DIV/0!</v>
      </c>
      <c r="AH39" s="67"/>
      <c r="AI39" s="48"/>
      <c r="AK39" s="8"/>
      <c r="AL39" s="89"/>
      <c r="AM39" s="13">
        <f t="shared" si="11"/>
        <v>0</v>
      </c>
    </row>
    <row r="40" spans="2:39" ht="13" thickTop="1" x14ac:dyDescent="0.15">
      <c r="B40" s="31">
        <v>22</v>
      </c>
      <c r="C40" s="1" t="s">
        <v>47</v>
      </c>
      <c r="E40" s="38"/>
      <c r="F40" s="23">
        <f>IF(ISERROR(VLOOKUP($B40,[1]Hedef!$A$4:$ES$45409,111,0)),0,VLOOKUP($B40,[1]Hedef!$A$4:$ES$45409,111,0))</f>
        <v>1</v>
      </c>
      <c r="G40" s="35" t="str">
        <f>IF((E40-F40)&lt;0, "-", (E40-F40))</f>
        <v>-</v>
      </c>
      <c r="H40" s="80" t="e">
        <f t="shared" ref="H40:H44" si="66">TRUNC(IF((F40/E40)&gt;1.2,"120%",(F40/E40)),2)</f>
        <v>#DIV/0!</v>
      </c>
      <c r="J40" s="44">
        <v>28</v>
      </c>
      <c r="K40" s="11">
        <f>IF(ISERROR((F40-J40)/J40),0,(F40-J40)/J40)</f>
        <v>-0.9642857142857143</v>
      </c>
      <c r="M40" s="38"/>
      <c r="N40" s="23">
        <f>IF(ISERROR(VLOOKUP($B40,[1]Hedef!$A$4:$ES$45409,113,0)),0,VLOOKUP($B40,[1]Hedef!$A$4:$ES$45409,113,0))</f>
        <v>0</v>
      </c>
      <c r="O40" s="35">
        <f>IF((M40-N40)&lt;0, "-", (M40-N40))</f>
        <v>0</v>
      </c>
      <c r="P40" s="80" t="e">
        <f t="shared" ref="P40:P44" si="67">TRUNC(IF((N40/M40)&gt;1.2,"120%",(N40/M40)),2)</f>
        <v>#DIV/0!</v>
      </c>
      <c r="R40" s="44">
        <v>59</v>
      </c>
      <c r="S40" s="11">
        <f>IF(ISERROR((N40-R40)/R40),0,(N40-R40)/R40)</f>
        <v>-1</v>
      </c>
      <c r="T40" s="72"/>
      <c r="U40" s="38"/>
      <c r="V40" s="23">
        <f>IF(ISERROR(VLOOKUP($B40,[1]Hedef!$A$4:$ES$45409,115,0)),0,VLOOKUP($B40,[1]Hedef!$A$4:$ES$45409,115,0))</f>
        <v>0</v>
      </c>
      <c r="W40" s="35">
        <f>IF((U40-V40)&lt;0, "-", (U40-V40))</f>
        <v>0</v>
      </c>
      <c r="X40" s="80" t="e">
        <f t="shared" ref="X40:X44" si="68">TRUNC(IF((V40/U40)&gt;1.2,"120%",(V40/U40)),2)</f>
        <v>#DIV/0!</v>
      </c>
      <c r="Z40" s="44">
        <v>28</v>
      </c>
      <c r="AA40" s="11">
        <f>IF(ISERROR((V40-Z40)/Z40),0,(V40-Z40)/Z40)</f>
        <v>-1</v>
      </c>
      <c r="AC40" s="22">
        <f>M40+E40+U40</f>
        <v>0</v>
      </c>
      <c r="AD40" s="23">
        <f>IF(ISERROR(VLOOKUP($B40,[1]Hedef!$A$4:$ES$45409,117,0)),0,VLOOKUP($B40,[1]Hedef!$A$4:$ES$45409,117,0))</f>
        <v>1</v>
      </c>
      <c r="AE40" s="35" t="str">
        <f>IF((AC40-AD40)&lt;0, "-", (AC40-AD40))</f>
        <v>-</v>
      </c>
      <c r="AF40" s="80" t="e">
        <f t="shared" ref="AF40:AF44" si="69">TRUNC(IF((AD40/AC40)&gt;1.2,"120%",(AD40/AC40)),2)</f>
        <v>#DIV/0!</v>
      </c>
      <c r="AH40" s="44">
        <f t="shared" ref="AH40:AH44" si="70">+Z40+R40+J40</f>
        <v>115</v>
      </c>
      <c r="AI40" s="11">
        <f>IF(ISERROR((AD40-AH40)/AH40),0,(AD40-AH40)/AH40)</f>
        <v>-0.99130434782608701</v>
      </c>
      <c r="AK40" s="12">
        <f>AC40-'GENEL HEDEF'!BI40</f>
        <v>-140</v>
      </c>
      <c r="AL40" s="15">
        <f>AD40-V40-N40-F40</f>
        <v>0</v>
      </c>
      <c r="AM40" s="13">
        <f t="shared" si="11"/>
        <v>140</v>
      </c>
    </row>
    <row r="41" spans="2:39" x14ac:dyDescent="0.15">
      <c r="B41" s="31">
        <v>999</v>
      </c>
      <c r="C41" s="1" t="s">
        <v>48</v>
      </c>
      <c r="E41" s="38"/>
      <c r="F41" s="23">
        <f>IF(ISERROR(VLOOKUP($B41,[1]Hedef!$A$4:$ES$45409,111,0)),0,VLOOKUP($B41,[1]Hedef!$A$4:$ES$45409,111,0))</f>
        <v>10</v>
      </c>
      <c r="G41" s="35" t="str">
        <f>IF((E41-F41)&lt;0, "-", (E41-F41))</f>
        <v>-</v>
      </c>
      <c r="H41" s="80" t="e">
        <f t="shared" si="66"/>
        <v>#DIV/0!</v>
      </c>
      <c r="J41" s="44">
        <v>109.8333333333333</v>
      </c>
      <c r="K41" s="11">
        <f>IF(ISERROR((F41-J41)/J41),0,(F41-J41)/J41)</f>
        <v>-0.90895295902883155</v>
      </c>
      <c r="M41" s="38"/>
      <c r="N41" s="23">
        <f>IF(ISERROR(VLOOKUP($B41,[1]Hedef!$A$4:$ES$45409,113,0)),0,VLOOKUP($B41,[1]Hedef!$A$4:$ES$45409,113,0))</f>
        <v>4</v>
      </c>
      <c r="O41" s="35" t="str">
        <f>IF((M41-N41)&lt;0, "-", (M41-N41))</f>
        <v>-</v>
      </c>
      <c r="P41" s="80" t="e">
        <f t="shared" si="67"/>
        <v>#DIV/0!</v>
      </c>
      <c r="R41" s="44">
        <v>79.0416666666667</v>
      </c>
      <c r="S41" s="11">
        <f>IF(ISERROR((N41-R41)/R41),0,(N41-R41)/R41)</f>
        <v>-0.94939377965208227</v>
      </c>
      <c r="T41" s="72"/>
      <c r="U41" s="38"/>
      <c r="V41" s="23">
        <f>IF(ISERROR(VLOOKUP($B41,[1]Hedef!$A$4:$ES$45409,115,0)),0,VLOOKUP($B41,[1]Hedef!$A$4:$ES$45409,115,0))</f>
        <v>9</v>
      </c>
      <c r="W41" s="35" t="str">
        <f>IF((U41-V41)&lt;0, "-", (U41-V41))</f>
        <v>-</v>
      </c>
      <c r="X41" s="80" t="e">
        <f t="shared" si="68"/>
        <v>#DIV/0!</v>
      </c>
      <c r="Z41" s="44">
        <v>69</v>
      </c>
      <c r="AA41" s="11">
        <f>IF(ISERROR((V41-Z41)/Z41),0,(V41-Z41)/Z41)</f>
        <v>-0.86956521739130432</v>
      </c>
      <c r="AC41" s="22">
        <f>M41+E41+U41</f>
        <v>0</v>
      </c>
      <c r="AD41" s="23">
        <f>IF(ISERROR(VLOOKUP($B41,[1]Hedef!$A$4:$ES$45409,117,0)),0,VLOOKUP($B41,[1]Hedef!$A$4:$ES$45409,117,0))</f>
        <v>23</v>
      </c>
      <c r="AE41" s="35" t="str">
        <f>IF((AC41-AD41)&lt;0, "-", (AC41-AD41))</f>
        <v>-</v>
      </c>
      <c r="AF41" s="80" t="e">
        <f t="shared" si="69"/>
        <v>#DIV/0!</v>
      </c>
      <c r="AH41" s="44">
        <f t="shared" si="70"/>
        <v>257.875</v>
      </c>
      <c r="AI41" s="11">
        <f>IF(ISERROR((AD41-AH41)/AH41),0,(AD41-AH41)/AH41)</f>
        <v>-0.91080950072709643</v>
      </c>
      <c r="AK41" s="12">
        <f>AC41-'GENEL HEDEF'!BI41</f>
        <v>-380</v>
      </c>
      <c r="AL41" s="15">
        <f>AD41-V41-N41-F41</f>
        <v>0</v>
      </c>
      <c r="AM41" s="13">
        <f t="shared" si="11"/>
        <v>380</v>
      </c>
    </row>
    <row r="42" spans="2:39" x14ac:dyDescent="0.15">
      <c r="B42" s="18">
        <v>888</v>
      </c>
      <c r="C42" s="1" t="s">
        <v>27</v>
      </c>
      <c r="E42" s="22"/>
      <c r="F42" s="23">
        <f>IF(ISERROR(VLOOKUP($B42,[1]Hedef!$A$4:$ES$45409,111,0)),0,VLOOKUP($B42,[1]Hedef!$A$4:$ES$45409,111,0))</f>
        <v>16</v>
      </c>
      <c r="G42" s="23" t="str">
        <f>IF((E42-F42)&lt;0, "-", (E42-F42))</f>
        <v>-</v>
      </c>
      <c r="H42" s="80" t="e">
        <f t="shared" si="66"/>
        <v>#DIV/0!</v>
      </c>
      <c r="J42" s="44">
        <v>11</v>
      </c>
      <c r="K42" s="11">
        <f>IF(ISERROR((F42-J42)/J42),0,(F42-J42)/J42)</f>
        <v>0.45454545454545453</v>
      </c>
      <c r="M42" s="22"/>
      <c r="N42" s="23">
        <f>IF(ISERROR(VLOOKUP($B42,[1]Hedef!$A$4:$ES$45409,113,0)),0,VLOOKUP($B42,[1]Hedef!$A$4:$ES$45409,113,0))</f>
        <v>0</v>
      </c>
      <c r="O42" s="23">
        <f>IF((M42-N42)&lt;0, "-", (M42-N42))</f>
        <v>0</v>
      </c>
      <c r="P42" s="80" t="e">
        <f t="shared" si="67"/>
        <v>#DIV/0!</v>
      </c>
      <c r="R42" s="44">
        <v>14.5</v>
      </c>
      <c r="S42" s="11">
        <f>IF(ISERROR((N42-R42)/R42),0,(N42-R42)/R42)</f>
        <v>-1</v>
      </c>
      <c r="T42" s="72"/>
      <c r="U42" s="22"/>
      <c r="V42" s="23">
        <f>IF(ISERROR(VLOOKUP($B42,[1]Hedef!$A$4:$ES$45409,115,0)),0,VLOOKUP($B42,[1]Hedef!$A$4:$ES$45409,115,0))</f>
        <v>1</v>
      </c>
      <c r="W42" s="35" t="str">
        <f>IF((U42-V42)&lt;0, "-", (U42-V42))</f>
        <v>-</v>
      </c>
      <c r="X42" s="80" t="e">
        <f t="shared" si="68"/>
        <v>#DIV/0!</v>
      </c>
      <c r="Z42" s="44">
        <v>10</v>
      </c>
      <c r="AA42" s="11">
        <f>IF(ISERROR((V42-Z42)/Z42),0,(V42-Z42)/Z42)</f>
        <v>-0.9</v>
      </c>
      <c r="AC42" s="22">
        <f>M42+E42+U42</f>
        <v>0</v>
      </c>
      <c r="AD42" s="23">
        <f>IF(ISERROR(VLOOKUP($B42,[1]Hedef!$A$4:$ES$45409,117,0)),0,VLOOKUP($B42,[1]Hedef!$A$4:$ES$45409,117,0))</f>
        <v>17</v>
      </c>
      <c r="AE42" s="23" t="str">
        <f>IF((AC42-AD42)&lt;0, "-", (AC42-AD42))</f>
        <v>-</v>
      </c>
      <c r="AF42" s="80" t="e">
        <f t="shared" si="69"/>
        <v>#DIV/0!</v>
      </c>
      <c r="AH42" s="44">
        <f t="shared" si="70"/>
        <v>35.5</v>
      </c>
      <c r="AI42" s="11">
        <f>IF(ISERROR((AD42-AH42)/AH42),0,(AD42-AH42)/AH42)</f>
        <v>-0.52112676056338025</v>
      </c>
      <c r="AK42" s="12">
        <f>AC42-'GENEL HEDEF'!BI42</f>
        <v>-105</v>
      </c>
      <c r="AL42" s="15">
        <f>AD42-V42-N42-F42</f>
        <v>0</v>
      </c>
      <c r="AM42" s="13">
        <f t="shared" si="11"/>
        <v>105</v>
      </c>
    </row>
    <row r="43" spans="2:39" x14ac:dyDescent="0.15">
      <c r="B43" s="18">
        <v>14</v>
      </c>
      <c r="C43" s="1" t="s">
        <v>131</v>
      </c>
      <c r="E43" s="22"/>
      <c r="F43" s="23">
        <f>IF(ISERROR(VLOOKUP($B43,[1]Hedef!$A$4:$ES$45409,111,0)),0,VLOOKUP($B43,[1]Hedef!$A$4:$ES$45409,111,0))</f>
        <v>0</v>
      </c>
      <c r="G43" s="23">
        <f>IF((E43-F43)&lt;0, "-", (E43-F43))</f>
        <v>0</v>
      </c>
      <c r="H43" s="80" t="e">
        <f t="shared" si="66"/>
        <v>#DIV/0!</v>
      </c>
      <c r="J43" s="44">
        <v>4.8333399733333327</v>
      </c>
      <c r="K43" s="11">
        <f>IF(ISERROR((F43-J43)/J43),0,(F43-J43)/J43)</f>
        <v>-1</v>
      </c>
      <c r="M43" s="22"/>
      <c r="N43" s="23">
        <f>IF(ISERROR(VLOOKUP($B43,[1]Hedef!$A$4:$ES$45409,113,0)),0,VLOOKUP($B43,[1]Hedef!$A$4:$ES$45409,113,0))</f>
        <v>0.25</v>
      </c>
      <c r="O43" s="23" t="str">
        <f>IF((M43-N43)&lt;0, "-", (M43-N43))</f>
        <v>-</v>
      </c>
      <c r="P43" s="80" t="e">
        <f t="shared" si="67"/>
        <v>#DIV/0!</v>
      </c>
      <c r="R43" s="44">
        <v>4.6111144311111101</v>
      </c>
      <c r="S43" s="11">
        <f>IF(ISERROR((N43-R43)/R43),0,(N43-R43)/R43)</f>
        <v>-0.94578317156623692</v>
      </c>
      <c r="T43" s="72"/>
      <c r="U43" s="22"/>
      <c r="V43" s="23">
        <f>IF(ISERROR(VLOOKUP($B43,[1]Hedef!$A$4:$ES$45409,115,0)),0,VLOOKUP($B43,[1]Hedef!$A$4:$ES$45409,115,0))</f>
        <v>0.20833333333333301</v>
      </c>
      <c r="W43" s="35" t="str">
        <f>IF((U43-V43)&lt;0, "-", (U43-V43))</f>
        <v>-</v>
      </c>
      <c r="X43" s="80" t="e">
        <f t="shared" si="68"/>
        <v>#DIV/0!</v>
      </c>
      <c r="Z43" s="44">
        <v>3.5833344399999998</v>
      </c>
      <c r="AA43" s="11">
        <f>IF(ISERROR((V43-Z43)/Z43),0,(V43-Z43)/Z43)</f>
        <v>-0.94186048307192527</v>
      </c>
      <c r="AC43" s="22">
        <f>M43+E43+U43</f>
        <v>0</v>
      </c>
      <c r="AD43" s="23">
        <f>IF(ISERROR(VLOOKUP($B43,[1]Hedef!$A$4:$ES$45409,117,0)),0,VLOOKUP($B43,[1]Hedef!$A$4:$ES$45409,117,0))</f>
        <v>0.45833333333333304</v>
      </c>
      <c r="AE43" s="23" t="str">
        <f>IF((AC43-AD43)&lt;0, "-", (AC43-AD43))</f>
        <v>-</v>
      </c>
      <c r="AF43" s="80" t="e">
        <f t="shared" si="69"/>
        <v>#DIV/0!</v>
      </c>
      <c r="AH43" s="44">
        <f t="shared" si="70"/>
        <v>13.027788844444443</v>
      </c>
      <c r="AI43" s="11">
        <f>IF(ISERROR((AD43-AH43)/AH43),0,(AD43-AH43)/AH43)</f>
        <v>-0.96481879321149844</v>
      </c>
      <c r="AK43" s="12">
        <f>AC43-'GENEL HEDEF'!BI43</f>
        <v>-19</v>
      </c>
      <c r="AL43" s="15">
        <f>AD43-V43-N43-F43</f>
        <v>0</v>
      </c>
      <c r="AM43" s="13">
        <f t="shared" ref="AM43" si="71">AK43*-1</f>
        <v>19</v>
      </c>
    </row>
    <row r="44" spans="2:39" ht="13" thickBot="1" x14ac:dyDescent="0.2">
      <c r="B44" s="18">
        <v>17</v>
      </c>
      <c r="C44" s="1" t="s">
        <v>61</v>
      </c>
      <c r="E44" s="22"/>
      <c r="F44" s="23">
        <f>IF(ISERROR(VLOOKUP($B44,[1]Hedef!$A$4:$ES$45409,111,0)),0,VLOOKUP($B44,[1]Hedef!$A$4:$ES$45409,111,0))</f>
        <v>0</v>
      </c>
      <c r="G44" s="23">
        <f>IF((E44-F44)&lt;0, "-", (E44-F44))</f>
        <v>0</v>
      </c>
      <c r="H44" s="80" t="e">
        <f t="shared" si="66"/>
        <v>#DIV/0!</v>
      </c>
      <c r="J44" s="44">
        <v>14.499999999999991</v>
      </c>
      <c r="K44" s="11">
        <f>IF(ISERROR((F44-J44)/J44),0,(F44-J44)/J44)</f>
        <v>-1</v>
      </c>
      <c r="M44" s="22"/>
      <c r="N44" s="23">
        <f>IF(ISERROR(VLOOKUP($B44,[1]Hedef!$A$4:$ES$45409,113,0)),0,VLOOKUP($B44,[1]Hedef!$A$4:$ES$45409,113,0))</f>
        <v>0</v>
      </c>
      <c r="O44" s="23">
        <f>IF((M44-N44)&lt;0, "-", (M44-N44))</f>
        <v>0</v>
      </c>
      <c r="P44" s="80" t="e">
        <f t="shared" si="67"/>
        <v>#DIV/0!</v>
      </c>
      <c r="R44" s="44">
        <v>14.333333333333332</v>
      </c>
      <c r="S44" s="11">
        <f>IF(ISERROR((N44-R44)/R44),0,(N44-R44)/R44)</f>
        <v>-1</v>
      </c>
      <c r="T44" s="72"/>
      <c r="U44" s="22"/>
      <c r="V44" s="23">
        <f>IF(ISERROR(VLOOKUP($B44,[1]Hedef!$A$4:$ES$45409,115,0)),0,VLOOKUP($B44,[1]Hedef!$A$4:$ES$45409,115,0))</f>
        <v>0</v>
      </c>
      <c r="W44" s="35">
        <f>IF((U44-V44)&lt;0, "-", (U44-V44))</f>
        <v>0</v>
      </c>
      <c r="X44" s="80" t="e">
        <f t="shared" si="68"/>
        <v>#DIV/0!</v>
      </c>
      <c r="Z44" s="44">
        <v>7.25</v>
      </c>
      <c r="AA44" s="11">
        <f>IF(ISERROR((V44-Z44)/Z44),0,(V44-Z44)/Z44)</f>
        <v>-1</v>
      </c>
      <c r="AC44" s="22">
        <f>M44+E44+U44</f>
        <v>0</v>
      </c>
      <c r="AD44" s="23">
        <f>IF(ISERROR(VLOOKUP($B44,[1]Hedef!$A$4:$ES$45409,117,0)),0,VLOOKUP($B44,[1]Hedef!$A$4:$ES$45409,117,0))</f>
        <v>0</v>
      </c>
      <c r="AE44" s="23">
        <f>IF((AC44-AD44)&lt;0, "-", (AC44-AD44))</f>
        <v>0</v>
      </c>
      <c r="AF44" s="80" t="e">
        <f t="shared" si="69"/>
        <v>#DIV/0!</v>
      </c>
      <c r="AH44" s="44">
        <f t="shared" si="70"/>
        <v>36.083333333333321</v>
      </c>
      <c r="AI44" s="11">
        <f>IF(ISERROR((AD44-AH44)/AH44),0,(AD44-AH44)/AH44)</f>
        <v>-1</v>
      </c>
      <c r="AK44" s="12">
        <f>AC44-'GENEL HEDEF'!BI44</f>
        <v>-45</v>
      </c>
      <c r="AL44" s="15">
        <f>AD44-V44-N44-F44</f>
        <v>0</v>
      </c>
      <c r="AM44" s="13">
        <f t="shared" si="11"/>
        <v>45</v>
      </c>
    </row>
    <row r="45" spans="2:39" ht="14" thickTop="1" thickBot="1" x14ac:dyDescent="0.2">
      <c r="B45" s="18"/>
      <c r="C45" s="2" t="s">
        <v>28</v>
      </c>
      <c r="E45" s="41">
        <f>SUM(E40:E44)</f>
        <v>0</v>
      </c>
      <c r="F45" s="41">
        <f>SUM(F41:F44)</f>
        <v>26</v>
      </c>
      <c r="G45" s="41">
        <f>SUM(G41:G44)</f>
        <v>0</v>
      </c>
      <c r="H45" s="39" t="e">
        <f>TRUNC(IF((F45/E45)&gt;1.2,"120%",(F45/E45)),2)</f>
        <v>#DIV/0!</v>
      </c>
      <c r="I45" s="109"/>
      <c r="J45" s="41"/>
      <c r="K45" s="48"/>
      <c r="L45" s="109"/>
      <c r="M45" s="41">
        <f>SUM(M40:M44)</f>
        <v>0</v>
      </c>
      <c r="N45" s="41">
        <f>SUM(N41:N44)</f>
        <v>4.25</v>
      </c>
      <c r="O45" s="41">
        <f>SUM(O41:O44)</f>
        <v>0</v>
      </c>
      <c r="P45" s="39" t="e">
        <f>TRUNC(IF((N45/M45)&gt;1.2,"120%",(N45/M45)),2)</f>
        <v>#DIV/0!</v>
      </c>
      <c r="Q45" s="109"/>
      <c r="R45" s="41"/>
      <c r="S45" s="48"/>
      <c r="T45" s="74"/>
      <c r="U45" s="41">
        <f>SUM(U40:U44)</f>
        <v>0</v>
      </c>
      <c r="V45" s="41">
        <f>SUM(V41:V44)</f>
        <v>10.208333333333332</v>
      </c>
      <c r="W45" s="41">
        <f>SUM(W41:W44)</f>
        <v>0</v>
      </c>
      <c r="X45" s="39" t="e">
        <f>TRUNC(IF((V45/U45)&gt;1.2,"120%",(V45/U45)),2)</f>
        <v>#DIV/0!</v>
      </c>
      <c r="Y45" s="109"/>
      <c r="Z45" s="41"/>
      <c r="AA45" s="48"/>
      <c r="AB45" s="109"/>
      <c r="AC45" s="41">
        <f>SUM(AC40:AC44)</f>
        <v>0</v>
      </c>
      <c r="AD45" s="41">
        <f>SUM(AD41:AD44)</f>
        <v>40.458333333333336</v>
      </c>
      <c r="AE45" s="41">
        <f>SUM(AE41:AE44)</f>
        <v>0</v>
      </c>
      <c r="AF45" s="39" t="e">
        <f>TRUNC(IF((AD45/AC45)&gt;1.2,"120%",(AD45/AC45)),2)</f>
        <v>#DIV/0!</v>
      </c>
      <c r="AH45" s="67"/>
      <c r="AI45" s="48"/>
      <c r="AK45" s="8"/>
      <c r="AL45" s="89"/>
      <c r="AM45" s="13">
        <f t="shared" si="11"/>
        <v>0</v>
      </c>
    </row>
    <row r="46" spans="2:39" ht="13" thickTop="1" x14ac:dyDescent="0.15">
      <c r="B46" s="18">
        <v>52</v>
      </c>
      <c r="C46" s="1" t="s">
        <v>68</v>
      </c>
      <c r="E46" s="22"/>
      <c r="F46" s="23">
        <f>IF(ISERROR(VLOOKUP($B46,[1]Hedef!$A$4:$ES$45409,111,0)),0,VLOOKUP($B46,[1]Hedef!$A$4:$ES$45409,111,0))</f>
        <v>6.1439999999999995E-2</v>
      </c>
      <c r="G46" s="23" t="str">
        <f t="shared" ref="G46:G56" si="72">IF((E46-F46)&lt;0, "-", (E46-F46))</f>
        <v>-</v>
      </c>
      <c r="H46" s="80" t="e">
        <f t="shared" ref="H46:H56" si="73">TRUNC(IF((F46/E46)&gt;1.2,"120%",(F46/E46)),2)</f>
        <v>#DIV/0!</v>
      </c>
      <c r="J46" s="44">
        <v>1.69855</v>
      </c>
      <c r="K46" s="11">
        <f t="shared" ref="K46:K56" si="74">IF(ISERROR((F46-J46)/J46),0,(F46-J46)/J46)</f>
        <v>-0.96382797091636985</v>
      </c>
      <c r="M46" s="22"/>
      <c r="N46" s="23">
        <f>IF(ISERROR(VLOOKUP($B46,[1]Hedef!$A$4:$ES$45409,113,0)),0,VLOOKUP($B46,[1]Hedef!$A$4:$ES$45409,113,0))</f>
        <v>1.248E-2</v>
      </c>
      <c r="O46" s="23" t="str">
        <f t="shared" ref="O46:O56" si="75">IF((M46-N46)&lt;0, "-", (M46-N46))</f>
        <v>-</v>
      </c>
      <c r="P46" s="80" t="e">
        <f t="shared" ref="P46:P56" si="76">TRUNC(IF((N46/M46)&gt;1.2,"120%",(N46/M46)),2)</f>
        <v>#DIV/0!</v>
      </c>
      <c r="R46" s="44">
        <v>0.21792</v>
      </c>
      <c r="S46" s="11">
        <f t="shared" ref="S46:S56" si="77">IF(ISERROR((N46-R46)/R46),0,(N46-R46)/R46)</f>
        <v>-0.94273127753303965</v>
      </c>
      <c r="T46" s="72"/>
      <c r="U46" s="22"/>
      <c r="V46" s="23">
        <f>IF(ISERROR(VLOOKUP($B46,[1]Hedef!$A$4:$ES$45409,115,0)),0,VLOOKUP($B46,[1]Hedef!$A$4:$ES$45409,115,0))</f>
        <v>2.4E-2</v>
      </c>
      <c r="W46" s="23" t="str">
        <f t="shared" ref="W46:W56" si="78">IF((U46-V46)&lt;0, "-", (U46-V46))</f>
        <v>-</v>
      </c>
      <c r="X46" s="80" t="e">
        <f t="shared" ref="X46:X47" si="79">TRUNC(IF((V46/U46)&gt;1.2,"120%",(V46/U46)),2)</f>
        <v>#DIV/0!</v>
      </c>
      <c r="Z46" s="44">
        <v>0.23899999999999999</v>
      </c>
      <c r="AA46" s="11">
        <f t="shared" ref="AA46:AA56" si="80">IF(ISERROR((V46-Z46)/Z46),0,(V46-Z46)/Z46)</f>
        <v>-0.89958158995815907</v>
      </c>
      <c r="AC46" s="22">
        <f>M46+E46+U46</f>
        <v>0</v>
      </c>
      <c r="AD46" s="23">
        <f>IF(ISERROR(VLOOKUP($B46,[1]Hedef!$A$4:$ES$45409,117,0)),0,VLOOKUP($B46,[1]Hedef!$A$4:$ES$45409,117,0))</f>
        <v>0.10042000000000001</v>
      </c>
      <c r="AE46" s="23" t="str">
        <f t="shared" ref="AE46:AE56" si="81">IF((AC46-AD46)&lt;0, "-", (AC46-AD46))</f>
        <v>-</v>
      </c>
      <c r="AF46" s="80" t="e">
        <f t="shared" ref="AF46:AF56" si="82">TRUNC(IF((AD46/AC46)&gt;1.2,"120%",(AD46/AC46)),2)</f>
        <v>#DIV/0!</v>
      </c>
      <c r="AH46" s="44">
        <f t="shared" ref="AH46:AH56" si="83">+Z46+R46+J46</f>
        <v>2.1554700000000002</v>
      </c>
      <c r="AI46" s="11">
        <f t="shared" ref="AI46:AI54" si="84">IF(ISERROR((AD46-AH46)/AH46),0,(AD46-AH46)/AH46)</f>
        <v>-0.95341155293277091</v>
      </c>
      <c r="AK46" s="12">
        <f>AC46-'GENEL HEDEF'!BI46</f>
        <v>-2.2999999999999998</v>
      </c>
      <c r="AL46" s="15">
        <f t="shared" ref="AL46:AL56" si="85">AD46-V46-N46-F46</f>
        <v>2.5000000000000161E-3</v>
      </c>
      <c r="AM46" s="13">
        <f t="shared" si="11"/>
        <v>2.2999999999999998</v>
      </c>
    </row>
    <row r="47" spans="2:39" x14ac:dyDescent="0.15">
      <c r="B47" s="31">
        <v>55</v>
      </c>
      <c r="C47" s="1" t="s">
        <v>69</v>
      </c>
      <c r="E47" s="22"/>
      <c r="F47" s="23">
        <f>IF(ISERROR(VLOOKUP($B47,[1]Hedef!$A$4:$ES$45409,111,0)),0,VLOOKUP($B47,[1]Hedef!$A$4:$ES$45409,111,0))</f>
        <v>2.7779999999999999E-2</v>
      </c>
      <c r="G47" s="23" t="str">
        <f>IF((E47-F47)&lt;0, "-", (E47-F47))</f>
        <v>-</v>
      </c>
      <c r="H47" s="80" t="e">
        <f t="shared" si="73"/>
        <v>#DIV/0!</v>
      </c>
      <c r="J47" s="44">
        <v>0.10538</v>
      </c>
      <c r="K47" s="11">
        <f t="shared" si="74"/>
        <v>-0.73638261529702032</v>
      </c>
      <c r="M47" s="22"/>
      <c r="N47" s="23">
        <f>IF(ISERROR(VLOOKUP($B47,[1]Hedef!$A$4:$ES$45409,113,0)),0,VLOOKUP($B47,[1]Hedef!$A$4:$ES$45409,113,0))</f>
        <v>2.8400000000000002E-2</v>
      </c>
      <c r="O47" s="23" t="str">
        <f>IF((M47-N47)&lt;0, "-", (M47-N47))</f>
        <v>-</v>
      </c>
      <c r="P47" s="80" t="e">
        <f t="shared" si="76"/>
        <v>#DIV/0!</v>
      </c>
      <c r="R47" s="44">
        <v>0.12816</v>
      </c>
      <c r="S47" s="11">
        <f>IF(ISERROR((N47-R47)/R47),0,(N47-R47)/R47)</f>
        <v>-0.778401997503121</v>
      </c>
      <c r="T47" s="72"/>
      <c r="U47" s="22"/>
      <c r="V47" s="23">
        <f>IF(ISERROR(VLOOKUP($B47,[1]Hedef!$A$4:$ES$45409,115,0)),0,VLOOKUP($B47,[1]Hedef!$A$4:$ES$45409,115,0))</f>
        <v>1.3600000000000001E-3</v>
      </c>
      <c r="W47" s="23" t="str">
        <f>IF((U47-V47)&lt;0, "-", (U47-V47))</f>
        <v>-</v>
      </c>
      <c r="X47" s="80" t="e">
        <f t="shared" si="79"/>
        <v>#DIV/0!</v>
      </c>
      <c r="Z47" s="44">
        <v>4.9460000000000004E-2</v>
      </c>
      <c r="AA47" s="11">
        <f>IF(ISERROR((V47-Z47)/Z47),0,(V47-Z47)/Z47)</f>
        <v>-0.97250303275374039</v>
      </c>
      <c r="AC47" s="22">
        <f>M47+E47+U47</f>
        <v>0</v>
      </c>
      <c r="AD47" s="23">
        <f>IF(ISERROR(VLOOKUP($B47,[1]Hedef!$A$4:$ES$45409,117,0)),0,VLOOKUP($B47,[1]Hedef!$A$4:$ES$45409,117,0))</f>
        <v>5.7540000000000001E-2</v>
      </c>
      <c r="AE47" s="23" t="str">
        <f>IF((AC47-AD47)&lt;0, "-", (AC47-AD47))</f>
        <v>-</v>
      </c>
      <c r="AF47" s="80" t="e">
        <f t="shared" si="82"/>
        <v>#DIV/0!</v>
      </c>
      <c r="AH47" s="44">
        <f t="shared" si="83"/>
        <v>0.28300000000000003</v>
      </c>
      <c r="AI47" s="11">
        <f>IF(ISERROR((AD47-AH47)/AH47),0,(AD47-AH47)/AH47)</f>
        <v>-0.79667844522968201</v>
      </c>
      <c r="AK47" s="12">
        <f>AC47-'GENEL HEDEF'!BI47</f>
        <v>-0.37</v>
      </c>
      <c r="AL47" s="15">
        <f t="shared" si="85"/>
        <v>0</v>
      </c>
      <c r="AM47" s="13">
        <f>AK47*-1</f>
        <v>0.37</v>
      </c>
    </row>
    <row r="48" spans="2:39" x14ac:dyDescent="0.15">
      <c r="B48" s="18">
        <v>61</v>
      </c>
      <c r="C48" s="1" t="s">
        <v>46</v>
      </c>
      <c r="E48" s="22"/>
      <c r="F48" s="23">
        <f>IF(ISERROR(VLOOKUP($B48,[1]Hedef!$A$4:$ES$45409,111,0)),0,VLOOKUP($B48,[1]Hedef!$A$4:$ES$45409,111,0))</f>
        <v>0</v>
      </c>
      <c r="G48" s="23"/>
      <c r="H48" s="80"/>
      <c r="J48" s="44">
        <v>2.5000000000000001E-2</v>
      </c>
      <c r="K48" s="11">
        <f t="shared" si="74"/>
        <v>-1</v>
      </c>
      <c r="M48" s="22"/>
      <c r="N48" s="23">
        <f>IF(ISERROR(VLOOKUP($B48,[1]Hedef!$A$4:$ES$45409,113,0)),0,VLOOKUP($B48,[1]Hedef!$A$4:$ES$45409,113,0))</f>
        <v>0</v>
      </c>
      <c r="O48" s="23"/>
      <c r="P48" s="80" t="e">
        <f t="shared" si="76"/>
        <v>#DIV/0!</v>
      </c>
      <c r="R48" s="44">
        <v>2.5000000000000001E-2</v>
      </c>
      <c r="S48" s="11">
        <f t="shared" si="77"/>
        <v>-1</v>
      </c>
      <c r="T48" s="72"/>
      <c r="U48" s="22"/>
      <c r="V48" s="23">
        <f>IF(ISERROR(VLOOKUP($B48,[1]Hedef!$A$4:$ES$45409,115,0)),0,VLOOKUP($B48,[1]Hedef!$A$4:$ES$45409,115,0))</f>
        <v>0</v>
      </c>
      <c r="W48" s="23"/>
      <c r="X48" s="80"/>
      <c r="Z48" s="44">
        <v>0</v>
      </c>
      <c r="AA48" s="11">
        <f t="shared" si="80"/>
        <v>0</v>
      </c>
      <c r="AC48" s="22">
        <f>M48+E48+U48</f>
        <v>0</v>
      </c>
      <c r="AD48" s="23">
        <f>IF(ISERROR(VLOOKUP($B48,[1]Hedef!$A$4:$ES$45409,117,0)),0,VLOOKUP($B48,[1]Hedef!$A$4:$ES$45409,117,0))</f>
        <v>0</v>
      </c>
      <c r="AE48" s="23"/>
      <c r="AF48" s="80" t="e">
        <f t="shared" si="82"/>
        <v>#DIV/0!</v>
      </c>
      <c r="AH48" s="44">
        <f t="shared" si="83"/>
        <v>0.05</v>
      </c>
      <c r="AI48" s="11">
        <f t="shared" si="84"/>
        <v>-1</v>
      </c>
      <c r="AK48" s="12">
        <f>AC48-'GENEL HEDEF'!BI48</f>
        <v>-7.0000000000000007E-2</v>
      </c>
      <c r="AL48" s="15">
        <f t="shared" si="85"/>
        <v>0</v>
      </c>
      <c r="AM48" s="13">
        <f t="shared" si="11"/>
        <v>7.0000000000000007E-2</v>
      </c>
    </row>
    <row r="49" spans="2:39" x14ac:dyDescent="0.15">
      <c r="B49" s="31">
        <v>27</v>
      </c>
      <c r="C49" s="1" t="s">
        <v>158</v>
      </c>
      <c r="E49" s="22"/>
      <c r="F49" s="23">
        <f>IF(ISERROR(VLOOKUP($B49,[1]Hedef!$A$4:$ES$45409,111,0)),0,VLOOKUP($B49,[1]Hedef!$A$4:$ES$45409,111,0))</f>
        <v>0</v>
      </c>
      <c r="G49" s="23">
        <f>IF((E49-F49)&lt;0, "-", (E49-F49))</f>
        <v>0</v>
      </c>
      <c r="H49" s="80"/>
      <c r="J49" s="44">
        <v>0</v>
      </c>
      <c r="K49" s="11">
        <f t="shared" si="74"/>
        <v>0</v>
      </c>
      <c r="M49" s="22"/>
      <c r="N49" s="23">
        <f>IF(ISERROR(VLOOKUP($B49,[1]Hedef!$A$4:$ES$45409,113,0)),0,VLOOKUP($B49,[1]Hedef!$A$4:$ES$45409,113,0))</f>
        <v>0</v>
      </c>
      <c r="O49" s="23">
        <f>IF((M49-N49)&lt;0, "-", (M49-N49))</f>
        <v>0</v>
      </c>
      <c r="P49" s="80"/>
      <c r="R49" s="44">
        <v>0</v>
      </c>
      <c r="S49" s="11">
        <f>IF(ISERROR((N49-R49)/R49),0,(N49-R49)/R49)</f>
        <v>0</v>
      </c>
      <c r="T49" s="72"/>
      <c r="U49" s="22"/>
      <c r="V49" s="23">
        <f>IF(ISERROR(VLOOKUP($B49,[1]Hedef!$A$4:$ES$45409,115,0)),0,VLOOKUP($B49,[1]Hedef!$A$4:$ES$45409,115,0))</f>
        <v>0</v>
      </c>
      <c r="W49" s="23">
        <f>IF((U49-V49)&lt;0, "-", (U49-V49))</f>
        <v>0</v>
      </c>
      <c r="X49" s="80"/>
      <c r="Z49" s="44">
        <v>0</v>
      </c>
      <c r="AA49" s="11">
        <f>IF(ISERROR((V49-Z49)/Z49),0,(V49-Z49)/Z49)</f>
        <v>0</v>
      </c>
      <c r="AC49" s="22">
        <f t="shared" ref="AC49:AC50" si="86">M49+E49+U49</f>
        <v>0</v>
      </c>
      <c r="AD49" s="23">
        <f>IF(ISERROR(VLOOKUP($B49,[1]Hedef!$A$4:$ES$45409,117,0)),0,VLOOKUP($B49,[1]Hedef!$A$4:$ES$45409,117,0))</f>
        <v>0</v>
      </c>
      <c r="AE49" s="23">
        <f>IF((AC49-AD49)&lt;0, "-", (AC49-AD49))</f>
        <v>0</v>
      </c>
      <c r="AF49" s="80"/>
      <c r="AH49" s="44">
        <v>0</v>
      </c>
      <c r="AI49" s="11">
        <f>IF(ISERROR((AD49-AH49)/AH49),0,(AD49-AH49)/AH49)</f>
        <v>0</v>
      </c>
      <c r="AK49" s="12">
        <f>AC49-'GENEL HEDEF'!BI49</f>
        <v>0</v>
      </c>
      <c r="AL49" s="15">
        <f t="shared" si="85"/>
        <v>0</v>
      </c>
      <c r="AM49" s="13">
        <f>AK49*-1</f>
        <v>0</v>
      </c>
    </row>
    <row r="50" spans="2:39" x14ac:dyDescent="0.15">
      <c r="B50" s="31">
        <v>71</v>
      </c>
      <c r="C50" s="1" t="s">
        <v>64</v>
      </c>
      <c r="E50" s="22"/>
      <c r="F50" s="23">
        <f>IF(ISERROR(VLOOKUP($B50,[1]Hedef!$A$4:$ES$45409,111,0)),0,VLOOKUP($B50,[1]Hedef!$A$4:$ES$45409,111,0))</f>
        <v>1.4999999999999999E-2</v>
      </c>
      <c r="G50" s="23" t="str">
        <f>IF((E50-F50)&lt;0, "-", (E50-F50))</f>
        <v>-</v>
      </c>
      <c r="H50" s="80" t="e">
        <f t="shared" si="73"/>
        <v>#DIV/0!</v>
      </c>
      <c r="J50" s="44">
        <v>7.8750000000000001E-2</v>
      </c>
      <c r="K50" s="11">
        <f t="shared" si="74"/>
        <v>-0.80952380952380953</v>
      </c>
      <c r="M50" s="22"/>
      <c r="N50" s="23">
        <f>IF(ISERROR(VLOOKUP($B50,[1]Hedef!$A$4:$ES$45409,113,0)),0,VLOOKUP($B50,[1]Hedef!$A$4:$ES$45409,113,0))</f>
        <v>1.4500000000000001E-2</v>
      </c>
      <c r="O50" s="23" t="str">
        <f>IF((M50-N50)&lt;0, "-", (M50-N50))</f>
        <v>-</v>
      </c>
      <c r="P50" s="80" t="e">
        <f t="shared" si="76"/>
        <v>#DIV/0!</v>
      </c>
      <c r="R50" s="44">
        <v>7.5849999999999997E-3</v>
      </c>
      <c r="S50" s="11">
        <f>IF(ISERROR((N50-R50)/R50),0,(N50-R50)/R50)</f>
        <v>0.91166776532630212</v>
      </c>
      <c r="T50" s="72"/>
      <c r="U50" s="22"/>
      <c r="V50" s="23">
        <f>IF(ISERROR(VLOOKUP($B50,[1]Hedef!$A$4:$ES$45409,115,0)),0,VLOOKUP($B50,[1]Hedef!$A$4:$ES$45409,115,0))</f>
        <v>3.2500000000000001E-2</v>
      </c>
      <c r="W50" s="23" t="str">
        <f>IF((U50-V50)&lt;0, "-", (U50-V50))</f>
        <v>-</v>
      </c>
      <c r="X50" s="80" t="e">
        <f t="shared" ref="X50:X56" si="87">TRUNC(IF((V50/U50)&gt;1.2,"120%",(V50/U50)),2)</f>
        <v>#DIV/0!</v>
      </c>
      <c r="Z50" s="44">
        <v>0.04</v>
      </c>
      <c r="AA50" s="11">
        <f>IF(ISERROR((V50-Z50)/Z50),0,(V50-Z50)/Z50)</f>
        <v>-0.1875</v>
      </c>
      <c r="AC50" s="22">
        <f t="shared" si="86"/>
        <v>0</v>
      </c>
      <c r="AD50" s="23">
        <f>IF(ISERROR(VLOOKUP($B50,[1]Hedef!$A$4:$ES$45409,117,0)),0,VLOOKUP($B50,[1]Hedef!$A$4:$ES$45409,117,0))</f>
        <v>6.2E-2</v>
      </c>
      <c r="AE50" s="23" t="str">
        <f>IF((AC50-AD50)&lt;0, "-", (AC50-AD50))</f>
        <v>-</v>
      </c>
      <c r="AF50" s="80" t="e">
        <f t="shared" si="82"/>
        <v>#DIV/0!</v>
      </c>
      <c r="AH50" s="44">
        <f t="shared" si="83"/>
        <v>0.126335</v>
      </c>
      <c r="AI50" s="11">
        <f>IF(ISERROR((AD50-AH50)/AH50),0,(AD50-AH50)/AH50)</f>
        <v>-0.50924130288518621</v>
      </c>
      <c r="AK50" s="12">
        <f>AC50-'GENEL HEDEF'!BI50</f>
        <v>-0.28999999999999998</v>
      </c>
      <c r="AL50" s="15">
        <f t="shared" si="85"/>
        <v>0</v>
      </c>
      <c r="AM50" s="13">
        <f>AK50*-1</f>
        <v>0.28999999999999998</v>
      </c>
    </row>
    <row r="51" spans="2:39" x14ac:dyDescent="0.15">
      <c r="B51" s="31">
        <v>111</v>
      </c>
      <c r="C51" s="1" t="s">
        <v>121</v>
      </c>
      <c r="E51" s="22"/>
      <c r="F51" s="23">
        <f>IF(ISERROR(VLOOKUP($B51,[1]Hedef!$A$4:$ES$45409,111,0)),0,VLOOKUP($B51,[1]Hedef!$A$4:$ES$45409,111,0))</f>
        <v>7.0665000000000006E-2</v>
      </c>
      <c r="G51" s="23" t="str">
        <f>IF((E51-F51)&lt;0, "-", (E51-F51))</f>
        <v>-</v>
      </c>
      <c r="H51" s="80" t="e">
        <f t="shared" si="73"/>
        <v>#DIV/0!</v>
      </c>
      <c r="J51" s="44">
        <v>0.24279500000000001</v>
      </c>
      <c r="K51" s="11">
        <f>IF(ISERROR((F51-J51)/J51),0,(F51-J51)/J51)</f>
        <v>-0.70895199654029117</v>
      </c>
      <c r="M51" s="22"/>
      <c r="N51" s="23">
        <f>IF(ISERROR(VLOOKUP($B51,[1]Hedef!$A$4:$ES$45409,113,0)),0,VLOOKUP($B51,[1]Hedef!$A$4:$ES$45409,113,0))</f>
        <v>1.295E-2</v>
      </c>
      <c r="O51" s="23" t="str">
        <f>IF((M51-N51)&lt;0, "-", (M51-N51))</f>
        <v>-</v>
      </c>
      <c r="P51" s="80" t="e">
        <f t="shared" si="76"/>
        <v>#DIV/0!</v>
      </c>
      <c r="R51" s="44">
        <v>0.27200999999999997</v>
      </c>
      <c r="S51" s="11">
        <f>IF(ISERROR((N51-R51)/R51),0,(N51-R51)/R51)</f>
        <v>-0.95239145619646326</v>
      </c>
      <c r="T51" s="72"/>
      <c r="U51" s="22"/>
      <c r="V51" s="23">
        <f>IF(ISERROR(VLOOKUP($B51,[1]Hedef!$A$4:$ES$45409,115,0)),0,VLOOKUP($B51,[1]Hedef!$A$4:$ES$45409,115,0))</f>
        <v>4.0674999999999996E-2</v>
      </c>
      <c r="W51" s="23" t="str">
        <f>IF((U51-V51)&lt;0, "-", (U51-V51))</f>
        <v>-</v>
      </c>
      <c r="X51" s="80" t="e">
        <f t="shared" si="87"/>
        <v>#DIV/0!</v>
      </c>
      <c r="Z51" s="44">
        <v>0.21962999999999999</v>
      </c>
      <c r="AA51" s="11">
        <f>IF(ISERROR((V51-Z51)/Z51),0,(V51-Z51)/Z51)</f>
        <v>-0.81480216728133681</v>
      </c>
      <c r="AC51" s="22">
        <f t="shared" ref="AC51:AC54" si="88">M51+E51+U51</f>
        <v>0</v>
      </c>
      <c r="AD51" s="23">
        <f>IF(ISERROR(VLOOKUP($B51,[1]Hedef!$A$4:$ES$45409,117,0)),0,VLOOKUP($B51,[1]Hedef!$A$4:$ES$45409,117,0))</f>
        <v>0.12429</v>
      </c>
      <c r="AE51" s="23" t="str">
        <f>IF((AC51-AD51)&lt;0, "-", (AC51-AD51))</f>
        <v>-</v>
      </c>
      <c r="AF51" s="80" t="e">
        <f t="shared" si="82"/>
        <v>#DIV/0!</v>
      </c>
      <c r="AH51" s="44">
        <f t="shared" si="83"/>
        <v>0.73443499999999995</v>
      </c>
      <c r="AI51" s="11">
        <f>IF(ISERROR((AD51-AH51)/AH51),0,(AD51-AH51)/AH51)</f>
        <v>-0.830767869178348</v>
      </c>
      <c r="AK51" s="12">
        <f>AC51-'GENEL HEDEF'!BI51</f>
        <v>-1.35</v>
      </c>
      <c r="AL51" s="15">
        <f>AD51-V51-N51-F51</f>
        <v>0</v>
      </c>
      <c r="AM51" s="13">
        <f>AK51*-1</f>
        <v>1.35</v>
      </c>
    </row>
    <row r="52" spans="2:39" x14ac:dyDescent="0.15">
      <c r="B52" s="31">
        <v>135</v>
      </c>
      <c r="C52" s="1" t="s">
        <v>120</v>
      </c>
      <c r="E52" s="22"/>
      <c r="F52" s="23">
        <f>IF(ISERROR(VLOOKUP($B52,[1]Hedef!$A$4:$ES$45409,111,0)),0,VLOOKUP($B52,[1]Hedef!$A$4:$ES$45409,111,0))</f>
        <v>1.201E-2</v>
      </c>
      <c r="G52" s="23" t="str">
        <f t="shared" si="72"/>
        <v>-</v>
      </c>
      <c r="H52" s="80" t="e">
        <f t="shared" si="73"/>
        <v>#DIV/0!</v>
      </c>
      <c r="J52" s="44">
        <v>0.47267900000000002</v>
      </c>
      <c r="K52" s="11">
        <f t="shared" si="74"/>
        <v>-0.97459163618438727</v>
      </c>
      <c r="M52" s="22"/>
      <c r="N52" s="23">
        <f>IF(ISERROR(VLOOKUP($B52,[1]Hedef!$A$4:$ES$45409,113,0)),0,VLOOKUP($B52,[1]Hedef!$A$4:$ES$45409,113,0))</f>
        <v>5.1061999999999996E-2</v>
      </c>
      <c r="O52" s="23" t="str">
        <f t="shared" si="75"/>
        <v>-</v>
      </c>
      <c r="P52" s="80" t="e">
        <f t="shared" si="76"/>
        <v>#DIV/0!</v>
      </c>
      <c r="R52" s="44">
        <v>0.77980300000000013</v>
      </c>
      <c r="S52" s="11">
        <f t="shared" si="77"/>
        <v>-0.93451935937666297</v>
      </c>
      <c r="T52" s="72"/>
      <c r="U52" s="22"/>
      <c r="V52" s="23">
        <f>IF(ISERROR(VLOOKUP($B52,[1]Hedef!$A$4:$ES$45409,115,0)),0,VLOOKUP($B52,[1]Hedef!$A$4:$ES$45409,115,0))</f>
        <v>4.501200000000001E-2</v>
      </c>
      <c r="W52" s="23" t="str">
        <f t="shared" si="78"/>
        <v>-</v>
      </c>
      <c r="X52" s="80" t="e">
        <f t="shared" si="87"/>
        <v>#DIV/0!</v>
      </c>
      <c r="Z52" s="44">
        <v>0.37957399999999991</v>
      </c>
      <c r="AA52" s="11">
        <f t="shared" si="80"/>
        <v>-0.8814144277532181</v>
      </c>
      <c r="AC52" s="22">
        <f t="shared" si="88"/>
        <v>0</v>
      </c>
      <c r="AD52" s="23">
        <f>IF(ISERROR(VLOOKUP($B52,[1]Hedef!$A$4:$ES$45409,117,0)),0,VLOOKUP($B52,[1]Hedef!$A$4:$ES$45409,117,0))</f>
        <v>0.108084</v>
      </c>
      <c r="AE52" s="23" t="str">
        <f t="shared" si="81"/>
        <v>-</v>
      </c>
      <c r="AF52" s="80" t="e">
        <f t="shared" si="82"/>
        <v>#DIV/0!</v>
      </c>
      <c r="AH52" s="44">
        <f t="shared" si="83"/>
        <v>1.6320560000000002</v>
      </c>
      <c r="AI52" s="11">
        <f t="shared" si="84"/>
        <v>-0.93377433127294651</v>
      </c>
      <c r="AK52" s="12">
        <f>AC52-'GENEL HEDEF'!BI52</f>
        <v>-1.72</v>
      </c>
      <c r="AL52" s="15">
        <f t="shared" si="85"/>
        <v>0</v>
      </c>
      <c r="AM52" s="13">
        <f t="shared" si="11"/>
        <v>1.72</v>
      </c>
    </row>
    <row r="53" spans="2:39" x14ac:dyDescent="0.15">
      <c r="B53" s="31">
        <v>222</v>
      </c>
      <c r="C53" s="1" t="s">
        <v>174</v>
      </c>
      <c r="E53" s="22"/>
      <c r="F53" s="23">
        <f>IF(ISERROR(VLOOKUP($B53,[1]Hedef!$A$4:$ES$45409,111,0)),0,VLOOKUP($B53,[1]Hedef!$A$4:$ES$45409,111,0))</f>
        <v>2.7000000000000001E-3</v>
      </c>
      <c r="G53" s="23" t="str">
        <f>IF((E53-F53)&lt;0, "-", (E53-F53))</f>
        <v>-</v>
      </c>
      <c r="H53" s="80" t="e">
        <f t="shared" ref="H53" si="89">TRUNC(IF((F53/E53)&gt;1.2,"120%",(F53/E53)),2)</f>
        <v>#DIV/0!</v>
      </c>
      <c r="J53" s="44"/>
      <c r="K53" s="11">
        <f t="shared" ref="K53" si="90">IF(ISERROR((F53-J53)/J53),0,(F53-J53)/J53)</f>
        <v>0</v>
      </c>
      <c r="M53" s="22"/>
      <c r="N53" s="23">
        <f>IF(ISERROR(VLOOKUP($B53,[1]Hedef!$A$4:$ES$45409,113,0)),0,VLOOKUP($B53,[1]Hedef!$A$4:$ES$45409,113,0))</f>
        <v>1.5E-3</v>
      </c>
      <c r="O53" s="23" t="str">
        <f>IF((M53-N53)&lt;0, "-", (M53-N53))</f>
        <v>-</v>
      </c>
      <c r="P53" s="80" t="e">
        <f t="shared" ref="P53" si="91">TRUNC(IF((N53/M53)&gt;1.2,"120%",(N53/M53)),2)</f>
        <v>#DIV/0!</v>
      </c>
      <c r="R53" s="44"/>
      <c r="S53" s="11">
        <f>IF(ISERROR((N53-R53)/R53),0,(N53-R53)/R53)</f>
        <v>0</v>
      </c>
      <c r="T53" s="75"/>
      <c r="U53" s="22"/>
      <c r="V53" s="23">
        <f>IF(ISERROR(VLOOKUP($B53,[1]Hedef!$A$4:$ES$45409,115,0)),0,VLOOKUP($B53,[1]Hedef!$A$4:$ES$45409,115,0))</f>
        <v>1.1519999999999999E-2</v>
      </c>
      <c r="W53" s="23" t="str">
        <f>IF((U53-V53)&lt;0, "-", (U53-V53))</f>
        <v>-</v>
      </c>
      <c r="X53" s="80" t="e">
        <f t="shared" ref="X53" si="92">TRUNC(IF((V53/U53)&gt;1.2,"120%",(V53/U53)),2)</f>
        <v>#DIV/0!</v>
      </c>
      <c r="Z53" s="44"/>
      <c r="AA53" s="11">
        <f t="shared" ref="AA53" si="93">IF(ISERROR((V53-Z53)/Z53),0,(V53-Z53)/Z53)</f>
        <v>0</v>
      </c>
      <c r="AC53" s="22">
        <f t="shared" ref="AC53" si="94">M53+E53+U53</f>
        <v>0</v>
      </c>
      <c r="AD53" s="23">
        <f>IF(ISERROR(VLOOKUP($B53,[1]Hedef!$A$4:$ES$45409,117,0)),0,VLOOKUP($B53,[1]Hedef!$A$4:$ES$45409,117,0))</f>
        <v>1.5719999999999998E-2</v>
      </c>
      <c r="AE53" s="23" t="str">
        <f>IF((AC53-AD53)&lt;0, "-", (AC53-AD53))</f>
        <v>-</v>
      </c>
      <c r="AF53" s="80" t="e">
        <f t="shared" ref="AF53" si="95">TRUNC(IF((AD53/AC53)&gt;1.2,"120%",(AD53/AC53)),2)</f>
        <v>#DIV/0!</v>
      </c>
      <c r="AH53" s="44">
        <f t="shared" ref="AH53" si="96">+Z53+R53+J53</f>
        <v>0</v>
      </c>
      <c r="AI53" s="11">
        <f t="shared" ref="AI53" si="97">IF(ISERROR((AD53-AH53)/AH53),0,(AD53-AH53)/AH53)</f>
        <v>0</v>
      </c>
      <c r="AK53" s="12">
        <f>AC53-'GENEL HEDEF'!BI53</f>
        <v>-1</v>
      </c>
      <c r="AL53" s="15">
        <f t="shared" ref="AL53" si="98">AD53-V53-N53-F53</f>
        <v>0</v>
      </c>
      <c r="AM53" s="13">
        <f>AK53*-1</f>
        <v>1</v>
      </c>
    </row>
    <row r="54" spans="2:39" x14ac:dyDescent="0.15">
      <c r="B54" s="31">
        <v>28</v>
      </c>
      <c r="C54" s="1" t="s">
        <v>29</v>
      </c>
      <c r="E54" s="22"/>
      <c r="F54" s="23">
        <f>IF(ISERROR(VLOOKUP($B54,[1]Hedef!$A$4:$ES$45409,111,0)),0,VLOOKUP($B54,[1]Hedef!$A$4:$ES$45409,111,0))</f>
        <v>0</v>
      </c>
      <c r="G54" s="23">
        <f>IF((E54-F54)&lt;0, "-", (E54-F54))</f>
        <v>0</v>
      </c>
      <c r="H54" s="80" t="e">
        <f t="shared" si="73"/>
        <v>#DIV/0!</v>
      </c>
      <c r="J54" s="44">
        <v>0.23456000000000002</v>
      </c>
      <c r="K54" s="11">
        <f t="shared" si="74"/>
        <v>-1</v>
      </c>
      <c r="M54" s="22"/>
      <c r="N54" s="23">
        <f>IF(ISERROR(VLOOKUP($B54,[1]Hedef!$A$4:$ES$45409,113,0)),0,VLOOKUP($B54,[1]Hedef!$A$4:$ES$45409,113,0))</f>
        <v>0</v>
      </c>
      <c r="O54" s="23">
        <f>IF((M54-N54)&lt;0, "-", (M54-N54))</f>
        <v>0</v>
      </c>
      <c r="P54" s="80" t="e">
        <f t="shared" si="76"/>
        <v>#DIV/0!</v>
      </c>
      <c r="R54" s="44">
        <v>0.10856</v>
      </c>
      <c r="S54" s="11">
        <f>IF(ISERROR((N54-R54)/R54),0,(N54-R54)/R54)</f>
        <v>-1</v>
      </c>
      <c r="T54" s="75"/>
      <c r="U54" s="22"/>
      <c r="V54" s="23">
        <f>IF(ISERROR(VLOOKUP($B54,[1]Hedef!$A$4:$ES$45409,115,0)),0,VLOOKUP($B54,[1]Hedef!$A$4:$ES$45409,115,0))</f>
        <v>0</v>
      </c>
      <c r="W54" s="23">
        <f>IF((U54-V54)&lt;0, "-", (U54-V54))</f>
        <v>0</v>
      </c>
      <c r="X54" s="80" t="e">
        <f t="shared" si="87"/>
        <v>#DIV/0!</v>
      </c>
      <c r="Z54" s="44">
        <v>7.1959999999999996E-2</v>
      </c>
      <c r="AA54" s="11">
        <f t="shared" si="80"/>
        <v>-1</v>
      </c>
      <c r="AC54" s="22">
        <f t="shared" si="88"/>
        <v>0</v>
      </c>
      <c r="AD54" s="23">
        <f>IF(ISERROR(VLOOKUP($B54,[1]Hedef!$A$4:$ES$45409,117,0)),0,VLOOKUP($B54,[1]Hedef!$A$4:$ES$45409,117,0))</f>
        <v>0</v>
      </c>
      <c r="AE54" s="23">
        <f>IF((AC54-AD54)&lt;0, "-", (AC54-AD54))</f>
        <v>0</v>
      </c>
      <c r="AF54" s="80" t="e">
        <f t="shared" si="82"/>
        <v>#DIV/0!</v>
      </c>
      <c r="AH54" s="44">
        <f t="shared" si="83"/>
        <v>0.41508</v>
      </c>
      <c r="AI54" s="11">
        <f t="shared" si="84"/>
        <v>-1</v>
      </c>
      <c r="AK54" s="12">
        <f>AC54-'GENEL HEDEF'!BI54</f>
        <v>-0.6</v>
      </c>
      <c r="AL54" s="15">
        <f t="shared" si="85"/>
        <v>0</v>
      </c>
      <c r="AM54" s="13">
        <f>AK54*-1</f>
        <v>0.6</v>
      </c>
    </row>
    <row r="55" spans="2:39" x14ac:dyDescent="0.15">
      <c r="B55" s="18">
        <v>32</v>
      </c>
      <c r="C55" s="1" t="s">
        <v>30</v>
      </c>
      <c r="E55" s="22"/>
      <c r="F55" s="23">
        <f>IF(ISERROR(VLOOKUP($B55,[1]Hedef!$A$4:$ES$45409,111,0)),0,VLOOKUP($B55,[1]Hedef!$A$4:$ES$45409,111,0))</f>
        <v>2.8420000000000001E-2</v>
      </c>
      <c r="G55" s="23" t="str">
        <f t="shared" si="72"/>
        <v>-</v>
      </c>
      <c r="H55" s="80" t="e">
        <f t="shared" si="73"/>
        <v>#DIV/0!</v>
      </c>
      <c r="J55" s="44">
        <v>0.11718000000000001</v>
      </c>
      <c r="K55" s="11">
        <f t="shared" si="74"/>
        <v>-0.75746714456391873</v>
      </c>
      <c r="M55" s="22"/>
      <c r="N55" s="23">
        <f>IF(ISERROR(VLOOKUP($B55,[1]Hedef!$A$4:$ES$45409,113,0)),0,VLOOKUP($B55,[1]Hedef!$A$4:$ES$45409,113,0))</f>
        <v>4.444E-2</v>
      </c>
      <c r="O55" s="23" t="str">
        <f t="shared" si="75"/>
        <v>-</v>
      </c>
      <c r="P55" s="80" t="e">
        <f t="shared" si="76"/>
        <v>#DIV/0!</v>
      </c>
      <c r="R55" s="44">
        <v>0.47665000000000002</v>
      </c>
      <c r="S55" s="11">
        <f t="shared" si="77"/>
        <v>-0.90676597083814126</v>
      </c>
      <c r="T55" s="72"/>
      <c r="U55" s="22"/>
      <c r="V55" s="23">
        <f>IF(ISERROR(VLOOKUP($B55,[1]Hedef!$A$4:$ES$45409,115,0)),0,VLOOKUP($B55,[1]Hedef!$A$4:$ES$45409,115,0))</f>
        <v>7.4999999999999997E-3</v>
      </c>
      <c r="W55" s="23" t="str">
        <f t="shared" si="78"/>
        <v>-</v>
      </c>
      <c r="X55" s="80" t="e">
        <f t="shared" si="87"/>
        <v>#DIV/0!</v>
      </c>
      <c r="Z55" s="44">
        <v>6.2069999999999993E-2</v>
      </c>
      <c r="AA55" s="11">
        <f t="shared" si="80"/>
        <v>-0.87916868052199126</v>
      </c>
      <c r="AC55" s="22">
        <f>M55+E55+U55</f>
        <v>0</v>
      </c>
      <c r="AD55" s="23">
        <f>IF(ISERROR(VLOOKUP($B55,[1]Hedef!$A$4:$ES$45409,117,0)),0,VLOOKUP($B55,[1]Hedef!$A$4:$ES$45409,117,0))</f>
        <v>8.0359999999999987E-2</v>
      </c>
      <c r="AE55" s="23" t="str">
        <f t="shared" si="81"/>
        <v>-</v>
      </c>
      <c r="AF55" s="80" t="e">
        <f t="shared" si="82"/>
        <v>#DIV/0!</v>
      </c>
      <c r="AH55" s="44">
        <f t="shared" si="83"/>
        <v>0.65589999999999993</v>
      </c>
      <c r="AI55" s="11">
        <f>IF(ISERROR((AD55-AH55)/AH55),0,(AD55-AH55)/AH55)</f>
        <v>-0.87748132337246532</v>
      </c>
      <c r="AK55" s="12">
        <f>AC55-'GENEL HEDEF'!BI55</f>
        <v>-0.69</v>
      </c>
      <c r="AL55" s="15">
        <f t="shared" si="85"/>
        <v>0</v>
      </c>
      <c r="AM55" s="13">
        <f t="shared" si="11"/>
        <v>0.69</v>
      </c>
    </row>
    <row r="56" spans="2:39" ht="13" thickBot="1" x14ac:dyDescent="0.2">
      <c r="B56" s="18">
        <v>42</v>
      </c>
      <c r="C56" s="1" t="s">
        <v>31</v>
      </c>
      <c r="E56" s="22"/>
      <c r="F56" s="23">
        <f>IF(ISERROR(VLOOKUP($B56,[1]Hedef!$A$4:$ES$45409,111,0)),0,VLOOKUP($B56,[1]Hedef!$A$4:$ES$45409,111,0))</f>
        <v>4</v>
      </c>
      <c r="G56" s="23" t="str">
        <f t="shared" si="72"/>
        <v>-</v>
      </c>
      <c r="H56" s="80" t="e">
        <f t="shared" si="73"/>
        <v>#DIV/0!</v>
      </c>
      <c r="J56" s="44">
        <v>10</v>
      </c>
      <c r="K56" s="11">
        <f t="shared" si="74"/>
        <v>-0.6</v>
      </c>
      <c r="M56" s="22"/>
      <c r="N56" s="23">
        <f>IF(ISERROR(VLOOKUP($B56,[1]Hedef!$A$4:$ES$45409,113,0)),0,VLOOKUP($B56,[1]Hedef!$A$4:$ES$45409,113,0))</f>
        <v>0</v>
      </c>
      <c r="O56" s="23">
        <f t="shared" si="75"/>
        <v>0</v>
      </c>
      <c r="P56" s="80" t="e">
        <f t="shared" si="76"/>
        <v>#DIV/0!</v>
      </c>
      <c r="R56" s="44">
        <v>10</v>
      </c>
      <c r="S56" s="11">
        <f t="shared" si="77"/>
        <v>-1</v>
      </c>
      <c r="T56" s="72"/>
      <c r="U56" s="22"/>
      <c r="V56" s="23">
        <f>IF(ISERROR(VLOOKUP($B56,[1]Hedef!$A$4:$ES$45409,115,0)),0,VLOOKUP($B56,[1]Hedef!$A$4:$ES$45409,115,0))</f>
        <v>0</v>
      </c>
      <c r="W56" s="23">
        <f t="shared" si="78"/>
        <v>0</v>
      </c>
      <c r="X56" s="80" t="e">
        <f t="shared" si="87"/>
        <v>#DIV/0!</v>
      </c>
      <c r="Z56" s="44">
        <v>1</v>
      </c>
      <c r="AA56" s="11">
        <f t="shared" si="80"/>
        <v>-1</v>
      </c>
      <c r="AC56" s="22">
        <f>M56+E56+U56</f>
        <v>0</v>
      </c>
      <c r="AD56" s="23">
        <f>IF(ISERROR(VLOOKUP($B56,[1]Hedef!$A$4:$ES$45409,117,0)),0,VLOOKUP($B56,[1]Hedef!$A$4:$ES$45409,117,0))</f>
        <v>4</v>
      </c>
      <c r="AE56" s="23" t="str">
        <f t="shared" si="81"/>
        <v>-</v>
      </c>
      <c r="AF56" s="80" t="e">
        <f t="shared" si="82"/>
        <v>#DIV/0!</v>
      </c>
      <c r="AH56" s="44">
        <f t="shared" si="83"/>
        <v>21</v>
      </c>
      <c r="AI56" s="11">
        <f>IF(ISERROR((AD56-AH56)/AH56),0,(AD56-AH56)/AH56)</f>
        <v>-0.80952380952380953</v>
      </c>
      <c r="AK56" s="12">
        <f>AC56-'GENEL HEDEF'!BI56</f>
        <v>-18</v>
      </c>
      <c r="AL56" s="15">
        <f t="shared" si="85"/>
        <v>0</v>
      </c>
      <c r="AM56" s="13">
        <f t="shared" si="11"/>
        <v>18</v>
      </c>
    </row>
    <row r="57" spans="2:39" ht="14" thickTop="1" thickBot="1" x14ac:dyDescent="0.2">
      <c r="B57" s="18"/>
      <c r="C57" s="2" t="s">
        <v>32</v>
      </c>
      <c r="E57" s="67">
        <f>SUM(E46:E56)</f>
        <v>0</v>
      </c>
      <c r="F57" s="67">
        <f>SUM(F46:F56)</f>
        <v>4.2180150000000003</v>
      </c>
      <c r="G57" s="67">
        <f>SUM(G46:G56)</f>
        <v>0</v>
      </c>
      <c r="H57" s="39" t="e">
        <f>TRUNC(IF((F57/E57)&gt;1.2,"120%",(F57/E57)),2)</f>
        <v>#DIV/0!</v>
      </c>
      <c r="I57" s="109"/>
      <c r="J57" s="67"/>
      <c r="K57" s="48"/>
      <c r="L57" s="109"/>
      <c r="M57" s="67">
        <f>SUM(M46:M56)</f>
        <v>0</v>
      </c>
      <c r="N57" s="67">
        <f>SUM(N46:N56)</f>
        <v>0.16533200000000001</v>
      </c>
      <c r="O57" s="67">
        <f>SUM(O46:O56)</f>
        <v>0</v>
      </c>
      <c r="P57" s="39" t="e">
        <f>TRUNC(IF((N57/M57)&gt;1.2,"120%",(N57/M57)),2)</f>
        <v>#DIV/0!</v>
      </c>
      <c r="Q57" s="109"/>
      <c r="R57" s="67"/>
      <c r="S57" s="48"/>
      <c r="T57" s="74"/>
      <c r="U57" s="67">
        <f>SUM(U46:U56)</f>
        <v>0</v>
      </c>
      <c r="V57" s="67">
        <f>SUM(V46:V56)</f>
        <v>0.16256700000000002</v>
      </c>
      <c r="W57" s="67">
        <f>SUM(W46:W56)</f>
        <v>0</v>
      </c>
      <c r="X57" s="39" t="e">
        <f>TRUNC(IF((V57/U57)&gt;1.2,"120%",(V57/U57)),2)</f>
        <v>#DIV/0!</v>
      </c>
      <c r="Y57" s="109"/>
      <c r="Z57" s="67"/>
      <c r="AA57" s="48"/>
      <c r="AB57" s="109"/>
      <c r="AC57" s="67">
        <f>SUM(AC46:AC56)</f>
        <v>0</v>
      </c>
      <c r="AD57" s="67">
        <f>SUM(AD46:AD56)</f>
        <v>4.5484140000000002</v>
      </c>
      <c r="AE57" s="67">
        <f>SUM(AE46:AE56)</f>
        <v>0</v>
      </c>
      <c r="AF57" s="39" t="e">
        <f>TRUNC(IF((AD57/AC57)&gt;1.2,"120%",(AD57/AC57)),2)</f>
        <v>#DIV/0!</v>
      </c>
      <c r="AH57" s="67"/>
      <c r="AI57" s="48"/>
      <c r="AK57" s="8"/>
      <c r="AL57" s="9"/>
    </row>
    <row r="58" spans="2:39" ht="13" thickTop="1" x14ac:dyDescent="0.15">
      <c r="AK58" s="4"/>
    </row>
    <row r="59" spans="2:39" x14ac:dyDescent="0.15">
      <c r="H59" s="37" t="e">
        <f>TRUNC((H56+H55+H46+H44+H41+H40+H38+H37+H36+H35+H34+H33+H32+H31+H11+H29+H28+H27+H26+H25+H23+H22+H19+H18+H16+H15+H14+H12+H10+H9+H8+H7+H6+H5+H48+H24+H52+H42+H54+H43+H50+H47+H51+H49+H53)/43,2)</f>
        <v>#DIV/0!</v>
      </c>
      <c r="J59" s="69" t="s">
        <v>41</v>
      </c>
      <c r="K59" s="52">
        <f>COUNTIF(K5:K56,"&gt;10%")</f>
        <v>1</v>
      </c>
      <c r="P59" s="37" t="e">
        <f>TRUNC((P56+P55+P46+P44+P41+P40+P38+P37+P36+P35+P34+P33+P32+P31+P11+P29+P28+P27+P26+P25+P23+P22+P19+P18+P16+P15+P14+P12+P10+P9+P8+P7+P6+P5+P48+P24+P52+P42+P54+P43+P50+P47+P51+P49+P53)/44,2)</f>
        <v>#DIV/0!</v>
      </c>
      <c r="R59" s="69" t="s">
        <v>41</v>
      </c>
      <c r="S59" s="52">
        <f>COUNTIF(S5:S56,"&gt;10%")</f>
        <v>1</v>
      </c>
      <c r="T59" s="52"/>
      <c r="X59" s="37" t="e">
        <f>TRUNC((X56+X55+X46+X44+X41+X40+X38+X37+X36+X35+X34+X33+X32+X31+X11+X29+X28+X27+X26+X25+X23+X22+X19+X18+X16+X15+X14+X12+X10+X9+X8+X7+X6+X5+X48+X24+X52+X42+X54+X43+X50+X47+X51+X49+X53)/43,2)</f>
        <v>#DIV/0!</v>
      </c>
      <c r="Z59" s="69" t="s">
        <v>41</v>
      </c>
      <c r="AA59" s="52">
        <f>COUNTIF(AA5:AA56,"&gt;10%")</f>
        <v>0</v>
      </c>
      <c r="AF59" s="37" t="e">
        <f>TRUNC((AF56+AF55+AF46+AF44+AF41+AF40+AF38+AF37+AF36+AF35+AF34+AF33+AF32+AF31+AF11+AF29+AF28+AF27+AF26+AF25+AF23+AF22+AF19+AF18+AF16+AF15+AF14+AF12+AF10+AF9+AF8+AF7+AF6+AF5+AF48+AF24+AF52+AF42+AF54+AF43+AF50+AF47+AF51+AF49+AF53)/44,2)</f>
        <v>#DIV/0!</v>
      </c>
      <c r="AH59" s="69" t="s">
        <v>41</v>
      </c>
      <c r="AI59" s="52">
        <f>COUNTIF(AI5:AI56,"&gt;10%")</f>
        <v>0</v>
      </c>
    </row>
    <row r="60" spans="2:39" x14ac:dyDescent="0.15">
      <c r="J60" s="54"/>
      <c r="K60" s="53"/>
      <c r="R60" s="54"/>
      <c r="S60" s="53"/>
      <c r="T60" s="53"/>
      <c r="Z60" s="54"/>
      <c r="AA60" s="53"/>
      <c r="AI60" s="53"/>
    </row>
    <row r="61" spans="2:39" ht="13" thickBot="1" x14ac:dyDescent="0.2">
      <c r="B61" s="18"/>
    </row>
    <row r="62" spans="2:39" ht="14" thickTop="1" thickBot="1" x14ac:dyDescent="0.2">
      <c r="B62" s="18" t="s">
        <v>40</v>
      </c>
      <c r="C62" s="2" t="s">
        <v>39</v>
      </c>
      <c r="E62" s="36"/>
      <c r="F62" s="36">
        <f>IF(ISERROR(VLOOKUP($B62,[1]Hedef!$A$4:$ES$45409,112,0)),0,VLOOKUP($B62,[1]Hedef!$A$4:$ES$45409,112,0))</f>
        <v>16080.38</v>
      </c>
      <c r="G62" s="36" t="str">
        <f>IF((E62-F62)&lt;0, "-", (E62-F62))</f>
        <v>-</v>
      </c>
      <c r="H62" s="34" t="e">
        <f>IF((F62/E62)&gt;1,"100.0%",(F62/E62))</f>
        <v>#DIV/0!</v>
      </c>
      <c r="M62" s="36"/>
      <c r="N62" s="36">
        <f>IF(ISERROR(VLOOKUP($B62,[1]Hedef!$A$4:$ES$45409,114,0)),0,VLOOKUP($B62,[1]Hedef!$A$4:$ES$45409,114,0))</f>
        <v>14122.54</v>
      </c>
      <c r="O62" s="36" t="str">
        <f>IF((M62-N62)&lt;0, "-", (M62-N62))</f>
        <v>-</v>
      </c>
      <c r="P62" s="34" t="e">
        <f>IF((N62/M62)&gt;1,"100.0%",(N62/M62))</f>
        <v>#DIV/0!</v>
      </c>
      <c r="U62" s="36"/>
      <c r="V62" s="36">
        <f>IF(ISERROR(VLOOKUP($B62,[1]Hedef!$A$4:$ES$45409,116,0)),0,VLOOKUP($B62,[1]Hedef!$A$4:$ES$45409,116,0))</f>
        <v>13940.84</v>
      </c>
      <c r="W62" s="36" t="str">
        <f>IF((U62-V62)&lt;0, "-", (U62-V62))</f>
        <v>-</v>
      </c>
      <c r="X62" s="34" t="e">
        <f>IF((V62/U62)&gt;1,"100.0%",(V62/U62))</f>
        <v>#DIV/0!</v>
      </c>
      <c r="AC62" s="36">
        <f>M62+E62+U62</f>
        <v>0</v>
      </c>
      <c r="AD62" s="36">
        <f>IF(ISERROR(VLOOKUP($B62,[1]Hedef!$A$4:$ES$45409,118,0)),0,VLOOKUP($B62,[1]Hedef!$A$4:$ES$45409,118,0))</f>
        <v>44530.41</v>
      </c>
      <c r="AE62" s="36" t="str">
        <f>IF((AC62-AD62)&lt;0, "-", (AC62-AD62))</f>
        <v>-</v>
      </c>
      <c r="AF62" s="34" t="e">
        <f>IF((AD62/AC62)&gt;1,"100.0%",(AD62/AC62))</f>
        <v>#DIV/0!</v>
      </c>
      <c r="AJ62" s="13"/>
      <c r="AK62" s="4"/>
      <c r="AL62" s="13"/>
    </row>
    <row r="63" spans="2:39" ht="14" thickTop="1" thickBot="1" x14ac:dyDescent="0.2">
      <c r="AJ63" s="13"/>
      <c r="AK63" s="4"/>
      <c r="AL63" s="13"/>
    </row>
    <row r="64" spans="2:39" ht="14" thickTop="1" thickBot="1" x14ac:dyDescent="0.2">
      <c r="B64" s="55" t="s">
        <v>42</v>
      </c>
      <c r="C64" s="2" t="s">
        <v>43</v>
      </c>
      <c r="F64" s="36">
        <f>IF(ISERROR(VLOOKUP($B64,[1]Hedef!$A$4:$ES$45409,112,0)),0,VLOOKUP($B64,[1]Hedef!$A$4:$ES$45409,112,0))</f>
        <v>73.14</v>
      </c>
      <c r="G64" s="56">
        <f>F64/F62</f>
        <v>4.5483999756224672E-3</v>
      </c>
      <c r="H64" s="25"/>
      <c r="N64" s="36">
        <f>IF(ISERROR(VLOOKUP($B64,[1]Hedef!$A$4:$ES$45409,114,0)),0,VLOOKUP($B64,[1]Hedef!$A$4:$ES$45409,114,0))</f>
        <v>74.069999999999993</v>
      </c>
      <c r="O64" s="56">
        <f>N64/N62</f>
        <v>5.2448072372250311E-3</v>
      </c>
      <c r="P64" s="25"/>
      <c r="V64" s="36">
        <f>IF(ISERROR(VLOOKUP($B64,[1]Hedef!$A$4:$ES$45409,116,0)),0,VLOOKUP($B64,[1]Hedef!$A$4:$ES$45409,116,0))</f>
        <v>60.15</v>
      </c>
      <c r="W64" s="56">
        <f>V64/V62</f>
        <v>4.3146610964619062E-3</v>
      </c>
      <c r="X64" s="25"/>
      <c r="AD64" s="36">
        <f>IF(ISERROR(VLOOKUP($B64,[1]Hedef!$A$4:$ES$45409,118,0)),0,VLOOKUP($B64,[1]Hedef!$A$4:$ES$45409,118,0))</f>
        <v>207.36</v>
      </c>
      <c r="AE64" s="56">
        <f>AD64/AD62</f>
        <v>4.6565931012088144E-3</v>
      </c>
      <c r="AF64" s="25"/>
      <c r="AJ64" s="13"/>
      <c r="AK64" s="4"/>
      <c r="AL64" s="13"/>
    </row>
    <row r="65" spans="3:3" ht="13" thickTop="1" x14ac:dyDescent="0.15"/>
    <row r="68" spans="3:3" x14ac:dyDescent="0.15">
      <c r="C68" s="150"/>
    </row>
    <row r="69" spans="3:3" x14ac:dyDescent="0.15">
      <c r="C69" s="150"/>
    </row>
    <row r="70" spans="3:3" x14ac:dyDescent="0.15">
      <c r="C70" s="150"/>
    </row>
  </sheetData>
  <autoFilter ref="A4:AO57" xr:uid="{00000000-0009-0000-0000-000006000000}">
    <filterColumn colId="36" showButton="0"/>
  </autoFilter>
  <mergeCells count="6">
    <mergeCell ref="C2:C4"/>
    <mergeCell ref="E2:H3"/>
    <mergeCell ref="AK4:AL4"/>
    <mergeCell ref="M2:P3"/>
    <mergeCell ref="AC2:AF3"/>
    <mergeCell ref="U2:X3"/>
  </mergeCells>
  <conditionalFormatting sqref="H5:H12 P5:P12 X5:X12 AF5:AF12 H14:H16 P14:P16 X14:X16 AF14:AF16 H18:H19 P18:P19 X18:X19 AF18:AF19 H22:H29 P22:P29 X22:X29 AF22:AF29 H31:H38 P31:P38 X31:X38 AF31:AF38 H40:H44 P40:P44 X40:X44 AF40:AF44 H46:H56 P46:P56 X46:X56">
    <cfRule type="cellIs" dxfId="33" priority="54" operator="greaterThanOrEqual">
      <formula>1.2</formula>
    </cfRule>
    <cfRule type="cellIs" dxfId="32" priority="55" operator="greaterThanOrEqual">
      <formula>120</formula>
    </cfRule>
  </conditionalFormatting>
  <conditionalFormatting sqref="AF46:AF56">
    <cfRule type="cellIs" dxfId="31" priority="15" operator="greaterThanOrEqual">
      <formula>1.2</formula>
    </cfRule>
    <cfRule type="cellIs" dxfId="30" priority="16" operator="greaterThanOrEqual">
      <formula>120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BA70"/>
  <sheetViews>
    <sheetView zoomScaleNormal="100" workbookViewId="0">
      <pane xSplit="3" ySplit="4" topLeftCell="D37" activePane="bottomRight" state="frozen"/>
      <selection activeCell="C53" sqref="C53"/>
      <selection pane="topRight" activeCell="C53" sqref="C53"/>
      <selection pane="bottomLeft" activeCell="C53" sqref="C53"/>
      <selection pane="bottomRight" activeCell="H59" sqref="H59"/>
    </sheetView>
  </sheetViews>
  <sheetFormatPr baseColWidth="10" defaultColWidth="9.1640625" defaultRowHeight="12" x14ac:dyDescent="0.15"/>
  <cols>
    <col min="1" max="1" width="1.33203125" style="4" customWidth="1"/>
    <col min="2" max="2" width="3.33203125" style="19" customWidth="1"/>
    <col min="3" max="3" width="37.5" style="4" customWidth="1"/>
    <col min="4" max="4" width="1.1640625" style="4" customWidth="1"/>
    <col min="5" max="5" width="10.1640625" style="13" customWidth="1"/>
    <col min="6" max="8" width="9.83203125" style="4" customWidth="1"/>
    <col min="9" max="9" width="1.1640625" style="4" customWidth="1"/>
    <col min="10" max="10" width="9.33203125" style="13" customWidth="1"/>
    <col min="11" max="11" width="5.83203125" style="4" customWidth="1"/>
    <col min="12" max="12" width="1.1640625" style="4" customWidth="1"/>
    <col min="13" max="13" width="10.1640625" style="13" customWidth="1"/>
    <col min="14" max="16" width="9.83203125" style="4" customWidth="1"/>
    <col min="17" max="17" width="1.1640625" style="4" customWidth="1"/>
    <col min="18" max="18" width="9.33203125" style="13" customWidth="1"/>
    <col min="19" max="19" width="5.1640625" style="4" customWidth="1"/>
    <col min="20" max="20" width="1.1640625" style="4" customWidth="1"/>
    <col min="21" max="21" width="9.83203125" style="13" customWidth="1"/>
    <col min="22" max="24" width="9.83203125" style="4" customWidth="1"/>
    <col min="25" max="25" width="1.1640625" style="4" customWidth="1"/>
    <col min="26" max="26" width="9.33203125" style="13" customWidth="1"/>
    <col min="27" max="27" width="5.1640625" style="4" customWidth="1"/>
    <col min="28" max="28" width="1.1640625" style="4" customWidth="1"/>
    <col min="29" max="29" width="9.83203125" style="13" customWidth="1"/>
    <col min="30" max="32" width="9.83203125" style="4" customWidth="1"/>
    <col min="33" max="33" width="1.1640625" style="4" customWidth="1"/>
    <col min="34" max="34" width="9.33203125" style="13" customWidth="1"/>
    <col min="35" max="35" width="5.1640625" style="4" customWidth="1"/>
    <col min="36" max="36" width="1.1640625" style="4" customWidth="1"/>
    <col min="37" max="37" width="10.1640625" style="13" customWidth="1"/>
    <col min="38" max="40" width="10.1640625" style="4" customWidth="1"/>
    <col min="41" max="41" width="1.1640625" style="4" customWidth="1"/>
    <col min="42" max="42" width="9.33203125" style="13" customWidth="1"/>
    <col min="43" max="43" width="5.1640625" style="4" customWidth="1"/>
    <col min="44" max="44" width="1.1640625" style="4" customWidth="1"/>
    <col min="45" max="45" width="10.1640625" style="13" customWidth="1"/>
    <col min="46" max="48" width="10.1640625" style="4" customWidth="1"/>
    <col min="49" max="49" width="1.1640625" style="4" customWidth="1"/>
    <col min="50" max="50" width="9.33203125" style="25" customWidth="1"/>
    <col min="51" max="51" width="6.5" style="4" customWidth="1"/>
    <col min="52" max="52" width="8.33203125" style="13" customWidth="1"/>
    <col min="53" max="53" width="8.1640625" style="4" customWidth="1"/>
    <col min="54" max="16384" width="9.1640625" style="4"/>
  </cols>
  <sheetData>
    <row r="1" spans="2:53" ht="13" thickBot="1" x14ac:dyDescent="0.2">
      <c r="B1" s="17"/>
      <c r="C1" s="3" t="str">
        <f>'GENEL HEDEF'!C1</f>
        <v>01.05.2023 - 04.05.2023</v>
      </c>
    </row>
    <row r="2" spans="2:53" ht="5.25" customHeight="1" thickTop="1" thickBot="1" x14ac:dyDescent="0.2">
      <c r="B2" s="17"/>
      <c r="C2" s="211" t="s">
        <v>0</v>
      </c>
      <c r="E2" s="203" t="s">
        <v>175</v>
      </c>
      <c r="F2" s="204"/>
      <c r="G2" s="204"/>
      <c r="H2" s="205"/>
      <c r="M2" s="203" t="s">
        <v>60</v>
      </c>
      <c r="N2" s="204"/>
      <c r="O2" s="204"/>
      <c r="P2" s="205"/>
      <c r="U2" s="203" t="s">
        <v>176</v>
      </c>
      <c r="V2" s="204"/>
      <c r="W2" s="204"/>
      <c r="X2" s="205"/>
      <c r="AC2" s="203" t="s">
        <v>177</v>
      </c>
      <c r="AD2" s="204"/>
      <c r="AE2" s="204"/>
      <c r="AF2" s="205"/>
      <c r="AK2" s="203" t="s">
        <v>71</v>
      </c>
      <c r="AL2" s="204"/>
      <c r="AM2" s="204"/>
      <c r="AN2" s="205"/>
      <c r="AS2" s="214" t="s">
        <v>152</v>
      </c>
      <c r="AT2" s="215"/>
      <c r="AU2" s="215"/>
      <c r="AV2" s="216"/>
    </row>
    <row r="3" spans="2:53" ht="12" customHeight="1" thickBot="1" x14ac:dyDescent="0.2">
      <c r="B3" s="17"/>
      <c r="C3" s="212"/>
      <c r="E3" s="206"/>
      <c r="F3" s="207"/>
      <c r="G3" s="207"/>
      <c r="H3" s="208"/>
      <c r="M3" s="206"/>
      <c r="N3" s="207"/>
      <c r="O3" s="207"/>
      <c r="P3" s="208"/>
      <c r="U3" s="206"/>
      <c r="V3" s="207"/>
      <c r="W3" s="207"/>
      <c r="X3" s="208"/>
      <c r="AC3" s="206"/>
      <c r="AD3" s="207"/>
      <c r="AE3" s="207"/>
      <c r="AF3" s="208"/>
      <c r="AK3" s="206"/>
      <c r="AL3" s="207"/>
      <c r="AM3" s="207"/>
      <c r="AN3" s="208"/>
      <c r="AS3" s="217"/>
      <c r="AT3" s="218"/>
      <c r="AU3" s="218"/>
      <c r="AV3" s="219"/>
    </row>
    <row r="4" spans="2:53" ht="12.75" customHeight="1" thickTop="1" thickBot="1" x14ac:dyDescent="0.2">
      <c r="B4" s="17"/>
      <c r="C4" s="213"/>
      <c r="E4" s="5" t="s">
        <v>33</v>
      </c>
      <c r="F4" s="6" t="s">
        <v>34</v>
      </c>
      <c r="G4" s="6" t="s">
        <v>35</v>
      </c>
      <c r="H4" s="7" t="s">
        <v>36</v>
      </c>
      <c r="J4" s="30">
        <v>2022</v>
      </c>
      <c r="K4" s="10"/>
      <c r="M4" s="5"/>
      <c r="N4" s="6" t="s">
        <v>34</v>
      </c>
      <c r="O4" s="6" t="s">
        <v>35</v>
      </c>
      <c r="P4" s="7" t="s">
        <v>36</v>
      </c>
      <c r="R4" s="30">
        <v>2022</v>
      </c>
      <c r="S4" s="10"/>
      <c r="U4" s="5" t="s">
        <v>33</v>
      </c>
      <c r="V4" s="6" t="s">
        <v>34</v>
      </c>
      <c r="W4" s="6" t="s">
        <v>35</v>
      </c>
      <c r="X4" s="7" t="s">
        <v>36</v>
      </c>
      <c r="Z4" s="30">
        <v>2022</v>
      </c>
      <c r="AA4" s="10"/>
      <c r="AB4" s="73"/>
      <c r="AC4" s="5" t="s">
        <v>33</v>
      </c>
      <c r="AD4" s="6" t="s">
        <v>34</v>
      </c>
      <c r="AE4" s="6" t="s">
        <v>35</v>
      </c>
      <c r="AF4" s="7" t="s">
        <v>36</v>
      </c>
      <c r="AH4" s="30">
        <v>2022</v>
      </c>
      <c r="AI4" s="10"/>
      <c r="AJ4" s="73"/>
      <c r="AK4" s="5" t="s">
        <v>33</v>
      </c>
      <c r="AL4" s="6" t="s">
        <v>34</v>
      </c>
      <c r="AM4" s="6" t="s">
        <v>35</v>
      </c>
      <c r="AN4" s="7" t="s">
        <v>36</v>
      </c>
      <c r="AP4" s="30">
        <v>2022</v>
      </c>
      <c r="AQ4" s="10"/>
      <c r="AS4" s="5" t="s">
        <v>33</v>
      </c>
      <c r="AT4" s="6" t="s">
        <v>34</v>
      </c>
      <c r="AU4" s="6" t="s">
        <v>35</v>
      </c>
      <c r="AV4" s="7" t="s">
        <v>36</v>
      </c>
      <c r="AX4" s="30">
        <v>2022</v>
      </c>
      <c r="AY4" s="10"/>
      <c r="AZ4" s="209" t="s">
        <v>37</v>
      </c>
      <c r="BA4" s="210"/>
    </row>
    <row r="5" spans="2:53" ht="13" thickTop="1" x14ac:dyDescent="0.15">
      <c r="B5" s="31">
        <v>10000</v>
      </c>
      <c r="C5" s="88" t="s">
        <v>1</v>
      </c>
      <c r="E5" s="22">
        <v>0.12</v>
      </c>
      <c r="F5" s="23">
        <f>IF(ISERROR(VLOOKUP($B5,[1]Hedef!$A$4:$ES$45409,61,0)),0,VLOOKUP($B5,[1]Hedef!$A$4:$ES$45409,61,0))</f>
        <v>1.5469999999999999E-2</v>
      </c>
      <c r="G5" s="21">
        <f t="shared" ref="G5:G19" si="0">IF((E5-F5)&lt;0, "-", (E5-F5))</f>
        <v>0.10453</v>
      </c>
      <c r="H5" s="80">
        <f>TRUNC(IF((F5/E5)&gt;1.2,"120%",(F5/E5)),2)</f>
        <v>0.12</v>
      </c>
      <c r="J5" s="44">
        <v>0.15179999999999999</v>
      </c>
      <c r="K5" s="11">
        <f>IF(ISERROR((F5-J5)/J5),0,(F5-J5)/J5)</f>
        <v>-0.8980895915678524</v>
      </c>
      <c r="M5" s="22">
        <v>0.12</v>
      </c>
      <c r="N5" s="23">
        <f>IF(ISERROR(VLOOKUP($B5,[1]Hedef!$A$4:$ES$45409,65,0)),0,VLOOKUP($B5,[1]Hedef!$A$4:$ES$45409,65,0))</f>
        <v>1.6049999999999998E-2</v>
      </c>
      <c r="O5" s="21">
        <f t="shared" ref="O5:O12" si="1">IF((M5-N5)&lt;0, "-", (M5-N5))</f>
        <v>0.10395</v>
      </c>
      <c r="P5" s="80">
        <f t="shared" ref="P5:P12" si="2">TRUNC(IF((N5/M5)&gt;1.2,"120%",(N5/M5)),2)</f>
        <v>0.13</v>
      </c>
      <c r="R5" s="44">
        <v>0.14270000000000002</v>
      </c>
      <c r="S5" s="11">
        <f>IF(ISERROR((N5-R5)/R5),0,(N5-R5)/R5)</f>
        <v>-0.88752627890679747</v>
      </c>
      <c r="U5" s="22">
        <v>0.09</v>
      </c>
      <c r="V5" s="23">
        <f>IF(ISERROR(VLOOKUP($B5,[1]Hedef!$A$4:$ES$45409,59,0)),0,VLOOKUP($B5,[1]Hedef!$A$4:$ES$45409,59,0))</f>
        <v>5.4599999999999996E-3</v>
      </c>
      <c r="W5" s="21">
        <f t="shared" ref="W5:W12" si="3">IF((U5-V5)&lt;0, "-", (U5-V5))</f>
        <v>8.4540000000000004E-2</v>
      </c>
      <c r="X5" s="80">
        <f t="shared" ref="X5:X12" si="4">TRUNC(IF((V5/U5)&gt;1.2,"120%",(V5/U5)),2)</f>
        <v>0.06</v>
      </c>
      <c r="Z5" s="44">
        <v>6.2280000000000002E-2</v>
      </c>
      <c r="AA5" s="11">
        <f>IF(ISERROR((V5-Z5)/Z5),0,(V5-Z5)/Z5)</f>
        <v>-0.91233140655105971</v>
      </c>
      <c r="AB5" s="72"/>
      <c r="AC5" s="22">
        <v>0.13</v>
      </c>
      <c r="AD5" s="23">
        <f>IF(ISERROR(VLOOKUP($B5,[1]Hedef!$A$4:$ES$45409,67,0)),0,VLOOKUP($B5,[1]Hedef!$A$4:$ES$45409,67,0))</f>
        <v>1.686E-2</v>
      </c>
      <c r="AE5" s="21">
        <f t="shared" ref="AE5:AE12" si="5">IF((AC5-AD5)&lt;0, "-", (AC5-AD5))</f>
        <v>0.11314</v>
      </c>
      <c r="AF5" s="80">
        <f t="shared" ref="AF5:AF12" si="6">TRUNC(IF((AD5/AC5)&gt;1.2,"120%",(AD5/AC5)),2)</f>
        <v>0.12</v>
      </c>
      <c r="AH5" s="44">
        <v>0.142955</v>
      </c>
      <c r="AI5" s="11">
        <f t="shared" ref="AI5:AI12" si="7">IF(ISERROR((AD5-AH5)/AH5),0,(AD5-AH5)/AH5)</f>
        <v>-0.88206078835997348</v>
      </c>
      <c r="AJ5" s="72"/>
      <c r="AK5" s="22">
        <v>0.11</v>
      </c>
      <c r="AL5" s="23">
        <f>IF(ISERROR(VLOOKUP($B5,[1]Hedef!$A$4:$ES$45409,63,0)),0,VLOOKUP($B5,[1]Hedef!$A$4:$ES$45409,63,0))</f>
        <v>1.5719999999999998E-2</v>
      </c>
      <c r="AM5" s="21">
        <f t="shared" ref="AM5:AM12" si="8">IF((AK5-AL5)&lt;0, "-", (AK5-AL5))</f>
        <v>9.4280000000000003E-2</v>
      </c>
      <c r="AN5" s="80">
        <f t="shared" ref="AN5:AN12" si="9">TRUNC(IF((AL5/AK5)&gt;1.2,"120%",(AL5/AK5)),2)</f>
        <v>0.14000000000000001</v>
      </c>
      <c r="AP5" s="44">
        <v>4.3340000000000004E-2</v>
      </c>
      <c r="AQ5" s="11">
        <f>IF(ISERROR((AL5-AP5)/AP5),0,(AL5-AP5)/AP5)</f>
        <v>-0.63728657129672361</v>
      </c>
      <c r="AS5" s="22">
        <f>AK5+AC5+U5+M5+E5</f>
        <v>0.56999999999999995</v>
      </c>
      <c r="AT5" s="23">
        <f>IF(ISERROR(VLOOKUP($B5,[1]Hedef!$A$4:$ES$45409,71,0)),0,VLOOKUP($B5,[1]Hedef!$A$4:$ES$45409,71,0))</f>
        <v>6.9559999999999997E-2</v>
      </c>
      <c r="AU5" s="21">
        <f t="shared" ref="AU5:AU12" si="10">IF((AS5-AT5)&lt;0, "-", (AS5-AT5))</f>
        <v>0.50044</v>
      </c>
      <c r="AV5" s="80">
        <f t="shared" ref="AV5:AV12" si="11">TRUNC(IF((AT5/AS5)&gt;1.2,"120%",(AT5/AS5)),2)</f>
        <v>0.12</v>
      </c>
      <c r="AX5" s="44">
        <f>+AP5+AH5+Z5+R5+J5</f>
        <v>0.54307499999999997</v>
      </c>
      <c r="AY5" s="11">
        <f>IF(ISERROR((AT5-AX5)/AX5),0,(AT5-AX5)/AX5)</f>
        <v>-0.8719145606039681</v>
      </c>
      <c r="AZ5" s="12">
        <f>AS5-'GENEL HEDEF'!BY5</f>
        <v>0</v>
      </c>
      <c r="BA5" s="15">
        <f>AT5-AL5-AD5-V5-N5-F5</f>
        <v>0</v>
      </c>
    </row>
    <row r="6" spans="2:53" x14ac:dyDescent="0.15">
      <c r="B6" s="18">
        <v>2</v>
      </c>
      <c r="C6" s="1" t="s">
        <v>2</v>
      </c>
      <c r="E6" s="22">
        <v>3</v>
      </c>
      <c r="F6" s="23">
        <f>IF(ISERROR(VLOOKUP($B6,[1]Hedef!$A$4:$ES$45409,61,0)),0,VLOOKUP($B6,[1]Hedef!$A$4:$ES$45409,61,0))</f>
        <v>1.8120000000000001</v>
      </c>
      <c r="G6" s="23">
        <f t="shared" si="0"/>
        <v>1.1879999999999999</v>
      </c>
      <c r="H6" s="80">
        <f t="shared" ref="H6:H12" si="12">TRUNC(IF((F6/E6)&gt;1.2,"120%",(F6/E6)),2)</f>
        <v>0.6</v>
      </c>
      <c r="J6" s="44">
        <v>2.1352500000000001</v>
      </c>
      <c r="K6" s="11">
        <f>IF(ISERROR((F6-J6)/J6),0,(F6-J6)/J6)</f>
        <v>-0.15138742536002811</v>
      </c>
      <c r="M6" s="22">
        <v>1.3</v>
      </c>
      <c r="N6" s="23">
        <f>IF(ISERROR(VLOOKUP($B6,[1]Hedef!$A$4:$ES$45409,65,0)),0,VLOOKUP($B6,[1]Hedef!$A$4:$ES$45409,65,0))</f>
        <v>0.28450000000000003</v>
      </c>
      <c r="O6" s="23">
        <f t="shared" si="1"/>
        <v>1.0155000000000001</v>
      </c>
      <c r="P6" s="80">
        <f t="shared" si="2"/>
        <v>0.21</v>
      </c>
      <c r="R6" s="44">
        <v>1.3565</v>
      </c>
      <c r="S6" s="11">
        <f>IF(ISERROR((N6-R6)/R6),0,(N6-R6)/R6)</f>
        <v>-0.79026907482491704</v>
      </c>
      <c r="U6" s="22">
        <v>1.4</v>
      </c>
      <c r="V6" s="23">
        <f>IF(ISERROR(VLOOKUP($B6,[1]Hedef!$A$4:$ES$45409,59,0)),0,VLOOKUP($B6,[1]Hedef!$A$4:$ES$45409,59,0))</f>
        <v>0.15</v>
      </c>
      <c r="W6" s="23">
        <f t="shared" si="3"/>
        <v>1.25</v>
      </c>
      <c r="X6" s="80">
        <f t="shared" si="4"/>
        <v>0.1</v>
      </c>
      <c r="Z6" s="44">
        <v>1.2372500000000002</v>
      </c>
      <c r="AA6" s="11">
        <f>IF(ISERROR((V6-Z6)/Z6),0,(V6-Z6)/Z6)</f>
        <v>-0.878763386542736</v>
      </c>
      <c r="AB6" s="72"/>
      <c r="AC6" s="22">
        <v>3.3</v>
      </c>
      <c r="AD6" s="23">
        <f>IF(ISERROR(VLOOKUP($B6,[1]Hedef!$A$4:$ES$45409,67,0)),0,VLOOKUP($B6,[1]Hedef!$A$4:$ES$45409,67,0))</f>
        <v>1.4005000000000001</v>
      </c>
      <c r="AE6" s="23">
        <f t="shared" si="5"/>
        <v>1.8994999999999997</v>
      </c>
      <c r="AF6" s="80">
        <f t="shared" si="6"/>
        <v>0.42</v>
      </c>
      <c r="AH6" s="44">
        <v>2.97275</v>
      </c>
      <c r="AI6" s="11">
        <f t="shared" si="7"/>
        <v>-0.52888739382726424</v>
      </c>
      <c r="AJ6" s="72"/>
      <c r="AK6" s="22">
        <v>1.5</v>
      </c>
      <c r="AL6" s="23">
        <f>IF(ISERROR(VLOOKUP($B6,[1]Hedef!$A$4:$ES$45409,63,0)),0,VLOOKUP($B6,[1]Hedef!$A$4:$ES$45409,63,0))</f>
        <v>0.27549999999999997</v>
      </c>
      <c r="AM6" s="23">
        <f t="shared" si="8"/>
        <v>1.2244999999999999</v>
      </c>
      <c r="AN6" s="80">
        <f t="shared" si="9"/>
        <v>0.18</v>
      </c>
      <c r="AP6" s="44">
        <v>1.4239999999999999</v>
      </c>
      <c r="AQ6" s="11">
        <f>IF(ISERROR((AL6-AP6)/AP6),0,(AL6-AP6)/AP6)</f>
        <v>-0.80653089887640439</v>
      </c>
      <c r="AS6" s="22">
        <f t="shared" ref="AS6:AS19" si="13">AK6+AC6+U6+M6+E6</f>
        <v>10.5</v>
      </c>
      <c r="AT6" s="23">
        <f>IF(ISERROR(VLOOKUP($B6,[1]Hedef!$A$4:$ES$45409,71,0)),0,VLOOKUP($B6,[1]Hedef!$A$4:$ES$45409,71,0))</f>
        <v>3.9225000000000003</v>
      </c>
      <c r="AU6" s="23">
        <f t="shared" si="10"/>
        <v>6.5774999999999997</v>
      </c>
      <c r="AV6" s="80">
        <f t="shared" si="11"/>
        <v>0.37</v>
      </c>
      <c r="AX6" s="44">
        <f t="shared" ref="AX6:AX12" si="14">+AP6+AH6+Z6+R6+J6</f>
        <v>9.12575</v>
      </c>
      <c r="AY6" s="11">
        <f>IF(ISERROR((AT6-AX6)/AX6),0,(AT6-AX6)/AX6)</f>
        <v>-0.57017231460427908</v>
      </c>
      <c r="AZ6" s="12">
        <f>AS6-'GENEL HEDEF'!BY6</f>
        <v>0</v>
      </c>
      <c r="BA6" s="15">
        <f t="shared" ref="BA6:BA19" si="15">AT6-AL6-AD6-V6-N6-F6</f>
        <v>0</v>
      </c>
    </row>
    <row r="7" spans="2:53" x14ac:dyDescent="0.15">
      <c r="B7" s="18">
        <v>3</v>
      </c>
      <c r="C7" s="1" t="s">
        <v>65</v>
      </c>
      <c r="E7" s="22">
        <v>1.5</v>
      </c>
      <c r="F7" s="23">
        <f>IF(ISERROR(VLOOKUP($B7,[1]Hedef!$A$4:$ES$45409,61,0)),0,VLOOKUP($B7,[1]Hedef!$A$4:$ES$45409,61,0))</f>
        <v>2.8000000000000004E-2</v>
      </c>
      <c r="G7" s="23">
        <f t="shared" si="0"/>
        <v>1.472</v>
      </c>
      <c r="H7" s="80">
        <f t="shared" si="12"/>
        <v>0.01</v>
      </c>
      <c r="J7" s="44">
        <v>0.3277000000000001</v>
      </c>
      <c r="K7" s="11">
        <f>IF(ISERROR((F7-J7)/J7),0,(F7-J7)/J7)</f>
        <v>-0.91455599633811413</v>
      </c>
      <c r="M7" s="22">
        <v>1</v>
      </c>
      <c r="N7" s="23">
        <f>IF(ISERROR(VLOOKUP($B7,[1]Hedef!$A$4:$ES$45409,65,0)),0,VLOOKUP($B7,[1]Hedef!$A$4:$ES$45409,65,0))</f>
        <v>1.4E-2</v>
      </c>
      <c r="O7" s="23">
        <f t="shared" si="1"/>
        <v>0.98599999999999999</v>
      </c>
      <c r="P7" s="80">
        <f t="shared" si="2"/>
        <v>0.01</v>
      </c>
      <c r="R7" s="44">
        <v>0.18940000000000001</v>
      </c>
      <c r="S7" s="11">
        <f>IF(ISERROR((N7-R7)/R7),0,(N7-R7)/R7)</f>
        <v>-0.92608236536430832</v>
      </c>
      <c r="U7" s="22">
        <v>1</v>
      </c>
      <c r="V7" s="23">
        <f>IF(ISERROR(VLOOKUP($B7,[1]Hedef!$A$4:$ES$45409,59,0)),0,VLOOKUP($B7,[1]Hedef!$A$4:$ES$45409,59,0))</f>
        <v>0</v>
      </c>
      <c r="W7" s="23">
        <f t="shared" si="3"/>
        <v>1</v>
      </c>
      <c r="X7" s="80">
        <f t="shared" si="4"/>
        <v>0</v>
      </c>
      <c r="Z7" s="44">
        <v>0.1802</v>
      </c>
      <c r="AA7" s="11">
        <f>IF(ISERROR((V7-Z7)/Z7),0,(V7-Z7)/Z7)</f>
        <v>-1</v>
      </c>
      <c r="AB7" s="72"/>
      <c r="AC7" s="22">
        <v>1.5</v>
      </c>
      <c r="AD7" s="23">
        <f>IF(ISERROR(VLOOKUP($B7,[1]Hedef!$A$4:$ES$45409,67,0)),0,VLOOKUP($B7,[1]Hedef!$A$4:$ES$45409,67,0))</f>
        <v>-2E-3</v>
      </c>
      <c r="AE7" s="23">
        <f t="shared" si="5"/>
        <v>1.502</v>
      </c>
      <c r="AF7" s="80">
        <f t="shared" si="6"/>
        <v>0</v>
      </c>
      <c r="AH7" s="44">
        <v>0.27390000000000003</v>
      </c>
      <c r="AI7" s="11">
        <f t="shared" si="7"/>
        <v>-1.0073019350127783</v>
      </c>
      <c r="AJ7" s="72"/>
      <c r="AK7" s="22">
        <v>1.63</v>
      </c>
      <c r="AL7" s="23">
        <f>IF(ISERROR(VLOOKUP($B7,[1]Hedef!$A$4:$ES$45409,63,0)),0,VLOOKUP($B7,[1]Hedef!$A$4:$ES$45409,63,0))</f>
        <v>1.5E-3</v>
      </c>
      <c r="AM7" s="23">
        <f t="shared" si="8"/>
        <v>1.6284999999999998</v>
      </c>
      <c r="AN7" s="80">
        <f t="shared" si="9"/>
        <v>0</v>
      </c>
      <c r="AP7" s="44">
        <v>0.25180000000000002</v>
      </c>
      <c r="AQ7" s="11">
        <f>IF(ISERROR((AL7-AP7)/AP7),0,(AL7-AP7)/AP7)</f>
        <v>-0.99404289118347899</v>
      </c>
      <c r="AS7" s="22">
        <f t="shared" si="13"/>
        <v>6.63</v>
      </c>
      <c r="AT7" s="23">
        <f>IF(ISERROR(VLOOKUP($B7,[1]Hedef!$A$4:$ES$45409,71,0)),0,VLOOKUP($B7,[1]Hedef!$A$4:$ES$45409,71,0))</f>
        <v>4.1500000000000002E-2</v>
      </c>
      <c r="AU7" s="23">
        <f t="shared" si="10"/>
        <v>6.5884999999999998</v>
      </c>
      <c r="AV7" s="80">
        <f t="shared" si="11"/>
        <v>0</v>
      </c>
      <c r="AX7" s="44">
        <f t="shared" si="14"/>
        <v>1.2230000000000003</v>
      </c>
      <c r="AY7" s="11">
        <f>IF(ISERROR((AT7-AX7)/AX7),0,(AT7-AX7)/AX7)</f>
        <v>-0.96606704824202771</v>
      </c>
      <c r="AZ7" s="12">
        <f>AS7-'GENEL HEDEF'!BY7</f>
        <v>0</v>
      </c>
      <c r="BA7" s="15">
        <f t="shared" si="15"/>
        <v>0</v>
      </c>
    </row>
    <row r="8" spans="2:53" x14ac:dyDescent="0.15">
      <c r="B8" s="18">
        <v>4</v>
      </c>
      <c r="C8" s="1" t="s">
        <v>3</v>
      </c>
      <c r="E8" s="22">
        <v>2.5</v>
      </c>
      <c r="F8" s="23">
        <f>IF(ISERROR(VLOOKUP($B8,[1]Hedef!$A$4:$ES$45409,61,0)),0,VLOOKUP($B8,[1]Hedef!$A$4:$ES$45409,61,0))</f>
        <v>0.77900000000000003</v>
      </c>
      <c r="G8" s="23">
        <f t="shared" si="0"/>
        <v>1.7210000000000001</v>
      </c>
      <c r="H8" s="80">
        <f t="shared" si="12"/>
        <v>0.31</v>
      </c>
      <c r="J8" s="44">
        <v>2.294</v>
      </c>
      <c r="K8" s="11">
        <f t="shared" ref="K8:K16" si="16">IF(ISERROR((F8-J8)/J8),0,(F8-J8)/J8)</f>
        <v>-0.6604184829991282</v>
      </c>
      <c r="M8" s="22">
        <v>2.7</v>
      </c>
      <c r="N8" s="23">
        <f>IF(ISERROR(VLOOKUP($B8,[1]Hedef!$A$4:$ES$45409,65,0)),0,VLOOKUP($B8,[1]Hedef!$A$4:$ES$45409,65,0))</f>
        <v>6.8500000000000005E-2</v>
      </c>
      <c r="O8" s="23">
        <f t="shared" si="1"/>
        <v>2.6315</v>
      </c>
      <c r="P8" s="80">
        <f t="shared" si="2"/>
        <v>0.02</v>
      </c>
      <c r="R8" s="44">
        <v>2.7164999999999999</v>
      </c>
      <c r="S8" s="11">
        <f t="shared" ref="S8:S16" si="17">IF(ISERROR((N8-R8)/R8),0,(N8-R8)/R8)</f>
        <v>-0.9747837290631326</v>
      </c>
      <c r="U8" s="22">
        <v>3.5</v>
      </c>
      <c r="V8" s="23">
        <f>IF(ISERROR(VLOOKUP($B8,[1]Hedef!$A$4:$ES$45409,59,0)),0,VLOOKUP($B8,[1]Hedef!$A$4:$ES$45409,59,0))</f>
        <v>2E-3</v>
      </c>
      <c r="W8" s="23">
        <f t="shared" si="3"/>
        <v>3.4980000000000002</v>
      </c>
      <c r="X8" s="80">
        <f t="shared" si="4"/>
        <v>0</v>
      </c>
      <c r="Z8" s="44">
        <v>4.4089999999999989</v>
      </c>
      <c r="AA8" s="11">
        <f t="shared" ref="AA8:AA16" si="18">IF(ISERROR((V8-Z8)/Z8),0,(V8-Z8)/Z8)</f>
        <v>-0.99954638239963711</v>
      </c>
      <c r="AB8" s="72"/>
      <c r="AC8" s="22">
        <v>3</v>
      </c>
      <c r="AD8" s="23">
        <f>IF(ISERROR(VLOOKUP($B8,[1]Hedef!$A$4:$ES$45409,67,0)),0,VLOOKUP($B8,[1]Hedef!$A$4:$ES$45409,67,0))</f>
        <v>0.10800000000000001</v>
      </c>
      <c r="AE8" s="23">
        <f t="shared" si="5"/>
        <v>2.8919999999999999</v>
      </c>
      <c r="AF8" s="80">
        <f t="shared" si="6"/>
        <v>0.03</v>
      </c>
      <c r="AH8" s="44">
        <v>2.964</v>
      </c>
      <c r="AI8" s="11">
        <f t="shared" si="7"/>
        <v>-0.96356275303643724</v>
      </c>
      <c r="AJ8" s="72"/>
      <c r="AK8" s="22">
        <v>2.75</v>
      </c>
      <c r="AL8" s="23">
        <f>IF(ISERROR(VLOOKUP($B8,[1]Hedef!$A$4:$ES$45409,63,0)),0,VLOOKUP($B8,[1]Hedef!$A$4:$ES$45409,63,0))</f>
        <v>5.4999999999999997E-3</v>
      </c>
      <c r="AM8" s="23">
        <f t="shared" si="8"/>
        <v>2.7444999999999999</v>
      </c>
      <c r="AN8" s="80">
        <f t="shared" si="9"/>
        <v>0</v>
      </c>
      <c r="AP8" s="44">
        <v>2.3580000000000001</v>
      </c>
      <c r="AQ8" s="11">
        <f t="shared" ref="AQ8:AQ16" si="19">IF(ISERROR((AL8-AP8)/AP8),0,(AL8-AP8)/AP8)</f>
        <v>-0.99766751484308736</v>
      </c>
      <c r="AS8" s="22">
        <f t="shared" si="13"/>
        <v>14.45</v>
      </c>
      <c r="AT8" s="23">
        <f>IF(ISERROR(VLOOKUP($B8,[1]Hedef!$A$4:$ES$45409,71,0)),0,VLOOKUP($B8,[1]Hedef!$A$4:$ES$45409,71,0))</f>
        <v>0.96550000000000002</v>
      </c>
      <c r="AU8" s="23">
        <f t="shared" si="10"/>
        <v>13.484499999999999</v>
      </c>
      <c r="AV8" s="80">
        <f t="shared" si="11"/>
        <v>0.06</v>
      </c>
      <c r="AX8" s="44">
        <f t="shared" si="14"/>
        <v>14.741499999999998</v>
      </c>
      <c r="AY8" s="11">
        <f t="shared" ref="AY8:AY16" si="20">IF(ISERROR((AT8-AX8)/AX8),0,(AT8-AX8)/AX8)</f>
        <v>-0.93450462978665672</v>
      </c>
      <c r="AZ8" s="12">
        <f>AS8-'GENEL HEDEF'!BY8</f>
        <v>0</v>
      </c>
      <c r="BA8" s="15">
        <f t="shared" si="15"/>
        <v>2.5000000000000577E-3</v>
      </c>
    </row>
    <row r="9" spans="2:53" x14ac:dyDescent="0.15">
      <c r="B9" s="18">
        <v>5</v>
      </c>
      <c r="C9" s="1" t="s">
        <v>4</v>
      </c>
      <c r="E9" s="22">
        <v>0.3</v>
      </c>
      <c r="F9" s="23">
        <f>IF(ISERROR(VLOOKUP($B9,[1]Hedef!$A$4:$ES$45409,61,0)),0,VLOOKUP($B9,[1]Hedef!$A$4:$ES$45409,61,0))</f>
        <v>3.0000000000000001E-3</v>
      </c>
      <c r="G9" s="23">
        <f t="shared" si="0"/>
        <v>0.29699999999999999</v>
      </c>
      <c r="H9" s="80">
        <f t="shared" si="12"/>
        <v>0.01</v>
      </c>
      <c r="J9" s="44">
        <v>0.29899999999999999</v>
      </c>
      <c r="K9" s="11">
        <f t="shared" si="16"/>
        <v>-0.98996655518394649</v>
      </c>
      <c r="M9" s="22">
        <v>0.1</v>
      </c>
      <c r="N9" s="23">
        <f>IF(ISERROR(VLOOKUP($B9,[1]Hedef!$A$4:$ES$45409,65,0)),0,VLOOKUP($B9,[1]Hedef!$A$4:$ES$45409,65,0))</f>
        <v>0.03</v>
      </c>
      <c r="O9" s="23">
        <f t="shared" si="1"/>
        <v>7.0000000000000007E-2</v>
      </c>
      <c r="P9" s="80">
        <f t="shared" si="2"/>
        <v>0.3</v>
      </c>
      <c r="R9" s="44">
        <v>9.5000000000000001E-2</v>
      </c>
      <c r="S9" s="11">
        <f t="shared" si="17"/>
        <v>-0.68421052631578949</v>
      </c>
      <c r="U9" s="22">
        <v>0.05</v>
      </c>
      <c r="V9" s="23">
        <f>IF(ISERROR(VLOOKUP($B9,[1]Hedef!$A$4:$ES$45409,59,0)),0,VLOOKUP($B9,[1]Hedef!$A$4:$ES$45409,59,0))</f>
        <v>2E-3</v>
      </c>
      <c r="W9" s="23">
        <f t="shared" si="3"/>
        <v>4.8000000000000001E-2</v>
      </c>
      <c r="X9" s="80">
        <f t="shared" si="4"/>
        <v>0.04</v>
      </c>
      <c r="Z9" s="44">
        <v>1.4E-2</v>
      </c>
      <c r="AA9" s="11">
        <f t="shared" si="18"/>
        <v>-0.8571428571428571</v>
      </c>
      <c r="AB9" s="72"/>
      <c r="AC9" s="22">
        <v>0.25</v>
      </c>
      <c r="AD9" s="23">
        <f>IF(ISERROR(VLOOKUP($B9,[1]Hedef!$A$4:$ES$45409,67,0)),0,VLOOKUP($B9,[1]Hedef!$A$4:$ES$45409,67,0))</f>
        <v>4.0000000000000001E-3</v>
      </c>
      <c r="AE9" s="23">
        <f t="shared" si="5"/>
        <v>0.246</v>
      </c>
      <c r="AF9" s="80">
        <f t="shared" si="6"/>
        <v>0.01</v>
      </c>
      <c r="AH9" s="44">
        <v>0.23699999999999999</v>
      </c>
      <c r="AI9" s="11">
        <f t="shared" si="7"/>
        <v>-0.9831223628691983</v>
      </c>
      <c r="AJ9" s="72"/>
      <c r="AK9" s="22">
        <v>0.4</v>
      </c>
      <c r="AL9" s="23">
        <f>IF(ISERROR(VLOOKUP($B9,[1]Hedef!$A$4:$ES$45409,63,0)),0,VLOOKUP($B9,[1]Hedef!$A$4:$ES$45409,63,0))</f>
        <v>0</v>
      </c>
      <c r="AM9" s="23">
        <f t="shared" si="8"/>
        <v>0.4</v>
      </c>
      <c r="AN9" s="80">
        <f t="shared" si="9"/>
        <v>0</v>
      </c>
      <c r="AP9" s="44">
        <v>0.39700000000000002</v>
      </c>
      <c r="AQ9" s="11">
        <f t="shared" si="19"/>
        <v>-1</v>
      </c>
      <c r="AS9" s="22">
        <f t="shared" si="13"/>
        <v>1.1000000000000001</v>
      </c>
      <c r="AT9" s="23">
        <f>IF(ISERROR(VLOOKUP($B9,[1]Hedef!$A$4:$ES$45409,71,0)),0,VLOOKUP($B9,[1]Hedef!$A$4:$ES$45409,71,0))</f>
        <v>3.9E-2</v>
      </c>
      <c r="AU9" s="23">
        <f t="shared" si="10"/>
        <v>1.0610000000000002</v>
      </c>
      <c r="AV9" s="80">
        <f t="shared" si="11"/>
        <v>0.03</v>
      </c>
      <c r="AX9" s="44">
        <f t="shared" si="14"/>
        <v>1.042</v>
      </c>
      <c r="AY9" s="11">
        <f t="shared" si="20"/>
        <v>-0.96257197696737051</v>
      </c>
      <c r="AZ9" s="12">
        <f>AS9-'GENEL HEDEF'!BY9</f>
        <v>0</v>
      </c>
      <c r="BA9" s="15">
        <f t="shared" si="15"/>
        <v>0</v>
      </c>
    </row>
    <row r="10" spans="2:53" x14ac:dyDescent="0.15">
      <c r="B10" s="18">
        <v>6</v>
      </c>
      <c r="C10" s="1" t="s">
        <v>5</v>
      </c>
      <c r="E10" s="22">
        <v>0.06</v>
      </c>
      <c r="F10" s="23">
        <f>IF(ISERROR(VLOOKUP($B10,[1]Hedef!$A$4:$ES$45409,61,0)),0,VLOOKUP($B10,[1]Hedef!$A$4:$ES$45409,61,0))</f>
        <v>1.6E-2</v>
      </c>
      <c r="G10" s="23">
        <f t="shared" si="0"/>
        <v>4.3999999999999997E-2</v>
      </c>
      <c r="H10" s="80">
        <f t="shared" si="12"/>
        <v>0.26</v>
      </c>
      <c r="J10" s="44">
        <v>4.3000000000000003E-2</v>
      </c>
      <c r="K10" s="11">
        <f t="shared" si="16"/>
        <v>-0.62790697674418605</v>
      </c>
      <c r="M10" s="22">
        <v>0.06</v>
      </c>
      <c r="N10" s="23">
        <f>IF(ISERROR(VLOOKUP($B10,[1]Hedef!$A$4:$ES$45409,65,0)),0,VLOOKUP($B10,[1]Hedef!$A$4:$ES$45409,65,0))</f>
        <v>4.7499999999999999E-3</v>
      </c>
      <c r="O10" s="23">
        <f t="shared" si="1"/>
        <v>5.525E-2</v>
      </c>
      <c r="P10" s="80">
        <f t="shared" si="2"/>
        <v>7.0000000000000007E-2</v>
      </c>
      <c r="R10" s="44">
        <v>6.275E-2</v>
      </c>
      <c r="S10" s="11">
        <f t="shared" si="17"/>
        <v>-0.92430278884462158</v>
      </c>
      <c r="U10" s="22">
        <v>0.04</v>
      </c>
      <c r="V10" s="23">
        <f>IF(ISERROR(VLOOKUP($B10,[1]Hedef!$A$4:$ES$45409,59,0)),0,VLOOKUP($B10,[1]Hedef!$A$4:$ES$45409,59,0))</f>
        <v>9.0000000000000011E-3</v>
      </c>
      <c r="W10" s="23">
        <f t="shared" si="3"/>
        <v>3.1E-2</v>
      </c>
      <c r="X10" s="80">
        <f t="shared" si="4"/>
        <v>0.22</v>
      </c>
      <c r="Z10" s="44">
        <v>2.5750000000000002E-2</v>
      </c>
      <c r="AA10" s="11">
        <f t="shared" si="18"/>
        <v>-0.65048543689320382</v>
      </c>
      <c r="AB10" s="72"/>
      <c r="AC10" s="22">
        <v>0.1</v>
      </c>
      <c r="AD10" s="23">
        <f>IF(ISERROR(VLOOKUP($B10,[1]Hedef!$A$4:$ES$45409,67,0)),0,VLOOKUP($B10,[1]Hedef!$A$4:$ES$45409,67,0))</f>
        <v>5.2500000000000003E-3</v>
      </c>
      <c r="AE10" s="23">
        <f t="shared" si="5"/>
        <v>9.4750000000000001E-2</v>
      </c>
      <c r="AF10" s="80">
        <f t="shared" si="6"/>
        <v>0.05</v>
      </c>
      <c r="AH10" s="44">
        <v>0.10249999999999999</v>
      </c>
      <c r="AI10" s="11">
        <f t="shared" si="7"/>
        <v>-0.948780487804878</v>
      </c>
      <c r="AJ10" s="72"/>
      <c r="AK10" s="22">
        <v>7.0000000000000007E-2</v>
      </c>
      <c r="AL10" s="23">
        <f>IF(ISERROR(VLOOKUP($B10,[1]Hedef!$A$4:$ES$45409,63,0)),0,VLOOKUP($B10,[1]Hedef!$A$4:$ES$45409,63,0))</f>
        <v>1.175E-2</v>
      </c>
      <c r="AM10" s="23">
        <f t="shared" si="8"/>
        <v>5.825000000000001E-2</v>
      </c>
      <c r="AN10" s="80">
        <f t="shared" si="9"/>
        <v>0.16</v>
      </c>
      <c r="AP10" s="44">
        <v>6.7000000000000004E-2</v>
      </c>
      <c r="AQ10" s="11">
        <f t="shared" si="19"/>
        <v>-0.8246268656716419</v>
      </c>
      <c r="AS10" s="22">
        <f t="shared" si="13"/>
        <v>0.33</v>
      </c>
      <c r="AT10" s="23">
        <f>IF(ISERROR(VLOOKUP($B10,[1]Hedef!$A$4:$ES$45409,71,0)),0,VLOOKUP($B10,[1]Hedef!$A$4:$ES$45409,71,0))</f>
        <v>4.675E-2</v>
      </c>
      <c r="AU10" s="23">
        <f t="shared" si="10"/>
        <v>0.28325</v>
      </c>
      <c r="AV10" s="80">
        <f t="shared" si="11"/>
        <v>0.14000000000000001</v>
      </c>
      <c r="AX10" s="44">
        <f t="shared" si="14"/>
        <v>0.30099999999999999</v>
      </c>
      <c r="AY10" s="11">
        <f t="shared" si="20"/>
        <v>-0.8446843853820597</v>
      </c>
      <c r="AZ10" s="12">
        <f>AS10-'GENEL HEDEF'!BY10</f>
        <v>0</v>
      </c>
      <c r="BA10" s="15">
        <f t="shared" si="15"/>
        <v>0</v>
      </c>
    </row>
    <row r="11" spans="2:53" x14ac:dyDescent="0.15">
      <c r="B11" s="31">
        <v>54</v>
      </c>
      <c r="C11" s="1" t="s">
        <v>151</v>
      </c>
      <c r="E11" s="22">
        <v>0.02</v>
      </c>
      <c r="F11" s="23">
        <f>IF(ISERROR(VLOOKUP($B11,[1]Hedef!$A$4:$ES$45409,61,0)),0,VLOOKUP($B11,[1]Hedef!$A$4:$ES$45409,61,0))</f>
        <v>0</v>
      </c>
      <c r="G11" s="23">
        <f t="shared" ref="G11" si="21">IF((E11-F11)&lt;0, "-", (E11-F11))</f>
        <v>0.02</v>
      </c>
      <c r="H11" s="80">
        <f t="shared" si="12"/>
        <v>0</v>
      </c>
      <c r="J11" s="44">
        <v>1.0000000000000026E-4</v>
      </c>
      <c r="K11" s="11">
        <f t="shared" ref="K11" si="22">IF(ISERROR((F11-J11)/J11),0,(F11-J11)/J11)</f>
        <v>-1</v>
      </c>
      <c r="M11" s="22">
        <v>0.04</v>
      </c>
      <c r="N11" s="23">
        <f>IF(ISERROR(VLOOKUP($B11,[1]Hedef!$A$4:$ES$45409,65,0)),0,VLOOKUP($B11,[1]Hedef!$A$4:$ES$45409,65,0))</f>
        <v>2.0999999999999999E-3</v>
      </c>
      <c r="O11" s="23">
        <f t="shared" ref="O11" si="23">IF((M11-N11)&lt;0, "-", (M11-N11))</f>
        <v>3.7900000000000003E-2</v>
      </c>
      <c r="P11" s="80">
        <f t="shared" si="2"/>
        <v>0.05</v>
      </c>
      <c r="R11" s="44">
        <v>2.5870000000000001E-2</v>
      </c>
      <c r="S11" s="11">
        <f t="shared" ref="S11" si="24">IF(ISERROR((N11-R11)/R11),0,(N11-R11)/R11)</f>
        <v>-0.91882489369926557</v>
      </c>
      <c r="U11" s="22">
        <v>0.03</v>
      </c>
      <c r="V11" s="23">
        <f>IF(ISERROR(VLOOKUP($B11,[1]Hedef!$A$4:$ES$45409,59,0)),0,VLOOKUP($B11,[1]Hedef!$A$4:$ES$45409,59,0))</f>
        <v>0</v>
      </c>
      <c r="W11" s="23">
        <f t="shared" ref="W11" si="25">IF((U11-V11)&lt;0, "-", (U11-V11))</f>
        <v>0.03</v>
      </c>
      <c r="X11" s="80">
        <f t="shared" si="4"/>
        <v>0</v>
      </c>
      <c r="Z11" s="44">
        <v>7.7000000000000002E-3</v>
      </c>
      <c r="AA11" s="11">
        <f t="shared" ref="AA11" si="26">IF(ISERROR((V11-Z11)/Z11),0,(V11-Z11)/Z11)</f>
        <v>-1</v>
      </c>
      <c r="AB11" s="72"/>
      <c r="AC11" s="22">
        <v>0.05</v>
      </c>
      <c r="AD11" s="23">
        <f>IF(ISERROR(VLOOKUP($B11,[1]Hedef!$A$4:$ES$45409,67,0)),0,VLOOKUP($B11,[1]Hedef!$A$4:$ES$45409,67,0))</f>
        <v>0</v>
      </c>
      <c r="AE11" s="23">
        <f t="shared" ref="AE11" si="27">IF((AC11-AD11)&lt;0, "-", (AC11-AD11))</f>
        <v>0.05</v>
      </c>
      <c r="AF11" s="80">
        <f t="shared" si="6"/>
        <v>0</v>
      </c>
      <c r="AH11" s="44">
        <v>7.7130000000000004E-2</v>
      </c>
      <c r="AI11" s="11">
        <f t="shared" ref="AI11" si="28">IF(ISERROR((AD11-AH11)/AH11),0,(AD11-AH11)/AH11)</f>
        <v>-1</v>
      </c>
      <c r="AJ11" s="72"/>
      <c r="AK11" s="22">
        <v>0.05</v>
      </c>
      <c r="AL11" s="23">
        <f>IF(ISERROR(VLOOKUP($B11,[1]Hedef!$A$4:$ES$45409,63,0)),0,VLOOKUP($B11,[1]Hedef!$A$4:$ES$45409,63,0))</f>
        <v>1.75E-3</v>
      </c>
      <c r="AM11" s="23">
        <f t="shared" ref="AM11" si="29">IF((AK11-AL11)&lt;0, "-", (AK11-AL11))</f>
        <v>4.8250000000000001E-2</v>
      </c>
      <c r="AN11" s="80">
        <f t="shared" si="9"/>
        <v>0.03</v>
      </c>
      <c r="AP11" s="44">
        <v>3.4169999999999999E-2</v>
      </c>
      <c r="AQ11" s="11">
        <f t="shared" ref="AQ11" si="30">IF(ISERROR((AL11-AP11)/AP11),0,(AL11-AP11)/AP11)</f>
        <v>-0.94878548434299093</v>
      </c>
      <c r="AS11" s="22">
        <f t="shared" ref="AS11" si="31">AK11+AC11+U11+M11+E11</f>
        <v>0.19</v>
      </c>
      <c r="AT11" s="23">
        <f>IF(ISERROR(VLOOKUP($B11,[1]Hedef!$A$4:$ES$45409,71,0)),0,VLOOKUP($B11,[1]Hedef!$A$4:$ES$45409,71,0))</f>
        <v>3.8500000000000001E-3</v>
      </c>
      <c r="AU11" s="23">
        <f t="shared" ref="AU11" si="32">IF((AS11-AT11)&lt;0, "-", (AS11-AT11))</f>
        <v>0.18615000000000001</v>
      </c>
      <c r="AV11" s="80">
        <f t="shared" si="11"/>
        <v>0.02</v>
      </c>
      <c r="AX11" s="44">
        <f t="shared" si="14"/>
        <v>0.14496999999999999</v>
      </c>
      <c r="AY11" s="11">
        <f t="shared" ref="AY11" si="33">IF(ISERROR((AT11-AX11)/AX11),0,(AT11-AX11)/AX11)</f>
        <v>-0.97344278126508943</v>
      </c>
      <c r="AZ11" s="12">
        <f>AS11-'GENEL HEDEF'!BY11</f>
        <v>0</v>
      </c>
      <c r="BA11" s="15">
        <f t="shared" ref="BA11" si="34">AT11-AL11-AD11-V11-N11-F11</f>
        <v>4.3368086899420177E-19</v>
      </c>
    </row>
    <row r="12" spans="2:53" ht="13" thickBot="1" x14ac:dyDescent="0.2">
      <c r="B12" s="18">
        <v>7</v>
      </c>
      <c r="C12" s="1" t="s">
        <v>6</v>
      </c>
      <c r="E12" s="22">
        <v>0.65</v>
      </c>
      <c r="F12" s="23">
        <f>IF(ISERROR(VLOOKUP($B12,[1]Hedef!$A$4:$ES$45409,61,0)),0,VLOOKUP($B12,[1]Hedef!$A$4:$ES$45409,61,0))</f>
        <v>9.2299999999999979E-2</v>
      </c>
      <c r="G12" s="23">
        <f t="shared" si="0"/>
        <v>0.55770000000000008</v>
      </c>
      <c r="H12" s="80">
        <f t="shared" si="12"/>
        <v>0.14000000000000001</v>
      </c>
      <c r="J12" s="44">
        <v>0.54395599999999988</v>
      </c>
      <c r="K12" s="11">
        <f t="shared" si="16"/>
        <v>-0.83031715800542694</v>
      </c>
      <c r="M12" s="22">
        <v>0.4</v>
      </c>
      <c r="N12" s="23">
        <f>IF(ISERROR(VLOOKUP($B12,[1]Hedef!$A$4:$ES$45409,65,0)),0,VLOOKUP($B12,[1]Hedef!$A$4:$ES$45409,65,0))</f>
        <v>3.2456000000000006E-2</v>
      </c>
      <c r="O12" s="23">
        <f t="shared" si="1"/>
        <v>0.36754400000000004</v>
      </c>
      <c r="P12" s="80">
        <f t="shared" si="2"/>
        <v>0.08</v>
      </c>
      <c r="R12" s="44">
        <v>0.32201599999999997</v>
      </c>
      <c r="S12" s="11">
        <f t="shared" si="17"/>
        <v>-0.89920997714399287</v>
      </c>
      <c r="U12" s="22">
        <v>0.7</v>
      </c>
      <c r="V12" s="23">
        <f>IF(ISERROR(VLOOKUP($B12,[1]Hedef!$A$4:$ES$45409,59,0)),0,VLOOKUP($B12,[1]Hedef!$A$4:$ES$45409,59,0))</f>
        <v>6.3736000000000001E-2</v>
      </c>
      <c r="W12" s="23">
        <f t="shared" si="3"/>
        <v>0.63626399999999994</v>
      </c>
      <c r="X12" s="80">
        <f t="shared" si="4"/>
        <v>0.09</v>
      </c>
      <c r="Z12" s="44">
        <v>0.61351599999999995</v>
      </c>
      <c r="AA12" s="11">
        <f t="shared" si="18"/>
        <v>-0.89611354879090355</v>
      </c>
      <c r="AB12" s="72"/>
      <c r="AC12" s="22">
        <v>0.5</v>
      </c>
      <c r="AD12" s="23">
        <f>IF(ISERROR(VLOOKUP($B12,[1]Hedef!$A$4:$ES$45409,67,0)),0,VLOOKUP($B12,[1]Hedef!$A$4:$ES$45409,67,0))</f>
        <v>5.3360000000000005E-3</v>
      </c>
      <c r="AE12" s="23">
        <f t="shared" si="5"/>
        <v>0.49466399999999999</v>
      </c>
      <c r="AF12" s="80">
        <f t="shared" si="6"/>
        <v>0.01</v>
      </c>
      <c r="AH12" s="44">
        <v>0.36903599999999992</v>
      </c>
      <c r="AI12" s="11">
        <f t="shared" si="7"/>
        <v>-0.9855407060557777</v>
      </c>
      <c r="AJ12" s="72"/>
      <c r="AK12" s="22">
        <v>0.63</v>
      </c>
      <c r="AL12" s="23">
        <f>IF(ISERROR(VLOOKUP($B12,[1]Hedef!$A$4:$ES$45409,63,0)),0,VLOOKUP($B12,[1]Hedef!$A$4:$ES$45409,63,0))</f>
        <v>4.7140000000000001E-2</v>
      </c>
      <c r="AM12" s="23">
        <f t="shared" si="8"/>
        <v>0.58286000000000004</v>
      </c>
      <c r="AN12" s="80">
        <f t="shared" si="9"/>
        <v>7.0000000000000007E-2</v>
      </c>
      <c r="AP12" s="44">
        <v>0.55646400000000007</v>
      </c>
      <c r="AQ12" s="11">
        <f t="shared" si="19"/>
        <v>-0.91528652347681083</v>
      </c>
      <c r="AS12" s="22">
        <f t="shared" si="13"/>
        <v>2.88</v>
      </c>
      <c r="AT12" s="23">
        <f>IF(ISERROR(VLOOKUP($B12,[1]Hedef!$A$4:$ES$45409,71,0)),0,VLOOKUP($B12,[1]Hedef!$A$4:$ES$45409,71,0))</f>
        <v>0.24260799999999999</v>
      </c>
      <c r="AU12" s="23">
        <f t="shared" si="10"/>
        <v>2.6373919999999997</v>
      </c>
      <c r="AV12" s="80">
        <f t="shared" si="11"/>
        <v>0.08</v>
      </c>
      <c r="AX12" s="44">
        <f t="shared" si="14"/>
        <v>2.4049879999999995</v>
      </c>
      <c r="AY12" s="11">
        <f t="shared" si="20"/>
        <v>-0.89912298938705715</v>
      </c>
      <c r="AZ12" s="12">
        <f>AS12-'GENEL HEDEF'!BY12</f>
        <v>0</v>
      </c>
      <c r="BA12" s="15">
        <f t="shared" si="15"/>
        <v>1.6399999999999609E-3</v>
      </c>
    </row>
    <row r="13" spans="2:53" ht="14" thickTop="1" thickBot="1" x14ac:dyDescent="0.2">
      <c r="B13" s="18"/>
      <c r="C13" s="2" t="s">
        <v>7</v>
      </c>
      <c r="E13" s="67">
        <v>14.721773315388617</v>
      </c>
      <c r="F13" s="67">
        <f>SUM(F5:F12)</f>
        <v>2.7457700000000003</v>
      </c>
      <c r="G13" s="67">
        <f>SUM(G5:G12)</f>
        <v>5.4042299999999983</v>
      </c>
      <c r="H13" s="39">
        <f>TRUNC(IF((F13/E13)&gt;1.2,"120%",(F13/E13)),2)</f>
        <v>0.18</v>
      </c>
      <c r="I13" s="78"/>
      <c r="J13" s="67"/>
      <c r="K13" s="48"/>
      <c r="L13" s="78"/>
      <c r="M13" s="67">
        <v>10.254493102499007</v>
      </c>
      <c r="N13" s="67">
        <f>SUM(N5:N12)</f>
        <v>0.45235599999999998</v>
      </c>
      <c r="O13" s="67">
        <f>SUM(O5:O12)</f>
        <v>5.2676439999999998</v>
      </c>
      <c r="P13" s="39">
        <f>TRUNC(IF((N13/M13)&gt;1.2,"120%",(N13/M13)),2)</f>
        <v>0.04</v>
      </c>
      <c r="Q13" s="78"/>
      <c r="R13" s="67"/>
      <c r="S13" s="48"/>
      <c r="T13" s="78"/>
      <c r="U13" s="67">
        <v>8.4383418774661241</v>
      </c>
      <c r="V13" s="67">
        <f>SUM(V5:V12)</f>
        <v>0.23219600000000001</v>
      </c>
      <c r="W13" s="67">
        <f>SUM(W5:W12)</f>
        <v>6.5778039999999995</v>
      </c>
      <c r="X13" s="39">
        <f>TRUNC(IF((V13/U13)&gt;1.2,"120%",(V13/U13)),2)</f>
        <v>0.02</v>
      </c>
      <c r="Y13" s="78"/>
      <c r="Z13" s="67"/>
      <c r="AA13" s="48"/>
      <c r="AB13" s="74"/>
      <c r="AC13" s="67">
        <v>23.806092741565472</v>
      </c>
      <c r="AD13" s="67">
        <f>SUM(AD5:AD12)</f>
        <v>1.5379460000000003</v>
      </c>
      <c r="AE13" s="67">
        <f>SUM(AE5:AE12)</f>
        <v>7.2920540000000003</v>
      </c>
      <c r="AF13" s="39">
        <f>TRUNC(IF((AD13/AC13)&gt;1.2,"120%",(AD13/AC13)),2)</f>
        <v>0.06</v>
      </c>
      <c r="AG13" s="78"/>
      <c r="AH13" s="67"/>
      <c r="AI13" s="48"/>
      <c r="AJ13" s="74"/>
      <c r="AK13" s="67">
        <v>14.616298963080784</v>
      </c>
      <c r="AL13" s="67">
        <f>SUM(AL5:AL12)</f>
        <v>0.35885999999999996</v>
      </c>
      <c r="AM13" s="67">
        <f>SUM(AM5:AM12)</f>
        <v>6.7811400000000006</v>
      </c>
      <c r="AN13" s="39">
        <f>TRUNC(IF((AL13/AK13)&gt;1.2,"120%",(AL13/AK13)),2)</f>
        <v>0.02</v>
      </c>
      <c r="AO13" s="78"/>
      <c r="AP13" s="67"/>
      <c r="AQ13" s="48"/>
      <c r="AR13" s="78"/>
      <c r="AS13" s="67">
        <f>SUM(AS5:AS12)</f>
        <v>36.65</v>
      </c>
      <c r="AT13" s="67">
        <f>SUM(AT5:AT12)</f>
        <v>5.3312679999999997</v>
      </c>
      <c r="AU13" s="67">
        <f>SUM(AU5:AU12)</f>
        <v>31.318731999999997</v>
      </c>
      <c r="AV13" s="39">
        <f>TRUNC(IF((AT13/AS13)&gt;1.2,"120%",(AT13/AS13)),2)</f>
        <v>0.14000000000000001</v>
      </c>
      <c r="AX13" s="67"/>
      <c r="AY13" s="48"/>
      <c r="AZ13" s="8"/>
      <c r="BA13" s="9"/>
    </row>
    <row r="14" spans="2:53" ht="13" thickTop="1" x14ac:dyDescent="0.15">
      <c r="B14" s="18">
        <v>4000</v>
      </c>
      <c r="C14" s="1" t="s">
        <v>8</v>
      </c>
      <c r="E14" s="22">
        <v>0.01</v>
      </c>
      <c r="F14" s="23">
        <f>IF(ISERROR(VLOOKUP($B14,[1]Hedef!$A$4:$ES$45409,61,0)),0,VLOOKUP($B14,[1]Hedef!$A$4:$ES$45409,61,0))</f>
        <v>-3.0000000000000001E-3</v>
      </c>
      <c r="G14" s="23">
        <f t="shared" si="0"/>
        <v>1.3000000000000001E-2</v>
      </c>
      <c r="H14" s="80">
        <f t="shared" ref="H14:H16" si="35">TRUNC(IF((F14/E14)&gt;1.2,"120%",(F14/E14)),2)</f>
        <v>-0.3</v>
      </c>
      <c r="J14" s="44">
        <v>1.3299999999999999E-2</v>
      </c>
      <c r="K14" s="11">
        <f t="shared" si="16"/>
        <v>-1.225563909774436</v>
      </c>
      <c r="M14" s="22">
        <v>0.05</v>
      </c>
      <c r="N14" s="23">
        <f>IF(ISERROR(VLOOKUP($B14,[1]Hedef!$A$4:$ES$45409,65,0)),0,VLOOKUP($B14,[1]Hedef!$A$4:$ES$45409,65,0))</f>
        <v>2.8E-3</v>
      </c>
      <c r="O14" s="23">
        <f>IF((M14-N14)&lt;0, "-", (M14-N14))</f>
        <v>4.7200000000000006E-2</v>
      </c>
      <c r="P14" s="80">
        <f t="shared" ref="P14:P16" si="36">TRUNC(IF((N14/M14)&gt;1.2,"120%",(N14/M14)),2)</f>
        <v>0.05</v>
      </c>
      <c r="R14" s="44">
        <v>5.3850000000000009E-2</v>
      </c>
      <c r="S14" s="11">
        <f t="shared" si="17"/>
        <v>-0.94800371402042716</v>
      </c>
      <c r="U14" s="22">
        <v>0.04</v>
      </c>
      <c r="V14" s="23">
        <f>IF(ISERROR(VLOOKUP($B14,[1]Hedef!$A$4:$ES$45409,59,0)),0,VLOOKUP($B14,[1]Hedef!$A$4:$ES$45409,59,0))</f>
        <v>7.0000000000000001E-3</v>
      </c>
      <c r="W14" s="23">
        <f>IF((U14-V14)&lt;0, "-", (U14-V14))</f>
        <v>3.3000000000000002E-2</v>
      </c>
      <c r="X14" s="80">
        <f t="shared" ref="X14:X16" si="37">TRUNC(IF((V14/U14)&gt;1.2,"120%",(V14/U14)),2)</f>
        <v>0.17</v>
      </c>
      <c r="Z14" s="44">
        <v>3.0799999999999998E-2</v>
      </c>
      <c r="AA14" s="11">
        <f t="shared" si="18"/>
        <v>-0.77272727272727271</v>
      </c>
      <c r="AB14" s="72"/>
      <c r="AC14" s="22">
        <v>0.06</v>
      </c>
      <c r="AD14" s="23">
        <f>IF(ISERROR(VLOOKUP($B14,[1]Hedef!$A$4:$ES$45409,67,0)),0,VLOOKUP($B14,[1]Hedef!$A$4:$ES$45409,67,0))</f>
        <v>1.4E-3</v>
      </c>
      <c r="AE14" s="23">
        <f>IF((AC14-AD14)&lt;0, "-", (AC14-AD14))</f>
        <v>5.8599999999999999E-2</v>
      </c>
      <c r="AF14" s="80">
        <f t="shared" ref="AF14:AF16" si="38">TRUNC(IF((AD14/AC14)&gt;1.2,"120%",(AD14/AC14)),2)</f>
        <v>0.02</v>
      </c>
      <c r="AH14" s="44">
        <v>6.0100000000000001E-2</v>
      </c>
      <c r="AI14" s="11">
        <f>IF(ISERROR((AD14-AH14)/AH14),0,(AD14-AH14)/AH14)</f>
        <v>-0.97670549084858571</v>
      </c>
      <c r="AJ14" s="72"/>
      <c r="AK14" s="22">
        <v>0.04</v>
      </c>
      <c r="AL14" s="23">
        <f>IF(ISERROR(VLOOKUP($B14,[1]Hedef!$A$4:$ES$45409,63,0)),0,VLOOKUP($B14,[1]Hedef!$A$4:$ES$45409,63,0))</f>
        <v>4.0999999999999995E-3</v>
      </c>
      <c r="AM14" s="23">
        <f>IF((AK14-AL14)&lt;0, "-", (AK14-AL14))</f>
        <v>3.5900000000000001E-2</v>
      </c>
      <c r="AN14" s="80">
        <f t="shared" ref="AN14:AN16" si="39">TRUNC(IF((AL14/AK14)&gt;1.2,"120%",(AL14/AK14)),2)</f>
        <v>0.1</v>
      </c>
      <c r="AP14" s="44">
        <v>3.2800000000000003E-2</v>
      </c>
      <c r="AQ14" s="11">
        <f t="shared" si="19"/>
        <v>-0.875</v>
      </c>
      <c r="AS14" s="22">
        <f t="shared" si="13"/>
        <v>0.2</v>
      </c>
      <c r="AT14" s="23">
        <f>IF(ISERROR(VLOOKUP($B14,[1]Hedef!$A$4:$ES$45409,71,0)),0,VLOOKUP($B14,[1]Hedef!$A$4:$ES$45409,71,0))</f>
        <v>1.2299999999999998E-2</v>
      </c>
      <c r="AU14" s="23">
        <f>IF((AS14-AT14)&lt;0, "-", (AS14-AT14))</f>
        <v>0.18770000000000001</v>
      </c>
      <c r="AV14" s="80">
        <f t="shared" ref="AV14:AV16" si="40">TRUNC(IF((AT14/AS14)&gt;1.2,"120%",(AT14/AS14)),2)</f>
        <v>0.06</v>
      </c>
      <c r="AX14" s="44">
        <f t="shared" ref="AX14:AX16" si="41">+AP14+AH14+Z14+R14+J14</f>
        <v>0.19085000000000002</v>
      </c>
      <c r="AY14" s="11">
        <f t="shared" si="20"/>
        <v>-0.93555148022006807</v>
      </c>
      <c r="AZ14" s="12">
        <f>AS14-'GENEL HEDEF'!BY14</f>
        <v>0</v>
      </c>
      <c r="BA14" s="15">
        <f t="shared" si="15"/>
        <v>0</v>
      </c>
    </row>
    <row r="15" spans="2:53" x14ac:dyDescent="0.15">
      <c r="B15" s="18">
        <v>3000</v>
      </c>
      <c r="C15" s="1" t="s">
        <v>9</v>
      </c>
      <c r="E15" s="22">
        <v>0.03</v>
      </c>
      <c r="F15" s="23">
        <f>IF(ISERROR(VLOOKUP($B15,[1]Hedef!$A$4:$ES$45409,61,0)),0,VLOOKUP($B15,[1]Hedef!$A$4:$ES$45409,61,0))</f>
        <v>2.8999999999999998E-3</v>
      </c>
      <c r="G15" s="23">
        <f t="shared" si="0"/>
        <v>2.7099999999999999E-2</v>
      </c>
      <c r="H15" s="80">
        <f t="shared" si="35"/>
        <v>0.09</v>
      </c>
      <c r="J15" s="44">
        <v>2.9100000000000001E-2</v>
      </c>
      <c r="K15" s="11">
        <f t="shared" si="16"/>
        <v>-0.90034364261168387</v>
      </c>
      <c r="M15" s="22">
        <v>0.04</v>
      </c>
      <c r="N15" s="23">
        <f>IF(ISERROR(VLOOKUP($B15,[1]Hedef!$A$4:$ES$45409,65,0)),0,VLOOKUP($B15,[1]Hedef!$A$4:$ES$45409,65,0))</f>
        <v>1.3900000000000001E-2</v>
      </c>
      <c r="O15" s="23">
        <f>IF((M15-N15)&lt;0, "-", (M15-N15))</f>
        <v>2.6099999999999998E-2</v>
      </c>
      <c r="P15" s="80">
        <f t="shared" si="36"/>
        <v>0.34</v>
      </c>
      <c r="R15" s="44">
        <v>3.0950000000000002E-2</v>
      </c>
      <c r="S15" s="11">
        <f t="shared" si="17"/>
        <v>-0.55088852988691439</v>
      </c>
      <c r="U15" s="22">
        <v>0.04</v>
      </c>
      <c r="V15" s="23">
        <f>IF(ISERROR(VLOOKUP($B15,[1]Hedef!$A$4:$ES$45409,59,0)),0,VLOOKUP($B15,[1]Hedef!$A$4:$ES$45409,59,0))</f>
        <v>6.3999999999999994E-3</v>
      </c>
      <c r="W15" s="23">
        <f>IF((U15-V15)&lt;0, "-", (U15-V15))</f>
        <v>3.3600000000000005E-2</v>
      </c>
      <c r="X15" s="80">
        <f t="shared" si="37"/>
        <v>0.16</v>
      </c>
      <c r="Z15" s="44">
        <v>4.58E-2</v>
      </c>
      <c r="AA15" s="11">
        <f t="shared" si="18"/>
        <v>-0.86026200873362457</v>
      </c>
      <c r="AB15" s="72"/>
      <c r="AC15" s="22">
        <v>0.06</v>
      </c>
      <c r="AD15" s="23">
        <f>IF(ISERROR(VLOOKUP($B15,[1]Hedef!$A$4:$ES$45409,67,0)),0,VLOOKUP($B15,[1]Hedef!$A$4:$ES$45409,67,0))</f>
        <v>3.3E-3</v>
      </c>
      <c r="AE15" s="23">
        <f>IF((AC15-AD15)&lt;0, "-", (AC15-AD15))</f>
        <v>5.67E-2</v>
      </c>
      <c r="AF15" s="80">
        <f t="shared" si="38"/>
        <v>0.05</v>
      </c>
      <c r="AH15" s="44">
        <v>6.2475000000000003E-2</v>
      </c>
      <c r="AI15" s="11">
        <f>IF(ISERROR((AD15-AH15)/AH15),0,(AD15-AH15)/AH15)</f>
        <v>-0.94717887154861946</v>
      </c>
      <c r="AJ15" s="72"/>
      <c r="AK15" s="22">
        <v>0.06</v>
      </c>
      <c r="AL15" s="23">
        <f>IF(ISERROR(VLOOKUP($B15,[1]Hedef!$A$4:$ES$45409,63,0)),0,VLOOKUP($B15,[1]Hedef!$A$4:$ES$45409,63,0))</f>
        <v>7.0000000000000001E-3</v>
      </c>
      <c r="AM15" s="23">
        <f>IF((AK15-AL15)&lt;0, "-", (AK15-AL15))</f>
        <v>5.2999999999999999E-2</v>
      </c>
      <c r="AN15" s="80">
        <f t="shared" si="39"/>
        <v>0.11</v>
      </c>
      <c r="AP15" s="44">
        <v>5.815E-2</v>
      </c>
      <c r="AQ15" s="11">
        <f t="shared" si="19"/>
        <v>-0.87962166809974207</v>
      </c>
      <c r="AS15" s="22">
        <f t="shared" si="13"/>
        <v>0.23</v>
      </c>
      <c r="AT15" s="23">
        <f>IF(ISERROR(VLOOKUP($B15,[1]Hedef!$A$4:$ES$45409,71,0)),0,VLOOKUP($B15,[1]Hedef!$A$4:$ES$45409,71,0))</f>
        <v>3.3499999999999995E-2</v>
      </c>
      <c r="AU15" s="23">
        <f>IF((AS15-AT15)&lt;0, "-", (AS15-AT15))</f>
        <v>0.19650000000000001</v>
      </c>
      <c r="AV15" s="80">
        <f t="shared" si="40"/>
        <v>0.14000000000000001</v>
      </c>
      <c r="AX15" s="44">
        <f t="shared" si="41"/>
        <v>0.22647500000000004</v>
      </c>
      <c r="AY15" s="11">
        <f t="shared" si="20"/>
        <v>-0.8520808036207087</v>
      </c>
      <c r="AZ15" s="12">
        <f>AS15-'GENEL HEDEF'!BY15</f>
        <v>0</v>
      </c>
      <c r="BA15" s="15">
        <f t="shared" si="15"/>
        <v>-5.2041704279304213E-18</v>
      </c>
    </row>
    <row r="16" spans="2:53" ht="13" thickBot="1" x14ac:dyDescent="0.2">
      <c r="B16" s="18">
        <v>5000</v>
      </c>
      <c r="C16" s="1" t="s">
        <v>10</v>
      </c>
      <c r="E16" s="22">
        <v>0.01</v>
      </c>
      <c r="F16" s="23">
        <f>IF(ISERROR(VLOOKUP($B16,[1]Hedef!$A$4:$ES$45409,61,0)),0,VLOOKUP($B16,[1]Hedef!$A$4:$ES$45409,61,0))</f>
        <v>0</v>
      </c>
      <c r="G16" s="23">
        <f t="shared" si="0"/>
        <v>0.01</v>
      </c>
      <c r="H16" s="80">
        <f t="shared" si="35"/>
        <v>0</v>
      </c>
      <c r="J16" s="44">
        <v>2.8500000000000001E-3</v>
      </c>
      <c r="K16" s="11">
        <f t="shared" si="16"/>
        <v>-1</v>
      </c>
      <c r="M16" s="22">
        <v>0.01</v>
      </c>
      <c r="N16" s="23">
        <f>IF(ISERROR(VLOOKUP($B16,[1]Hedef!$A$4:$ES$45409,65,0)),0,VLOOKUP($B16,[1]Hedef!$A$4:$ES$45409,65,0))</f>
        <v>0</v>
      </c>
      <c r="O16" s="23">
        <f>IF((M16-N16)&lt;0, "-", (M16-N16))</f>
        <v>0.01</v>
      </c>
      <c r="P16" s="80">
        <f t="shared" si="36"/>
        <v>0</v>
      </c>
      <c r="R16" s="44">
        <v>8.7499999999999991E-3</v>
      </c>
      <c r="S16" s="11">
        <f t="shared" si="17"/>
        <v>-1</v>
      </c>
      <c r="U16" s="22">
        <v>0.01</v>
      </c>
      <c r="V16" s="23">
        <f>IF(ISERROR(VLOOKUP($B16,[1]Hedef!$A$4:$ES$45409,59,0)),0,VLOOKUP($B16,[1]Hedef!$A$4:$ES$45409,59,0))</f>
        <v>4.0000000000000002E-4</v>
      </c>
      <c r="W16" s="23">
        <f>IF((U16-V16)&lt;0, "-", (U16-V16))</f>
        <v>9.6000000000000009E-3</v>
      </c>
      <c r="X16" s="80">
        <f t="shared" si="37"/>
        <v>0.04</v>
      </c>
      <c r="Z16" s="44">
        <v>5.1000000000000004E-3</v>
      </c>
      <c r="AA16" s="11">
        <f t="shared" si="18"/>
        <v>-0.92156862745098034</v>
      </c>
      <c r="AB16" s="72"/>
      <c r="AC16" s="22">
        <v>0.01</v>
      </c>
      <c r="AD16" s="23">
        <f>IF(ISERROR(VLOOKUP($B16,[1]Hedef!$A$4:$ES$45409,67,0)),0,VLOOKUP($B16,[1]Hedef!$A$4:$ES$45409,67,0))</f>
        <v>0</v>
      </c>
      <c r="AE16" s="23">
        <f>IF((AC16-AD16)&lt;0, "-", (AC16-AD16))</f>
        <v>0.01</v>
      </c>
      <c r="AF16" s="80">
        <f t="shared" si="38"/>
        <v>0</v>
      </c>
      <c r="AH16" s="44">
        <v>1.34E-2</v>
      </c>
      <c r="AI16" s="11">
        <f>IF(ISERROR((AD16-AH16)/AH16),0,(AD16-AH16)/AH16)</f>
        <v>-1</v>
      </c>
      <c r="AJ16" s="72"/>
      <c r="AK16" s="22">
        <v>0.01</v>
      </c>
      <c r="AL16" s="23">
        <f>IF(ISERROR(VLOOKUP($B16,[1]Hedef!$A$4:$ES$45409,63,0)),0,VLOOKUP($B16,[1]Hedef!$A$4:$ES$45409,63,0))</f>
        <v>0</v>
      </c>
      <c r="AM16" s="23">
        <f>IF((AK16-AL16)&lt;0, "-", (AK16-AL16))</f>
        <v>0.01</v>
      </c>
      <c r="AN16" s="80">
        <f t="shared" si="39"/>
        <v>0</v>
      </c>
      <c r="AP16" s="44">
        <v>9.3500000000000007E-3</v>
      </c>
      <c r="AQ16" s="11">
        <f t="shared" si="19"/>
        <v>-1</v>
      </c>
      <c r="AS16" s="22">
        <f t="shared" si="13"/>
        <v>0.05</v>
      </c>
      <c r="AT16" s="133">
        <f>IF(ISERROR(VLOOKUP($B16,[1]Hedef!$A$4:$ES$45409,71,0)),0,VLOOKUP($B16,[1]Hedef!$A$4:$ES$45409,71,0))</f>
        <v>4.0000000000000002E-4</v>
      </c>
      <c r="AU16" s="23">
        <f>IF((AS16-AT16)&lt;0, "-", (AS16-AT16))</f>
        <v>4.9600000000000005E-2</v>
      </c>
      <c r="AV16" s="80">
        <f t="shared" si="40"/>
        <v>0</v>
      </c>
      <c r="AX16" s="44">
        <f t="shared" si="41"/>
        <v>3.9449999999999999E-2</v>
      </c>
      <c r="AY16" s="11">
        <f t="shared" si="20"/>
        <v>-0.98986058301647661</v>
      </c>
      <c r="AZ16" s="12">
        <f>AS16-'GENEL HEDEF'!BY16</f>
        <v>0</v>
      </c>
      <c r="BA16" s="15">
        <f t="shared" si="15"/>
        <v>0</v>
      </c>
    </row>
    <row r="17" spans="2:53" ht="14" thickTop="1" thickBot="1" x14ac:dyDescent="0.2">
      <c r="B17" s="18" t="s">
        <v>55</v>
      </c>
      <c r="C17" s="2" t="s">
        <v>11</v>
      </c>
      <c r="E17" s="67">
        <v>7.3000000000000009E-2</v>
      </c>
      <c r="F17" s="67">
        <f>SUM(F14:F16)</f>
        <v>-1.0000000000000026E-4</v>
      </c>
      <c r="G17" s="67">
        <f>SUM(G14:G16)</f>
        <v>5.0099999999999999E-2</v>
      </c>
      <c r="H17" s="39">
        <f>TRUNC(IF((F17/E17)&gt;1.2,"120%",(F17/E17)),2)</f>
        <v>0</v>
      </c>
      <c r="I17" s="78"/>
      <c r="J17" s="67"/>
      <c r="K17" s="48"/>
      <c r="L17" s="78"/>
      <c r="M17" s="67">
        <v>5.2000000000000005E-2</v>
      </c>
      <c r="N17" s="67">
        <f>SUM(N14:N16)</f>
        <v>1.67E-2</v>
      </c>
      <c r="O17" s="67">
        <f>SUM(O14:O16)</f>
        <v>8.3299999999999999E-2</v>
      </c>
      <c r="P17" s="39">
        <f>TRUNC(IF((N17/M17)&gt;1.2,"120%",(N17/M17)),2)</f>
        <v>0.32</v>
      </c>
      <c r="Q17" s="78"/>
      <c r="R17" s="67"/>
      <c r="S17" s="48"/>
      <c r="T17" s="78"/>
      <c r="U17" s="67">
        <v>0.15200000000000002</v>
      </c>
      <c r="V17" s="67">
        <f>SUM(V14:V16)</f>
        <v>1.3799999999999998E-2</v>
      </c>
      <c r="W17" s="67">
        <f>SUM(W14:W16)</f>
        <v>7.6200000000000004E-2</v>
      </c>
      <c r="X17" s="39">
        <f>TRUNC(IF((V17/U17)&gt;1.2,"120%",(V17/U17)),2)</f>
        <v>0.09</v>
      </c>
      <c r="Y17" s="78"/>
      <c r="Z17" s="67"/>
      <c r="AA17" s="48"/>
      <c r="AB17" s="74"/>
      <c r="AC17" s="67">
        <v>9.7000000000000003E-2</v>
      </c>
      <c r="AD17" s="67">
        <f>SUM(AD14:AD16)</f>
        <v>4.7000000000000002E-3</v>
      </c>
      <c r="AE17" s="67">
        <f>SUM(AE14:AE16)</f>
        <v>0.12529999999999999</v>
      </c>
      <c r="AF17" s="39">
        <f>TRUNC(IF((AD17/AC17)&gt;1.2,"120%",(AD17/AC17)),2)</f>
        <v>0.04</v>
      </c>
      <c r="AG17" s="78"/>
      <c r="AH17" s="67"/>
      <c r="AI17" s="48"/>
      <c r="AJ17" s="74"/>
      <c r="AK17" s="67">
        <v>7.6000000000000012E-2</v>
      </c>
      <c r="AL17" s="67">
        <f>SUM(AL14:AL16)</f>
        <v>1.1099999999999999E-2</v>
      </c>
      <c r="AM17" s="67">
        <f>SUM(AM14:AM16)</f>
        <v>9.8900000000000002E-2</v>
      </c>
      <c r="AN17" s="39">
        <f>TRUNC(IF((AL17/AK17)&gt;1.2,"120%",(AL17/AK17)),2)</f>
        <v>0.14000000000000001</v>
      </c>
      <c r="AO17" s="78"/>
      <c r="AP17" s="67"/>
      <c r="AQ17" s="48"/>
      <c r="AR17" s="78"/>
      <c r="AS17" s="67">
        <f>SUM(AS14:AS16)</f>
        <v>0.48000000000000004</v>
      </c>
      <c r="AT17" s="67">
        <f>SUM(AT14:AT16)</f>
        <v>4.6199999999999991E-2</v>
      </c>
      <c r="AU17" s="67">
        <f>SUM(AU14:AU16)</f>
        <v>0.43379999999999996</v>
      </c>
      <c r="AV17" s="39">
        <f>TRUNC(IF((AT17/AS17)&gt;1.2,"120%",(AT17/AS17)),2)</f>
        <v>0.09</v>
      </c>
      <c r="AX17" s="67"/>
      <c r="AY17" s="48"/>
      <c r="AZ17" s="8"/>
      <c r="BA17" s="9"/>
    </row>
    <row r="18" spans="2:53" ht="13" thickTop="1" x14ac:dyDescent="0.15">
      <c r="B18" s="18">
        <v>1000</v>
      </c>
      <c r="C18" s="1" t="s">
        <v>105</v>
      </c>
      <c r="E18" s="22">
        <v>0.2</v>
      </c>
      <c r="F18" s="23">
        <f>IF(ISERROR(VLOOKUP($B18,[1]Hedef!$A$4:$ES$45409,61,0)),0,VLOOKUP($B18,[1]Hedef!$A$4:$ES$45409,61,0))</f>
        <v>1.4200000000000001E-2</v>
      </c>
      <c r="G18" s="23">
        <f t="shared" si="0"/>
        <v>0.18580000000000002</v>
      </c>
      <c r="H18" s="80">
        <f t="shared" ref="H18:H21" si="42">TRUNC(IF((F18/E18)&gt;1.2,"120%",(F18/E18)),2)</f>
        <v>7.0000000000000007E-2</v>
      </c>
      <c r="J18" s="44">
        <v>0.19160199999999999</v>
      </c>
      <c r="K18" s="11">
        <f>IF(ISERROR((F18-J18)/J18),0,(F18-J18)/J18)</f>
        <v>-0.925888038746986</v>
      </c>
      <c r="M18" s="22">
        <v>0.2</v>
      </c>
      <c r="N18" s="23">
        <f>IF(ISERROR(VLOOKUP($B18,[1]Hedef!$A$4:$ES$45409,65,0)),0,VLOOKUP($B18,[1]Hedef!$A$4:$ES$45409,65,0))</f>
        <v>2.035E-2</v>
      </c>
      <c r="O18" s="23">
        <f>IF((M18-N18)&lt;0, "-", (M18-N18))</f>
        <v>0.17965</v>
      </c>
      <c r="P18" s="80">
        <f t="shared" ref="P18:P21" si="43">TRUNC(IF((N18/M18)&gt;1.2,"120%",(N18/M18)),2)</f>
        <v>0.1</v>
      </c>
      <c r="R18" s="44">
        <v>0.171186</v>
      </c>
      <c r="S18" s="11">
        <f>IF(ISERROR((N18-R18)/R18),0,(N18-R18)/R18)</f>
        <v>-0.8811234563574124</v>
      </c>
      <c r="U18" s="22">
        <v>0.43</v>
      </c>
      <c r="V18" s="23">
        <f>IF(ISERROR(VLOOKUP($B18,[1]Hedef!$A$4:$ES$45409,59,0)),0,VLOOKUP($B18,[1]Hedef!$A$4:$ES$45409,59,0))</f>
        <v>2.8550000000000002E-2</v>
      </c>
      <c r="W18" s="23">
        <f>IF((U18-V18)&lt;0, "-", (U18-V18))</f>
        <v>0.40144999999999997</v>
      </c>
      <c r="X18" s="80">
        <f t="shared" ref="X18:X21" si="44">TRUNC(IF((V18/U18)&gt;1.2,"120%",(V18/U18)),2)</f>
        <v>0.06</v>
      </c>
      <c r="Z18" s="44">
        <v>0.44023200000000001</v>
      </c>
      <c r="AA18" s="11">
        <f>IF(ISERROR((V18-Z18)/Z18),0,(V18-Z18)/Z18)</f>
        <v>-0.9351478311435788</v>
      </c>
      <c r="AB18" s="72"/>
      <c r="AC18" s="22">
        <v>0.35</v>
      </c>
      <c r="AD18" s="23">
        <f>IF(ISERROR(VLOOKUP($B18,[1]Hedef!$A$4:$ES$45409,67,0)),0,VLOOKUP($B18,[1]Hedef!$A$4:$ES$45409,67,0))</f>
        <v>1.7599999999999998E-2</v>
      </c>
      <c r="AE18" s="23">
        <f>IF((AC18-AD18)&lt;0, "-", (AC18-AD18))</f>
        <v>0.33239999999999997</v>
      </c>
      <c r="AF18" s="80">
        <f t="shared" ref="AF18:AF21" si="45">TRUNC(IF((AD18/AC18)&gt;1.2,"120%",(AD18/AC18)),2)</f>
        <v>0.05</v>
      </c>
      <c r="AH18" s="44">
        <v>0.35893800000000003</v>
      </c>
      <c r="AI18" s="11">
        <f>IF(ISERROR((AD18-AH18)/AH18),0,(AD18-AH18)/AH18)</f>
        <v>-0.95096646217452596</v>
      </c>
      <c r="AJ18" s="72"/>
      <c r="AK18" s="22">
        <v>0.25</v>
      </c>
      <c r="AL18" s="23">
        <f>IF(ISERROR(VLOOKUP($B18,[1]Hedef!$A$4:$ES$45409,63,0)),0,VLOOKUP($B18,[1]Hedef!$A$4:$ES$45409,63,0))</f>
        <v>4.9450000000000001E-2</v>
      </c>
      <c r="AM18" s="23">
        <f>IF((AK18-AL18)&lt;0, "-", (AK18-AL18))</f>
        <v>0.20055000000000001</v>
      </c>
      <c r="AN18" s="80">
        <f t="shared" ref="AN18:AN21" si="46">TRUNC(IF((AL18/AK18)&gt;1.2,"120%",(AL18/AK18)),2)</f>
        <v>0.19</v>
      </c>
      <c r="AP18" s="44">
        <v>0.22093200000000002</v>
      </c>
      <c r="AQ18" s="11">
        <f>IF(ISERROR((AL18-AP18)/AP18),0,(AL18-AP18)/AP18)</f>
        <v>-0.77617547480672788</v>
      </c>
      <c r="AS18" s="22">
        <f t="shared" si="13"/>
        <v>1.43</v>
      </c>
      <c r="AT18" s="23">
        <f>IF(ISERROR(VLOOKUP($B18,[1]Hedef!$A$4:$ES$45409,71,0)),0,VLOOKUP($B18,[1]Hedef!$A$4:$ES$45409,71,0))</f>
        <v>0.13045000000000001</v>
      </c>
      <c r="AU18" s="23">
        <f>IF((AS18-AT18)&lt;0, "-", (AS18-AT18))</f>
        <v>1.29955</v>
      </c>
      <c r="AV18" s="80">
        <f t="shared" ref="AV18:AV21" si="47">TRUNC(IF((AT18/AS18)&gt;1.2,"120%",(AT18/AS18)),2)</f>
        <v>0.09</v>
      </c>
      <c r="AX18" s="44">
        <f t="shared" ref="AX18:AX19" si="48">+AP18+AH18+Z18+R18+J18</f>
        <v>1.3828900000000002</v>
      </c>
      <c r="AY18" s="11">
        <f>IF(ISERROR((AT18-AX18)/AX18),0,(AT18-AX18)/AX18)</f>
        <v>-0.90566856366016102</v>
      </c>
      <c r="AZ18" s="12">
        <f>AS18-'GENEL HEDEF'!BY18</f>
        <v>0</v>
      </c>
      <c r="BA18" s="15">
        <f t="shared" si="15"/>
        <v>3.0000000000000512E-4</v>
      </c>
    </row>
    <row r="19" spans="2:53" ht="13" thickBot="1" x14ac:dyDescent="0.2">
      <c r="B19" s="18">
        <v>2000</v>
      </c>
      <c r="C19" s="1" t="s">
        <v>12</v>
      </c>
      <c r="E19" s="22">
        <v>0.06</v>
      </c>
      <c r="F19" s="23">
        <f>IF(ISERROR(VLOOKUP($B19,[1]Hedef!$A$4:$ES$45409,61,0)),0,VLOOKUP($B19,[1]Hedef!$A$4:$ES$45409,61,0))</f>
        <v>2.5300000000000001E-3</v>
      </c>
      <c r="G19" s="23">
        <f t="shared" si="0"/>
        <v>5.747E-2</v>
      </c>
      <c r="H19" s="80">
        <f t="shared" si="42"/>
        <v>0.04</v>
      </c>
      <c r="J19" s="44">
        <v>4.8239999999999998E-2</v>
      </c>
      <c r="K19" s="11">
        <f>IF(ISERROR((F19-J19)/J19),0,(F19-J19)/J19)</f>
        <v>-0.94755389718076288</v>
      </c>
      <c r="M19" s="22">
        <v>0.06</v>
      </c>
      <c r="N19" s="23">
        <f>IF(ISERROR(VLOOKUP($B19,[1]Hedef!$A$4:$ES$45409,65,0)),0,VLOOKUP($B19,[1]Hedef!$A$4:$ES$45409,65,0))</f>
        <v>1.2760000000000001E-2</v>
      </c>
      <c r="O19" s="23">
        <f>IF((M19-N19)&lt;0, "-", (M19-N19))</f>
        <v>4.7239999999999997E-2</v>
      </c>
      <c r="P19" s="80">
        <f t="shared" si="43"/>
        <v>0.21</v>
      </c>
      <c r="R19" s="44">
        <v>4.1725999999999999E-2</v>
      </c>
      <c r="S19" s="11">
        <f>IF(ISERROR((N19-R19)/R19),0,(N19-R19)/R19)</f>
        <v>-0.6941954656569046</v>
      </c>
      <c r="U19" s="22">
        <v>7.0000000000000007E-2</v>
      </c>
      <c r="V19" s="23">
        <f>IF(ISERROR(VLOOKUP($B19,[1]Hedef!$A$4:$ES$45409,59,0)),0,VLOOKUP($B19,[1]Hedef!$A$4:$ES$45409,59,0))</f>
        <v>8.8699999999999994E-3</v>
      </c>
      <c r="W19" s="23">
        <f>IF((U19-V19)&lt;0, "-", (U19-V19))</f>
        <v>6.1130000000000004E-2</v>
      </c>
      <c r="X19" s="80">
        <f t="shared" si="44"/>
        <v>0.12</v>
      </c>
      <c r="Z19" s="44">
        <v>4.8600000000000004E-2</v>
      </c>
      <c r="AA19" s="11">
        <f>IF(ISERROR((V19-Z19)/Z19),0,(V19-Z19)/Z19)</f>
        <v>-0.81748971193415632</v>
      </c>
      <c r="AB19" s="72"/>
      <c r="AC19" s="22">
        <v>0.09</v>
      </c>
      <c r="AD19" s="23">
        <f>IF(ISERROR(VLOOKUP($B19,[1]Hedef!$A$4:$ES$45409,67,0)),0,VLOOKUP($B19,[1]Hedef!$A$4:$ES$45409,67,0))</f>
        <v>1.1470000000000001E-2</v>
      </c>
      <c r="AE19" s="23">
        <f>IF((AC19-AD19)&lt;0, "-", (AC19-AD19))</f>
        <v>7.8529999999999989E-2</v>
      </c>
      <c r="AF19" s="80">
        <f t="shared" si="45"/>
        <v>0.12</v>
      </c>
      <c r="AH19" s="44">
        <v>8.938500000000002E-2</v>
      </c>
      <c r="AI19" s="11">
        <f>IF(ISERROR((AD19-AH19)/AH19),0,(AD19-AH19)/AH19)</f>
        <v>-0.87167869329305803</v>
      </c>
      <c r="AJ19" s="72"/>
      <c r="AK19" s="22">
        <v>0.06</v>
      </c>
      <c r="AL19" s="23">
        <f>IF(ISERROR(VLOOKUP($B19,[1]Hedef!$A$4:$ES$45409,63,0)),0,VLOOKUP($B19,[1]Hedef!$A$4:$ES$45409,63,0))</f>
        <v>1E-3</v>
      </c>
      <c r="AM19" s="23">
        <f>IF((AK19-AL19)&lt;0, "-", (AK19-AL19))</f>
        <v>5.8999999999999997E-2</v>
      </c>
      <c r="AN19" s="80">
        <f t="shared" si="46"/>
        <v>0.01</v>
      </c>
      <c r="AP19" s="44">
        <v>4.1570000000000003E-2</v>
      </c>
      <c r="AQ19" s="11">
        <f>IF(ISERROR((AL19-AP19)/AP19),0,(AL19-AP19)/AP19)</f>
        <v>-0.97594419052201109</v>
      </c>
      <c r="AS19" s="22">
        <f t="shared" si="13"/>
        <v>0.34</v>
      </c>
      <c r="AT19" s="23">
        <f>IF(ISERROR(VLOOKUP($B19,[1]Hedef!$A$4:$ES$45409,71,0)),0,VLOOKUP($B19,[1]Hedef!$A$4:$ES$45409,71,0))</f>
        <v>3.7119999999999993E-2</v>
      </c>
      <c r="AU19" s="23">
        <f>IF((AS19-AT19)&lt;0, "-", (AS19-AT19))</f>
        <v>0.30288000000000004</v>
      </c>
      <c r="AV19" s="80">
        <f t="shared" si="47"/>
        <v>0.1</v>
      </c>
      <c r="AX19" s="44">
        <f t="shared" si="48"/>
        <v>0.26952100000000001</v>
      </c>
      <c r="AY19" s="11">
        <f>IF(ISERROR((AT19-AX19)/AX19),0,(AT19-AX19)/AX19)</f>
        <v>-0.86227418271674572</v>
      </c>
      <c r="AZ19" s="12">
        <f>AS19-'GENEL HEDEF'!BY19</f>
        <v>0</v>
      </c>
      <c r="BA19" s="15">
        <f t="shared" si="15"/>
        <v>4.8999999999999131E-4</v>
      </c>
    </row>
    <row r="20" spans="2:53" ht="14" thickTop="1" thickBot="1" x14ac:dyDescent="0.2">
      <c r="B20" s="18" t="s">
        <v>56</v>
      </c>
      <c r="C20" s="2" t="s">
        <v>13</v>
      </c>
      <c r="E20" s="67">
        <v>0.32</v>
      </c>
      <c r="F20" s="67">
        <f>SUM(F18:F19)</f>
        <v>1.6730000000000002E-2</v>
      </c>
      <c r="G20" s="67">
        <f>SUM(G18:G19)</f>
        <v>0.24327000000000001</v>
      </c>
      <c r="H20" s="39">
        <f t="shared" si="42"/>
        <v>0.05</v>
      </c>
      <c r="I20" s="78"/>
      <c r="J20" s="67"/>
      <c r="K20" s="48"/>
      <c r="L20" s="78"/>
      <c r="M20" s="67">
        <v>0.17499999999999999</v>
      </c>
      <c r="N20" s="67">
        <f>SUM(N18:N19)</f>
        <v>3.3110000000000001E-2</v>
      </c>
      <c r="O20" s="67">
        <f>SUM(O18:O19)</f>
        <v>0.22689000000000001</v>
      </c>
      <c r="P20" s="39">
        <f t="shared" si="43"/>
        <v>0.18</v>
      </c>
      <c r="Q20" s="78"/>
      <c r="R20" s="67"/>
      <c r="S20" s="48"/>
      <c r="T20" s="78"/>
      <c r="U20" s="67">
        <v>0.29499999999999998</v>
      </c>
      <c r="V20" s="67">
        <f>SUM(V18:V19)</f>
        <v>3.7420000000000002E-2</v>
      </c>
      <c r="W20" s="67">
        <f>SUM(W18:W19)</f>
        <v>0.46257999999999999</v>
      </c>
      <c r="X20" s="39">
        <f t="shared" si="44"/>
        <v>0.12</v>
      </c>
      <c r="Y20" s="78"/>
      <c r="Z20" s="67"/>
      <c r="AA20" s="48"/>
      <c r="AB20" s="74"/>
      <c r="AC20" s="67">
        <v>0.26</v>
      </c>
      <c r="AD20" s="67">
        <f>SUM(AD18:AD19)</f>
        <v>2.9069999999999999E-2</v>
      </c>
      <c r="AE20" s="67">
        <f>SUM(AE18:AE19)</f>
        <v>0.41092999999999996</v>
      </c>
      <c r="AF20" s="39">
        <f t="shared" si="45"/>
        <v>0.11</v>
      </c>
      <c r="AG20" s="78"/>
      <c r="AH20" s="67"/>
      <c r="AI20" s="48"/>
      <c r="AJ20" s="74"/>
      <c r="AK20" s="67">
        <v>0.28000000000000003</v>
      </c>
      <c r="AL20" s="67">
        <f>SUM(AL18:AL19)</f>
        <v>5.0450000000000002E-2</v>
      </c>
      <c r="AM20" s="67">
        <f>SUM(AM18:AM19)</f>
        <v>0.25955</v>
      </c>
      <c r="AN20" s="39">
        <f t="shared" si="46"/>
        <v>0.18</v>
      </c>
      <c r="AO20" s="78"/>
      <c r="AP20" s="67"/>
      <c r="AQ20" s="48"/>
      <c r="AR20" s="78"/>
      <c r="AS20" s="67">
        <f>SUM(AS18:AS19)</f>
        <v>1.77</v>
      </c>
      <c r="AT20" s="67">
        <f>SUM(AT18:AT19)</f>
        <v>0.16757</v>
      </c>
      <c r="AU20" s="67">
        <f>SUM(AU18:AU19)</f>
        <v>1.60243</v>
      </c>
      <c r="AV20" s="39">
        <f t="shared" si="47"/>
        <v>0.09</v>
      </c>
      <c r="AX20" s="67"/>
      <c r="AY20" s="48"/>
      <c r="AZ20" s="8"/>
      <c r="BA20" s="9"/>
    </row>
    <row r="21" spans="2:53" ht="14" thickTop="1" thickBot="1" x14ac:dyDescent="0.2">
      <c r="B21" s="18"/>
      <c r="C21" s="2" t="s">
        <v>14</v>
      </c>
      <c r="E21" s="67">
        <v>0.39300000000000002</v>
      </c>
      <c r="F21" s="110">
        <f>F20+F17</f>
        <v>1.6630000000000002E-2</v>
      </c>
      <c r="G21" s="110">
        <f>G20+G17</f>
        <v>0.29337000000000002</v>
      </c>
      <c r="H21" s="39">
        <f t="shared" si="42"/>
        <v>0.04</v>
      </c>
      <c r="I21" s="78"/>
      <c r="J21" s="67"/>
      <c r="K21" s="48"/>
      <c r="L21" s="78"/>
      <c r="M21" s="67">
        <v>0.22699999999999998</v>
      </c>
      <c r="N21" s="110">
        <f>N20+N17</f>
        <v>4.981E-2</v>
      </c>
      <c r="O21" s="110">
        <f>O20+O17</f>
        <v>0.31019000000000002</v>
      </c>
      <c r="P21" s="39">
        <f t="shared" si="43"/>
        <v>0.21</v>
      </c>
      <c r="Q21" s="78"/>
      <c r="R21" s="67"/>
      <c r="S21" s="48"/>
      <c r="T21" s="78"/>
      <c r="U21" s="67">
        <v>0.44700000000000001</v>
      </c>
      <c r="V21" s="110">
        <f>V20+V17</f>
        <v>5.1220000000000002E-2</v>
      </c>
      <c r="W21" s="110">
        <f>W20+W17</f>
        <v>0.53878000000000004</v>
      </c>
      <c r="X21" s="39">
        <f t="shared" si="44"/>
        <v>0.11</v>
      </c>
      <c r="Y21" s="78"/>
      <c r="Z21" s="67"/>
      <c r="AA21" s="48"/>
      <c r="AB21" s="74"/>
      <c r="AC21" s="67">
        <v>0.35699999999999998</v>
      </c>
      <c r="AD21" s="110">
        <f>AD20+AD17</f>
        <v>3.3770000000000001E-2</v>
      </c>
      <c r="AE21" s="110">
        <f>AE20+AE17</f>
        <v>0.53622999999999998</v>
      </c>
      <c r="AF21" s="39">
        <f t="shared" si="45"/>
        <v>0.09</v>
      </c>
      <c r="AG21" s="78"/>
      <c r="AH21" s="67"/>
      <c r="AI21" s="48"/>
      <c r="AJ21" s="74"/>
      <c r="AK21" s="67">
        <v>0.35600000000000004</v>
      </c>
      <c r="AL21" s="110">
        <f>AL20+AL17</f>
        <v>6.1550000000000001E-2</v>
      </c>
      <c r="AM21" s="110">
        <f>AM20+AM17</f>
        <v>0.35844999999999999</v>
      </c>
      <c r="AN21" s="39">
        <f t="shared" si="46"/>
        <v>0.17</v>
      </c>
      <c r="AO21" s="78"/>
      <c r="AP21" s="67"/>
      <c r="AQ21" s="48"/>
      <c r="AR21" s="78"/>
      <c r="AS21" s="67">
        <f>+AS20+AS17</f>
        <v>2.25</v>
      </c>
      <c r="AT21" s="110">
        <f>AT20+AT17</f>
        <v>0.21376999999999999</v>
      </c>
      <c r="AU21" s="110">
        <f>AU20+AU17</f>
        <v>2.0362299999999998</v>
      </c>
      <c r="AV21" s="39">
        <f t="shared" si="47"/>
        <v>0.09</v>
      </c>
      <c r="AX21" s="67"/>
      <c r="AY21" s="48"/>
      <c r="AZ21" s="8"/>
      <c r="BA21" s="9"/>
    </row>
    <row r="22" spans="2:53" ht="13" thickTop="1" x14ac:dyDescent="0.15">
      <c r="B22" s="31">
        <v>6000</v>
      </c>
      <c r="C22" s="1" t="s">
        <v>15</v>
      </c>
      <c r="E22" s="22">
        <v>0.75</v>
      </c>
      <c r="F22" s="23">
        <f>IF(ISERROR(VLOOKUP($B22,[1]Hedef!$A$4:$ES$45409,61,0)),0,VLOOKUP($B22,[1]Hedef!$A$4:$ES$45409,61,0))</f>
        <v>0.25719999999999998</v>
      </c>
      <c r="G22" s="23">
        <f t="shared" ref="G22:G29" si="49">IF((E22-F22)&lt;0, "-", (E22-F22))</f>
        <v>0.49280000000000002</v>
      </c>
      <c r="H22" s="80">
        <f t="shared" ref="H22:H29" si="50">TRUNC(IF((F22/E22)&gt;1.2,"120%",(F22/E22)),2)</f>
        <v>0.34</v>
      </c>
      <c r="J22" s="44">
        <v>0.76100000000000001</v>
      </c>
      <c r="K22" s="11">
        <f t="shared" ref="K22:K56" si="51">IF(ISERROR((F22-J22)/J22),0,(F22-J22)/J22)</f>
        <v>-0.66202365308804212</v>
      </c>
      <c r="M22" s="22">
        <v>1.25</v>
      </c>
      <c r="N22" s="23">
        <f>IF(ISERROR(VLOOKUP($B22,[1]Hedef!$A$4:$ES$45409,65,0)),0,VLOOKUP($B22,[1]Hedef!$A$4:$ES$45409,65,0))</f>
        <v>0.1656</v>
      </c>
      <c r="O22" s="23">
        <f t="shared" ref="O22:O29" si="52">IF((M22-N22)&lt;0, "-", (M22-N22))</f>
        <v>1.0844</v>
      </c>
      <c r="P22" s="80">
        <f t="shared" ref="P22:P29" si="53">TRUNC(IF((N22/M22)&gt;1.2,"120%",(N22/M22)),2)</f>
        <v>0.13</v>
      </c>
      <c r="R22" s="44">
        <v>1.3022</v>
      </c>
      <c r="S22" s="11">
        <f t="shared" ref="S22:S56" si="54">IF(ISERROR((N22-R22)/R22),0,(N22-R22)/R22)</f>
        <v>-0.87283059437874366</v>
      </c>
      <c r="U22" s="22">
        <v>2.79</v>
      </c>
      <c r="V22" s="23">
        <f>IF(ISERROR(VLOOKUP($B22,[1]Hedef!$A$4:$ES$45409,59,0)),0,VLOOKUP($B22,[1]Hedef!$A$4:$ES$45409,59,0))</f>
        <v>0.12079999999999999</v>
      </c>
      <c r="W22" s="23">
        <f t="shared" ref="W22:W29" si="55">IF((U22-V22)&lt;0, "-", (U22-V22))</f>
        <v>2.6692</v>
      </c>
      <c r="X22" s="80">
        <f t="shared" ref="X22:X29" si="56">TRUNC(IF((V22/U22)&gt;1.2,"120%",(V22/U22)),2)</f>
        <v>0.04</v>
      </c>
      <c r="Z22" s="44">
        <v>2.9624000000000006</v>
      </c>
      <c r="AA22" s="11">
        <f t="shared" ref="AA22:AA56" si="57">IF(ISERROR((V22-Z22)/Z22),0,(V22-Z22)/Z22)</f>
        <v>-0.95922225222792334</v>
      </c>
      <c r="AB22" s="72"/>
      <c r="AC22" s="22">
        <v>1.35</v>
      </c>
      <c r="AD22" s="23">
        <f>IF(ISERROR(VLOOKUP($B22,[1]Hedef!$A$4:$ES$45409,67,0)),0,VLOOKUP($B22,[1]Hedef!$A$4:$ES$45409,67,0))</f>
        <v>0.15359999999999999</v>
      </c>
      <c r="AE22" s="23">
        <f t="shared" ref="AE22:AE29" si="58">IF((AC22-AD22)&lt;0, "-", (AC22-AD22))</f>
        <v>1.1964000000000001</v>
      </c>
      <c r="AF22" s="80">
        <f t="shared" ref="AF22:AF29" si="59">TRUNC(IF((AD22/AC22)&gt;1.2,"120%",(AD22/AC22)),2)</f>
        <v>0.11</v>
      </c>
      <c r="AH22" s="44">
        <v>1.3902000000000001</v>
      </c>
      <c r="AI22" s="11">
        <f t="shared" ref="AI22:AI29" si="60">IF(ISERROR((AD22-AH22)/AH22),0,(AD22-AH22)/AH22)</f>
        <v>-0.88951230038843332</v>
      </c>
      <c r="AJ22" s="72"/>
      <c r="AK22" s="22">
        <v>1.3</v>
      </c>
      <c r="AL22" s="23">
        <f>IF(ISERROR(VLOOKUP($B22,[1]Hedef!$A$4:$ES$45409,63,0)),0,VLOOKUP($B22,[1]Hedef!$A$4:$ES$45409,63,0))</f>
        <v>9.5599999999999991E-2</v>
      </c>
      <c r="AM22" s="23">
        <f t="shared" ref="AM22:AM29" si="61">IF((AK22-AL22)&lt;0, "-", (AK22-AL22))</f>
        <v>1.2044000000000001</v>
      </c>
      <c r="AN22" s="80">
        <f t="shared" ref="AN22:AN29" si="62">TRUNC(IF((AL22/AK22)&gt;1.2,"120%",(AL22/AK22)),2)</f>
        <v>7.0000000000000007E-2</v>
      </c>
      <c r="AP22" s="44">
        <v>1.3288000000000002</v>
      </c>
      <c r="AQ22" s="11">
        <f t="shared" ref="AQ22:AQ56" si="63">IF(ISERROR((AL22-AP22)/AP22),0,(AL22-AP22)/AP22)</f>
        <v>-0.92805538832028911</v>
      </c>
      <c r="AS22" s="22">
        <f t="shared" ref="AS22:AS29" si="64">AK22+AC22+U22+M22+E22</f>
        <v>7.44</v>
      </c>
      <c r="AT22" s="23">
        <f>IF(ISERROR(VLOOKUP($B22,[1]Hedef!$A$4:$ES$45409,71,0)),0,VLOOKUP($B22,[1]Hedef!$A$4:$ES$45409,71,0))</f>
        <v>0.79519999999999991</v>
      </c>
      <c r="AU22" s="23">
        <f t="shared" ref="AU22:AU29" si="65">IF((AS22-AT22)&lt;0, "-", (AS22-AT22))</f>
        <v>6.6448</v>
      </c>
      <c r="AV22" s="80">
        <f t="shared" ref="AV22:AV29" si="66">TRUNC(IF((AT22/AS22)&gt;1.2,"120%",(AT22/AS22)),2)</f>
        <v>0.1</v>
      </c>
      <c r="AX22" s="44">
        <f t="shared" ref="AX22:AX29" si="67">+AP22+AH22+Z22+R22+J22</f>
        <v>7.744600000000001</v>
      </c>
      <c r="AY22" s="11">
        <f t="shared" ref="AY22:AY56" si="68">IF(ISERROR((AT22-AX22)/AX22),0,(AT22-AX22)/AX22)</f>
        <v>-0.89732200500994241</v>
      </c>
      <c r="AZ22" s="12">
        <f>AS22-'GENEL HEDEF'!BY22</f>
        <v>0</v>
      </c>
      <c r="BA22" s="15">
        <f t="shared" ref="BA22:BA29" si="69">AT22-AL22-AD22-V22-N22-F22</f>
        <v>2.3999999999999577E-3</v>
      </c>
    </row>
    <row r="23" spans="2:53" x14ac:dyDescent="0.15">
      <c r="B23" s="31">
        <v>10</v>
      </c>
      <c r="C23" s="1" t="s">
        <v>16</v>
      </c>
      <c r="E23" s="22">
        <v>1.3</v>
      </c>
      <c r="F23" s="23">
        <f>IF(ISERROR(VLOOKUP($B23,[1]Hedef!$A$4:$ES$45409,61,0)),0,VLOOKUP($B23,[1]Hedef!$A$4:$ES$45409,61,0))</f>
        <v>0.14879999999999999</v>
      </c>
      <c r="G23" s="23">
        <f t="shared" si="49"/>
        <v>1.1512</v>
      </c>
      <c r="H23" s="80">
        <f t="shared" si="50"/>
        <v>0.11</v>
      </c>
      <c r="J23" s="44">
        <v>1.2319</v>
      </c>
      <c r="K23" s="11">
        <f t="shared" si="51"/>
        <v>-0.87921097491679512</v>
      </c>
      <c r="M23" s="22">
        <v>2.4</v>
      </c>
      <c r="N23" s="23">
        <f>IF(ISERROR(VLOOKUP($B23,[1]Hedef!$A$4:$ES$45409,65,0)),0,VLOOKUP($B23,[1]Hedef!$A$4:$ES$45409,65,0))</f>
        <v>0.1681</v>
      </c>
      <c r="O23" s="23">
        <f t="shared" si="52"/>
        <v>2.2319</v>
      </c>
      <c r="P23" s="80">
        <f t="shared" si="53"/>
        <v>7.0000000000000007E-2</v>
      </c>
      <c r="R23" s="44">
        <v>2.1739500000000005</v>
      </c>
      <c r="S23" s="11">
        <f t="shared" si="54"/>
        <v>-0.92267531451965323</v>
      </c>
      <c r="U23" s="22">
        <v>2.2000000000000002</v>
      </c>
      <c r="V23" s="23">
        <f>IF(ISERROR(VLOOKUP($B23,[1]Hedef!$A$4:$ES$45409,59,0)),0,VLOOKUP($B23,[1]Hedef!$A$4:$ES$45409,59,0))</f>
        <v>0.13155</v>
      </c>
      <c r="W23" s="23">
        <f t="shared" si="55"/>
        <v>2.0684500000000003</v>
      </c>
      <c r="X23" s="80">
        <f t="shared" si="56"/>
        <v>0.05</v>
      </c>
      <c r="Z23" s="44">
        <v>1.9891000000000001</v>
      </c>
      <c r="AA23" s="11">
        <f t="shared" si="57"/>
        <v>-0.93386456186214872</v>
      </c>
      <c r="AB23" s="72"/>
      <c r="AC23" s="22">
        <v>3.8</v>
      </c>
      <c r="AD23" s="23">
        <f>IF(ISERROR(VLOOKUP($B23,[1]Hedef!$A$4:$ES$45409,67,0)),0,VLOOKUP($B23,[1]Hedef!$A$4:$ES$45409,67,0))</f>
        <v>0.32325000000000004</v>
      </c>
      <c r="AE23" s="23">
        <f t="shared" si="58"/>
        <v>3.47675</v>
      </c>
      <c r="AF23" s="80">
        <f t="shared" si="59"/>
        <v>0.08</v>
      </c>
      <c r="AH23" s="44">
        <v>3.4301000000000008</v>
      </c>
      <c r="AI23" s="11">
        <f t="shared" si="60"/>
        <v>-0.9057607649922742</v>
      </c>
      <c r="AJ23" s="72"/>
      <c r="AK23" s="22">
        <v>2.9</v>
      </c>
      <c r="AL23" s="23">
        <f>IF(ISERROR(VLOOKUP($B23,[1]Hedef!$A$4:$ES$45409,63,0)),0,VLOOKUP($B23,[1]Hedef!$A$4:$ES$45409,63,0))</f>
        <v>0.13169999999999998</v>
      </c>
      <c r="AM23" s="23">
        <f t="shared" si="61"/>
        <v>2.7683</v>
      </c>
      <c r="AN23" s="80">
        <f t="shared" si="62"/>
        <v>0.04</v>
      </c>
      <c r="AP23" s="44">
        <v>2.5411500000000005</v>
      </c>
      <c r="AQ23" s="11">
        <f t="shared" si="63"/>
        <v>-0.94817307124727002</v>
      </c>
      <c r="AS23" s="22">
        <f t="shared" si="64"/>
        <v>12.6</v>
      </c>
      <c r="AT23" s="23">
        <f>IF(ISERROR(VLOOKUP($B23,[1]Hedef!$A$4:$ES$45409,71,0)),0,VLOOKUP($B23,[1]Hedef!$A$4:$ES$45409,71,0))</f>
        <v>0.91669999999999996</v>
      </c>
      <c r="AU23" s="23">
        <f t="shared" si="65"/>
        <v>11.683299999999999</v>
      </c>
      <c r="AV23" s="80">
        <f t="shared" si="66"/>
        <v>7.0000000000000007E-2</v>
      </c>
      <c r="AX23" s="44">
        <f t="shared" si="67"/>
        <v>11.366200000000003</v>
      </c>
      <c r="AY23" s="11">
        <f t="shared" si="68"/>
        <v>-0.91934859495697763</v>
      </c>
      <c r="AZ23" s="12">
        <f>AS23-'GENEL HEDEF'!BY23</f>
        <v>0</v>
      </c>
      <c r="BA23" s="15">
        <f t="shared" si="69"/>
        <v>1.3299999999999895E-2</v>
      </c>
    </row>
    <row r="24" spans="2:53" x14ac:dyDescent="0.15">
      <c r="B24" s="31">
        <v>60</v>
      </c>
      <c r="C24" s="1" t="s">
        <v>62</v>
      </c>
      <c r="E24" s="22">
        <v>0.4</v>
      </c>
      <c r="F24" s="23">
        <f>IF(ISERROR(VLOOKUP($B24,[1]Hedef!$A$4:$ES$45409,61,0)),0,VLOOKUP($B24,[1]Hedef!$A$4:$ES$45409,61,0))</f>
        <v>0.12479999999999999</v>
      </c>
      <c r="G24" s="23">
        <f>IF((E24-F24)&lt;0, "-", (E24-F24))</f>
        <v>0.2752</v>
      </c>
      <c r="H24" s="80">
        <f t="shared" si="50"/>
        <v>0.31</v>
      </c>
      <c r="J24" s="44">
        <v>0.40427999999999997</v>
      </c>
      <c r="K24" s="11">
        <f>IF(ISERROR((F24-J24)/J24),0,(F24-J24)/J24)</f>
        <v>-0.69130305728702868</v>
      </c>
      <c r="M24" s="22">
        <v>0.15</v>
      </c>
      <c r="N24" s="23">
        <f>IF(ISERROR(VLOOKUP($B24,[1]Hedef!$A$4:$ES$45409,65,0)),0,VLOOKUP($B24,[1]Hedef!$A$4:$ES$45409,65,0))</f>
        <v>6.5200000000000008E-2</v>
      </c>
      <c r="O24" s="23">
        <f>IF((M24-N24)&lt;0, "-", (M24-N24))</f>
        <v>8.4799999999999986E-2</v>
      </c>
      <c r="P24" s="80">
        <f t="shared" si="53"/>
        <v>0.43</v>
      </c>
      <c r="R24" s="44">
        <v>0.1216</v>
      </c>
      <c r="S24" s="11">
        <f>IF(ISERROR((N24-R24)/R24),0,(N24-R24)/R24)</f>
        <v>-0.46381578947368413</v>
      </c>
      <c r="U24" s="22">
        <v>0.35</v>
      </c>
      <c r="V24" s="23">
        <f>IF(ISERROR(VLOOKUP($B24,[1]Hedef!$A$4:$ES$45409,59,0)),0,VLOOKUP($B24,[1]Hedef!$A$4:$ES$45409,59,0))</f>
        <v>7.4000000000000003E-3</v>
      </c>
      <c r="W24" s="23">
        <f>IF((U24-V24)&lt;0, "-", (U24-V24))</f>
        <v>0.34259999999999996</v>
      </c>
      <c r="X24" s="80">
        <f t="shared" si="56"/>
        <v>0.02</v>
      </c>
      <c r="Z24" s="44">
        <v>0.35640000000000005</v>
      </c>
      <c r="AA24" s="11">
        <f>IF(ISERROR((V24-Z24)/Z24),0,(V24-Z24)/Z24)</f>
        <v>-0.97923681257014583</v>
      </c>
      <c r="AB24" s="72"/>
      <c r="AC24" s="22">
        <v>0.3</v>
      </c>
      <c r="AD24" s="23">
        <f>IF(ISERROR(VLOOKUP($B24,[1]Hedef!$A$4:$ES$45409,67,0)),0,VLOOKUP($B24,[1]Hedef!$A$4:$ES$45409,67,0))</f>
        <v>7.7000000000000002E-3</v>
      </c>
      <c r="AE24" s="23">
        <f>IF((AC24-AD24)&lt;0, "-", (AC24-AD24))</f>
        <v>0.2923</v>
      </c>
      <c r="AF24" s="80">
        <f t="shared" si="59"/>
        <v>0.02</v>
      </c>
      <c r="AH24" s="44">
        <v>0.29250000000000004</v>
      </c>
      <c r="AI24" s="11">
        <f>IF(ISERROR((AD24-AH24)/AH24),0,(AD24-AH24)/AH24)</f>
        <v>-0.9736752136752137</v>
      </c>
      <c r="AJ24" s="72"/>
      <c r="AK24" s="22">
        <v>0.25</v>
      </c>
      <c r="AL24" s="23">
        <f>IF(ISERROR(VLOOKUP($B24,[1]Hedef!$A$4:$ES$45409,63,0)),0,VLOOKUP($B24,[1]Hedef!$A$4:$ES$45409,63,0))</f>
        <v>5.3600000000000009E-2</v>
      </c>
      <c r="AM24" s="23">
        <f>IF((AK24-AL24)&lt;0, "-", (AK24-AL24))</f>
        <v>0.19639999999999999</v>
      </c>
      <c r="AN24" s="80">
        <f t="shared" si="62"/>
        <v>0.21</v>
      </c>
      <c r="AP24" s="44">
        <v>0.24294000000000002</v>
      </c>
      <c r="AQ24" s="11">
        <f>IF(ISERROR((AL24-AP24)/AP24),0,(AL24-AP24)/AP24)</f>
        <v>-0.77936939161932983</v>
      </c>
      <c r="AS24" s="22">
        <f t="shared" si="64"/>
        <v>1.4500000000000002</v>
      </c>
      <c r="AT24" s="23">
        <f>IF(ISERROR(VLOOKUP($B24,[1]Hedef!$A$4:$ES$45409,71,0)),0,VLOOKUP($B24,[1]Hedef!$A$4:$ES$45409,71,0))</f>
        <v>0.25869999999999999</v>
      </c>
      <c r="AU24" s="23">
        <f>IF((AS24-AT24)&lt;0, "-", (AS24-AT24))</f>
        <v>1.1913000000000002</v>
      </c>
      <c r="AV24" s="80">
        <f t="shared" si="66"/>
        <v>0.17</v>
      </c>
      <c r="AX24" s="44">
        <f t="shared" si="67"/>
        <v>1.4177200000000001</v>
      </c>
      <c r="AY24" s="11">
        <f>IF(ISERROR((AT24-AX24)/AX24),0,(AT24-AX24)/AX24)</f>
        <v>-0.8175239116327625</v>
      </c>
      <c r="AZ24" s="12">
        <f>AS24-'GENEL HEDEF'!BY24</f>
        <v>0</v>
      </c>
      <c r="BA24" s="15">
        <f t="shared" si="69"/>
        <v>0</v>
      </c>
    </row>
    <row r="25" spans="2:53" x14ac:dyDescent="0.15">
      <c r="B25" s="31">
        <v>45</v>
      </c>
      <c r="C25" s="1" t="s">
        <v>17</v>
      </c>
      <c r="E25" s="22">
        <v>1.65</v>
      </c>
      <c r="F25" s="23">
        <f>IF(ISERROR(VLOOKUP($B25,[1]Hedef!$A$4:$ES$45409,61,0)),0,VLOOKUP($B25,[1]Hedef!$A$4:$ES$45409,61,0))</f>
        <v>0.23</v>
      </c>
      <c r="G25" s="23">
        <f t="shared" si="49"/>
        <v>1.42</v>
      </c>
      <c r="H25" s="80">
        <f t="shared" si="50"/>
        <v>0.13</v>
      </c>
      <c r="J25" s="44">
        <v>1.145</v>
      </c>
      <c r="K25" s="11">
        <f t="shared" si="51"/>
        <v>-0.79912663755458513</v>
      </c>
      <c r="M25" s="22">
        <v>1</v>
      </c>
      <c r="N25" s="23">
        <f>IF(ISERROR(VLOOKUP($B25,[1]Hedef!$A$4:$ES$45409,65,0)),0,VLOOKUP($B25,[1]Hedef!$A$4:$ES$45409,65,0))</f>
        <v>0.33399999999999996</v>
      </c>
      <c r="O25" s="23">
        <f t="shared" si="52"/>
        <v>0.66600000000000004</v>
      </c>
      <c r="P25" s="80">
        <f t="shared" si="53"/>
        <v>0.33</v>
      </c>
      <c r="R25" s="44">
        <v>0.64149999999999985</v>
      </c>
      <c r="S25" s="11">
        <f t="shared" si="54"/>
        <v>-0.47934528448947772</v>
      </c>
      <c r="U25" s="22">
        <v>1.3</v>
      </c>
      <c r="V25" s="23">
        <f>IF(ISERROR(VLOOKUP($B25,[1]Hedef!$A$4:$ES$45409,59,0)),0,VLOOKUP($B25,[1]Hedef!$A$4:$ES$45409,59,0))</f>
        <v>0.10550000000000001</v>
      </c>
      <c r="W25" s="23">
        <f t="shared" si="55"/>
        <v>1.1945000000000001</v>
      </c>
      <c r="X25" s="80">
        <f t="shared" si="56"/>
        <v>0.08</v>
      </c>
      <c r="Z25" s="44">
        <v>0.95649999999999991</v>
      </c>
      <c r="AA25" s="11">
        <f t="shared" si="57"/>
        <v>-0.88970203868269726</v>
      </c>
      <c r="AB25" s="72"/>
      <c r="AC25" s="22">
        <v>2.9</v>
      </c>
      <c r="AD25" s="23">
        <f>IF(ISERROR(VLOOKUP($B25,[1]Hedef!$A$4:$ES$45409,67,0)),0,VLOOKUP($B25,[1]Hedef!$A$4:$ES$45409,67,0))</f>
        <v>0.27100000000000002</v>
      </c>
      <c r="AE25" s="23">
        <f t="shared" si="58"/>
        <v>2.629</v>
      </c>
      <c r="AF25" s="80">
        <f t="shared" si="59"/>
        <v>0.09</v>
      </c>
      <c r="AH25" s="44">
        <v>2.0009999999999994</v>
      </c>
      <c r="AI25" s="11">
        <f t="shared" si="60"/>
        <v>-0.86456771614192907</v>
      </c>
      <c r="AJ25" s="72"/>
      <c r="AK25" s="22">
        <v>2.4700000000000002</v>
      </c>
      <c r="AL25" s="23">
        <f>IF(ISERROR(VLOOKUP($B25,[1]Hedef!$A$4:$ES$45409,63,0)),0,VLOOKUP($B25,[1]Hedef!$A$4:$ES$45409,63,0))</f>
        <v>0.57750000000000001</v>
      </c>
      <c r="AM25" s="23">
        <f t="shared" si="61"/>
        <v>1.8925000000000001</v>
      </c>
      <c r="AN25" s="80">
        <f t="shared" si="62"/>
        <v>0.23</v>
      </c>
      <c r="AP25" s="44">
        <v>1.7074999999999998</v>
      </c>
      <c r="AQ25" s="11">
        <f t="shared" si="63"/>
        <v>-0.66178623718887264</v>
      </c>
      <c r="AS25" s="22">
        <f t="shared" si="64"/>
        <v>9.32</v>
      </c>
      <c r="AT25" s="23">
        <f>IF(ISERROR(VLOOKUP($B25,[1]Hedef!$A$4:$ES$45409,71,0)),0,VLOOKUP($B25,[1]Hedef!$A$4:$ES$45409,71,0))</f>
        <v>1.5355000000000001</v>
      </c>
      <c r="AU25" s="23">
        <f t="shared" si="65"/>
        <v>7.7845000000000004</v>
      </c>
      <c r="AV25" s="80">
        <f t="shared" si="66"/>
        <v>0.16</v>
      </c>
      <c r="AX25" s="44">
        <f t="shared" si="67"/>
        <v>6.4514999999999993</v>
      </c>
      <c r="AY25" s="11">
        <f t="shared" si="68"/>
        <v>-0.76199333488336041</v>
      </c>
      <c r="AZ25" s="12">
        <f>AS25-'GENEL HEDEF'!BY25</f>
        <v>0</v>
      </c>
      <c r="BA25" s="15">
        <f t="shared" si="69"/>
        <v>1.7500000000000043E-2</v>
      </c>
    </row>
    <row r="26" spans="2:53" x14ac:dyDescent="0.15">
      <c r="B26" s="31">
        <v>12</v>
      </c>
      <c r="C26" s="1" t="s">
        <v>18</v>
      </c>
      <c r="E26" s="22">
        <v>0.1</v>
      </c>
      <c r="F26" s="23">
        <f>IF(ISERROR(VLOOKUP($B26,[1]Hedef!$A$4:$ES$45409,61,0)),0,VLOOKUP($B26,[1]Hedef!$A$4:$ES$45409,61,0))</f>
        <v>0.01</v>
      </c>
      <c r="G26" s="23">
        <f t="shared" si="49"/>
        <v>9.0000000000000011E-2</v>
      </c>
      <c r="H26" s="80">
        <f t="shared" si="50"/>
        <v>0.1</v>
      </c>
      <c r="J26" s="44">
        <v>7.2150000000000006E-2</v>
      </c>
      <c r="K26" s="11">
        <f t="shared" si="51"/>
        <v>-0.86139986139986136</v>
      </c>
      <c r="M26" s="22">
        <v>0.12</v>
      </c>
      <c r="N26" s="23">
        <f>IF(ISERROR(VLOOKUP($B26,[1]Hedef!$A$4:$ES$45409,65,0)),0,VLOOKUP($B26,[1]Hedef!$A$4:$ES$45409,65,0))</f>
        <v>1.8800000000000001E-2</v>
      </c>
      <c r="O26" s="23">
        <f t="shared" si="52"/>
        <v>0.1012</v>
      </c>
      <c r="P26" s="80">
        <f t="shared" si="53"/>
        <v>0.15</v>
      </c>
      <c r="R26" s="44">
        <v>7.2800000000000004E-2</v>
      </c>
      <c r="S26" s="11">
        <f t="shared" si="54"/>
        <v>-0.74175824175824179</v>
      </c>
      <c r="U26" s="22">
        <v>0.05</v>
      </c>
      <c r="V26" s="23">
        <f>IF(ISERROR(VLOOKUP($B26,[1]Hedef!$A$4:$ES$45409,59,0)),0,VLOOKUP($B26,[1]Hedef!$A$4:$ES$45409,59,0))</f>
        <v>0</v>
      </c>
      <c r="W26" s="23">
        <f t="shared" si="55"/>
        <v>0.05</v>
      </c>
      <c r="X26" s="80">
        <f t="shared" si="56"/>
        <v>0</v>
      </c>
      <c r="Z26" s="44">
        <v>-4.8199999999999993E-2</v>
      </c>
      <c r="AA26" s="11">
        <f t="shared" si="57"/>
        <v>-1</v>
      </c>
      <c r="AB26" s="72"/>
      <c r="AC26" s="22">
        <v>0.05</v>
      </c>
      <c r="AD26" s="23">
        <f>IF(ISERROR(VLOOKUP($B26,[1]Hedef!$A$4:$ES$45409,67,0)),0,VLOOKUP($B26,[1]Hedef!$A$4:$ES$45409,67,0))</f>
        <v>1.3600000000000001E-2</v>
      </c>
      <c r="AE26" s="23">
        <f t="shared" si="58"/>
        <v>3.6400000000000002E-2</v>
      </c>
      <c r="AF26" s="80">
        <f t="shared" si="59"/>
        <v>0.27</v>
      </c>
      <c r="AH26" s="44">
        <v>2.7E-2</v>
      </c>
      <c r="AI26" s="11">
        <f t="shared" si="60"/>
        <v>-0.49629629629629624</v>
      </c>
      <c r="AJ26" s="72"/>
      <c r="AK26" s="22">
        <v>0.16</v>
      </c>
      <c r="AL26" s="23">
        <f>IF(ISERROR(VLOOKUP($B26,[1]Hedef!$A$4:$ES$45409,63,0)),0,VLOOKUP($B26,[1]Hedef!$A$4:$ES$45409,63,0))</f>
        <v>4.4200000000000003E-2</v>
      </c>
      <c r="AM26" s="23">
        <f t="shared" si="61"/>
        <v>0.1158</v>
      </c>
      <c r="AN26" s="80">
        <f t="shared" si="62"/>
        <v>0.27</v>
      </c>
      <c r="AP26" s="44">
        <v>0.13370000000000001</v>
      </c>
      <c r="AQ26" s="11">
        <f t="shared" si="63"/>
        <v>-0.66940912490650717</v>
      </c>
      <c r="AS26" s="22">
        <f t="shared" si="64"/>
        <v>0.48</v>
      </c>
      <c r="AT26" s="23">
        <f>IF(ISERROR(VLOOKUP($B26,[1]Hedef!$A$4:$ES$45409,71,0)),0,VLOOKUP($B26,[1]Hedef!$A$4:$ES$45409,71,0))</f>
        <v>8.660000000000001E-2</v>
      </c>
      <c r="AU26" s="23">
        <f t="shared" si="65"/>
        <v>0.39339999999999997</v>
      </c>
      <c r="AV26" s="80">
        <f t="shared" si="66"/>
        <v>0.18</v>
      </c>
      <c r="AX26" s="44">
        <f t="shared" si="67"/>
        <v>0.25745000000000001</v>
      </c>
      <c r="AY26" s="11">
        <f t="shared" si="68"/>
        <v>-0.66362400466109916</v>
      </c>
      <c r="AZ26" s="12">
        <f>AS26-'GENEL HEDEF'!BY26</f>
        <v>0</v>
      </c>
      <c r="BA26" s="15">
        <f t="shared" si="69"/>
        <v>0</v>
      </c>
    </row>
    <row r="27" spans="2:53" x14ac:dyDescent="0.15">
      <c r="B27" s="31">
        <v>13</v>
      </c>
      <c r="C27" s="1" t="s">
        <v>106</v>
      </c>
      <c r="E27" s="22">
        <v>2.1</v>
      </c>
      <c r="F27" s="23">
        <f>IF(ISERROR(VLOOKUP($B27,[1]Hedef!$A$4:$ES$45409,61,0)),0,VLOOKUP($B27,[1]Hedef!$A$4:$ES$45409,61,0))</f>
        <v>0.57710000000000006</v>
      </c>
      <c r="G27" s="23">
        <f t="shared" si="49"/>
        <v>1.5228999999999999</v>
      </c>
      <c r="H27" s="80">
        <f t="shared" si="50"/>
        <v>0.27</v>
      </c>
      <c r="J27" s="44">
        <v>4.2622500000000008</v>
      </c>
      <c r="K27" s="11">
        <f t="shared" si="51"/>
        <v>-0.86460202944454223</v>
      </c>
      <c r="M27" s="22">
        <v>1.6</v>
      </c>
      <c r="N27" s="23">
        <f>IF(ISERROR(VLOOKUP($B27,[1]Hedef!$A$4:$ES$45409,65,0)),0,VLOOKUP($B27,[1]Hedef!$A$4:$ES$45409,65,0))</f>
        <v>0.32183</v>
      </c>
      <c r="O27" s="23">
        <f t="shared" si="52"/>
        <v>1.27817</v>
      </c>
      <c r="P27" s="80">
        <f t="shared" si="53"/>
        <v>0.2</v>
      </c>
      <c r="R27" s="44">
        <v>3.2227899999999998</v>
      </c>
      <c r="S27" s="11">
        <f t="shared" si="54"/>
        <v>-0.90013932027839239</v>
      </c>
      <c r="U27" s="22">
        <v>2.5</v>
      </c>
      <c r="V27" s="23">
        <f>IF(ISERROR(VLOOKUP($B27,[1]Hedef!$A$4:$ES$45409,59,0)),0,VLOOKUP($B27,[1]Hedef!$A$4:$ES$45409,59,0))</f>
        <v>0.21575</v>
      </c>
      <c r="W27" s="23">
        <f t="shared" si="55"/>
        <v>2.2842500000000001</v>
      </c>
      <c r="X27" s="80">
        <f t="shared" si="56"/>
        <v>0.08</v>
      </c>
      <c r="Z27" s="44">
        <v>5.0866199999999999</v>
      </c>
      <c r="AA27" s="11">
        <f t="shared" si="57"/>
        <v>-0.95758480090905163</v>
      </c>
      <c r="AB27" s="72"/>
      <c r="AC27" s="22">
        <v>1.8</v>
      </c>
      <c r="AD27" s="23">
        <f>IF(ISERROR(VLOOKUP($B27,[1]Hedef!$A$4:$ES$45409,67,0)),0,VLOOKUP($B27,[1]Hedef!$A$4:$ES$45409,67,0))</f>
        <v>0.29659999999999997</v>
      </c>
      <c r="AE27" s="23">
        <f t="shared" si="58"/>
        <v>1.5034000000000001</v>
      </c>
      <c r="AF27" s="80">
        <f t="shared" si="59"/>
        <v>0.16</v>
      </c>
      <c r="AH27" s="44">
        <v>3.5523499999999997</v>
      </c>
      <c r="AI27" s="11">
        <f t="shared" si="60"/>
        <v>-0.91650597491801211</v>
      </c>
      <c r="AJ27" s="72"/>
      <c r="AK27" s="22">
        <v>2.6</v>
      </c>
      <c r="AL27" s="23">
        <f>IF(ISERROR(VLOOKUP($B27,[1]Hedef!$A$4:$ES$45409,63,0)),0,VLOOKUP($B27,[1]Hedef!$A$4:$ES$45409,63,0))</f>
        <v>0.27046000000000003</v>
      </c>
      <c r="AM27" s="23">
        <f t="shared" si="61"/>
        <v>2.3295400000000002</v>
      </c>
      <c r="AN27" s="80">
        <f t="shared" si="62"/>
        <v>0.1</v>
      </c>
      <c r="AP27" s="44">
        <v>5.00922</v>
      </c>
      <c r="AQ27" s="11">
        <f t="shared" si="63"/>
        <v>-0.94600756205556957</v>
      </c>
      <c r="AS27" s="22">
        <f t="shared" si="64"/>
        <v>10.6</v>
      </c>
      <c r="AT27" s="23">
        <f>IF(ISERROR(VLOOKUP($B27,[1]Hedef!$A$4:$ES$45409,71,0)),0,VLOOKUP($B27,[1]Hedef!$A$4:$ES$45409,71,0))</f>
        <v>1.6817399999999998</v>
      </c>
      <c r="AU27" s="23">
        <f t="shared" si="65"/>
        <v>8.9182600000000001</v>
      </c>
      <c r="AV27" s="80">
        <f t="shared" si="66"/>
        <v>0.15</v>
      </c>
      <c r="AX27" s="44">
        <f t="shared" si="67"/>
        <v>21.133230000000001</v>
      </c>
      <c r="AY27" s="11">
        <f t="shared" si="68"/>
        <v>-0.92042200837259613</v>
      </c>
      <c r="AZ27" s="12">
        <f>AS27-'GENEL HEDEF'!BY27</f>
        <v>0</v>
      </c>
      <c r="BA27" s="15">
        <f t="shared" si="69"/>
        <v>0</v>
      </c>
    </row>
    <row r="28" spans="2:53" x14ac:dyDescent="0.15">
      <c r="B28" s="31">
        <v>21</v>
      </c>
      <c r="C28" s="1" t="s">
        <v>70</v>
      </c>
      <c r="E28" s="22">
        <v>3.2</v>
      </c>
      <c r="F28" s="23">
        <f>IF(ISERROR(VLOOKUP($B28,[1]Hedef!$A$4:$ES$45409,61,0)),0,VLOOKUP($B28,[1]Hedef!$A$4:$ES$45409,61,0))</f>
        <v>3.5</v>
      </c>
      <c r="G28" s="23" t="str">
        <f>IF((E28-F28)&lt;0, "-", (E28-F28))</f>
        <v>-</v>
      </c>
      <c r="H28" s="80">
        <f t="shared" si="50"/>
        <v>1.0900000000000001</v>
      </c>
      <c r="J28" s="44">
        <v>7.5000000000000011E-2</v>
      </c>
      <c r="K28" s="11">
        <f>IF(ISERROR((F28-J28)/J28),0,(F28-J28)/J28)</f>
        <v>45.666666666666657</v>
      </c>
      <c r="M28" s="22">
        <v>1</v>
      </c>
      <c r="N28" s="23">
        <f>IF(ISERROR(VLOOKUP($B28,[1]Hedef!$A$4:$ES$45409,65,0)),0,VLOOKUP($B28,[1]Hedef!$A$4:$ES$45409,65,0))</f>
        <v>0.375</v>
      </c>
      <c r="O28" s="23">
        <f>IF((M28-N28)&lt;0, "-", (M28-N28))</f>
        <v>0.625</v>
      </c>
      <c r="P28" s="80">
        <f t="shared" si="53"/>
        <v>0.37</v>
      </c>
      <c r="R28" s="44">
        <v>2.0499999999999998</v>
      </c>
      <c r="S28" s="11">
        <f>IF(ISERROR((N28-R28)/R28),0,(N28-R28)/R28)</f>
        <v>-0.81707317073170727</v>
      </c>
      <c r="U28" s="22">
        <v>0.1</v>
      </c>
      <c r="V28" s="23">
        <f>IF(ISERROR(VLOOKUP($B28,[1]Hedef!$A$4:$ES$45409,59,0)),0,VLOOKUP($B28,[1]Hedef!$A$4:$ES$45409,59,0))</f>
        <v>0</v>
      </c>
      <c r="W28" s="23">
        <f>IF((U28-V28)&lt;0, "-", (U28-V28))</f>
        <v>0.1</v>
      </c>
      <c r="X28" s="80">
        <f t="shared" si="56"/>
        <v>0</v>
      </c>
      <c r="Z28" s="44">
        <v>0.125</v>
      </c>
      <c r="AA28" s="11">
        <f>IF(ISERROR((V28-Z28)/Z28),0,(V28-Z28)/Z28)</f>
        <v>-1</v>
      </c>
      <c r="AB28" s="72"/>
      <c r="AC28" s="22">
        <v>1</v>
      </c>
      <c r="AD28" s="23">
        <f>IF(ISERROR(VLOOKUP($B28,[1]Hedef!$A$4:$ES$45409,67,0)),0,VLOOKUP($B28,[1]Hedef!$A$4:$ES$45409,67,0))</f>
        <v>0</v>
      </c>
      <c r="AE28" s="23">
        <f t="shared" si="58"/>
        <v>1</v>
      </c>
      <c r="AF28" s="80">
        <f t="shared" si="59"/>
        <v>0</v>
      </c>
      <c r="AH28" s="44">
        <v>3.0749999999999997</v>
      </c>
      <c r="AI28" s="11">
        <f t="shared" si="60"/>
        <v>-1</v>
      </c>
      <c r="AJ28" s="72"/>
      <c r="AK28" s="22">
        <v>2.2000000000000002</v>
      </c>
      <c r="AL28" s="23">
        <f>IF(ISERROR(VLOOKUP($B28,[1]Hedef!$A$4:$ES$45409,63,0)),0,VLOOKUP($B28,[1]Hedef!$A$4:$ES$45409,63,0))</f>
        <v>2.2250000000000001</v>
      </c>
      <c r="AM28" s="23" t="str">
        <f>IF((AK28-AL28)&lt;0, "-", (AK28-AL28))</f>
        <v>-</v>
      </c>
      <c r="AN28" s="80">
        <f t="shared" si="62"/>
        <v>1.01</v>
      </c>
      <c r="AP28" s="44">
        <v>3.6</v>
      </c>
      <c r="AQ28" s="11">
        <f>IF(ISERROR((AL28-AP28)/AP28),0,(AL28-AP28)/AP28)</f>
        <v>-0.38194444444444442</v>
      </c>
      <c r="AS28" s="22">
        <f t="shared" si="64"/>
        <v>7.5000000000000009</v>
      </c>
      <c r="AT28" s="23">
        <f>IF(ISERROR(VLOOKUP($B28,[1]Hedef!$A$4:$ES$45409,71,0)),0,VLOOKUP($B28,[1]Hedef!$A$4:$ES$45409,71,0))</f>
        <v>6.1000000000000005</v>
      </c>
      <c r="AU28" s="23">
        <f>IF((AS28-AT28)&lt;0, "-", (AS28-AT28))</f>
        <v>1.4000000000000004</v>
      </c>
      <c r="AV28" s="80">
        <f t="shared" si="66"/>
        <v>0.81</v>
      </c>
      <c r="AX28" s="44">
        <f t="shared" si="67"/>
        <v>8.9249999999999989</v>
      </c>
      <c r="AY28" s="11">
        <f>IF(ISERROR((AT28-AX28)/AX28),0,(AT28-AX28)/AX28)</f>
        <v>-0.31652661064425758</v>
      </c>
      <c r="AZ28" s="12">
        <f>AS28-'GENEL HEDEF'!BY28</f>
        <v>0</v>
      </c>
      <c r="BA28" s="15">
        <f t="shared" si="69"/>
        <v>0</v>
      </c>
    </row>
    <row r="29" spans="2:53" ht="13" thickBot="1" x14ac:dyDescent="0.2">
      <c r="B29" s="31">
        <v>40</v>
      </c>
      <c r="C29" s="1" t="s">
        <v>19</v>
      </c>
      <c r="E29" s="22">
        <v>0.73</v>
      </c>
      <c r="F29" s="23">
        <f>IF(ISERROR(VLOOKUP($B29,[1]Hedef!$A$4:$ES$45409,61,0)),0,VLOOKUP($B29,[1]Hedef!$A$4:$ES$45409,61,0))</f>
        <v>0</v>
      </c>
      <c r="G29" s="23">
        <f t="shared" si="49"/>
        <v>0.73</v>
      </c>
      <c r="H29" s="80">
        <f t="shared" si="50"/>
        <v>0</v>
      </c>
      <c r="J29" s="44">
        <v>0.70500000000000007</v>
      </c>
      <c r="K29" s="11">
        <f t="shared" si="51"/>
        <v>-1</v>
      </c>
      <c r="M29" s="22">
        <v>0.3</v>
      </c>
      <c r="N29" s="23">
        <f>IF(ISERROR(VLOOKUP($B29,[1]Hedef!$A$4:$ES$45409,65,0)),0,VLOOKUP($B29,[1]Hedef!$A$4:$ES$45409,65,0))</f>
        <v>0</v>
      </c>
      <c r="O29" s="23">
        <f t="shared" si="52"/>
        <v>0.3</v>
      </c>
      <c r="P29" s="80">
        <f t="shared" si="53"/>
        <v>0</v>
      </c>
      <c r="R29" s="44">
        <v>0.19500000000000001</v>
      </c>
      <c r="S29" s="11">
        <f t="shared" si="54"/>
        <v>-1</v>
      </c>
      <c r="U29" s="22">
        <v>0.3</v>
      </c>
      <c r="V29" s="23">
        <f>IF(ISERROR(VLOOKUP($B29,[1]Hedef!$A$4:$ES$45409,59,0)),0,VLOOKUP($B29,[1]Hedef!$A$4:$ES$45409,59,0))</f>
        <v>7.5000000000000011E-2</v>
      </c>
      <c r="W29" s="23">
        <f t="shared" si="55"/>
        <v>0.22499999999999998</v>
      </c>
      <c r="X29" s="80">
        <f t="shared" si="56"/>
        <v>0.25</v>
      </c>
      <c r="Z29" s="44">
        <v>0.15</v>
      </c>
      <c r="AA29" s="11">
        <f t="shared" si="57"/>
        <v>-0.49999999999999989</v>
      </c>
      <c r="AB29" s="72"/>
      <c r="AC29" s="22">
        <v>0.8</v>
      </c>
      <c r="AD29" s="23">
        <f>IF(ISERROR(VLOOKUP($B29,[1]Hedef!$A$4:$ES$45409,67,0)),0,VLOOKUP($B29,[1]Hedef!$A$4:$ES$45409,67,0))</f>
        <v>0.05</v>
      </c>
      <c r="AE29" s="23">
        <f t="shared" si="58"/>
        <v>0.75</v>
      </c>
      <c r="AF29" s="80">
        <f t="shared" si="59"/>
        <v>0.06</v>
      </c>
      <c r="AH29" s="44">
        <v>0.84499999999999997</v>
      </c>
      <c r="AI29" s="11">
        <f t="shared" si="60"/>
        <v>-0.94082840236686383</v>
      </c>
      <c r="AJ29" s="72"/>
      <c r="AK29" s="22">
        <v>1.5</v>
      </c>
      <c r="AL29" s="23">
        <f>IF(ISERROR(VLOOKUP($B29,[1]Hedef!$A$4:$ES$45409,63,0)),0,VLOOKUP($B29,[1]Hedef!$A$4:$ES$45409,63,0))</f>
        <v>0.13</v>
      </c>
      <c r="AM29" s="23">
        <f t="shared" si="61"/>
        <v>1.37</v>
      </c>
      <c r="AN29" s="80">
        <f t="shared" si="62"/>
        <v>0.08</v>
      </c>
      <c r="AP29" s="44">
        <v>1.6549999999999998</v>
      </c>
      <c r="AQ29" s="11">
        <f t="shared" si="63"/>
        <v>-0.92145015105740191</v>
      </c>
      <c r="AS29" s="22">
        <f t="shared" si="64"/>
        <v>3.6299999999999994</v>
      </c>
      <c r="AT29" s="23">
        <f>IF(ISERROR(VLOOKUP($B29,[1]Hedef!$A$4:$ES$45409,71,0)),0,VLOOKUP($B29,[1]Hedef!$A$4:$ES$45409,71,0))</f>
        <v>0.255</v>
      </c>
      <c r="AU29" s="23">
        <f t="shared" si="65"/>
        <v>3.3749999999999996</v>
      </c>
      <c r="AV29" s="80">
        <f t="shared" si="66"/>
        <v>7.0000000000000007E-2</v>
      </c>
      <c r="AX29" s="44">
        <f t="shared" si="67"/>
        <v>3.55</v>
      </c>
      <c r="AY29" s="11">
        <f t="shared" si="68"/>
        <v>-0.92816901408450703</v>
      </c>
      <c r="AZ29" s="12">
        <f>AS29-'GENEL HEDEF'!BY29</f>
        <v>0</v>
      </c>
      <c r="BA29" s="15">
        <f t="shared" si="69"/>
        <v>-1.3877787807814457E-17</v>
      </c>
    </row>
    <row r="30" spans="2:53" ht="14" thickTop="1" thickBot="1" x14ac:dyDescent="0.2">
      <c r="B30" s="18"/>
      <c r="C30" s="2" t="s">
        <v>20</v>
      </c>
      <c r="E30" s="67">
        <v>19.25</v>
      </c>
      <c r="F30" s="67">
        <f>SUM(F22:F29)</f>
        <v>4.8479000000000001</v>
      </c>
      <c r="G30" s="67">
        <f>SUM(G22:G29)</f>
        <v>5.6821000000000002</v>
      </c>
      <c r="H30" s="39">
        <f>TRUNC(IF((F30/E30)&gt;1.2,"120%",(F30/E30)),2)</f>
        <v>0.25</v>
      </c>
      <c r="I30" s="78"/>
      <c r="J30" s="67"/>
      <c r="K30" s="48"/>
      <c r="L30" s="78"/>
      <c r="M30" s="67">
        <v>11.620000000000001</v>
      </c>
      <c r="N30" s="67">
        <f>SUM(N22:N29)</f>
        <v>1.4485300000000001</v>
      </c>
      <c r="O30" s="67">
        <f>SUM(O22:O29)</f>
        <v>6.3714700000000004</v>
      </c>
      <c r="P30" s="39">
        <f>TRUNC(IF((N30/M30)&gt;1.2,"120%",(N30/M30)),2)</f>
        <v>0.12</v>
      </c>
      <c r="Q30" s="78"/>
      <c r="R30" s="67"/>
      <c r="S30" s="48"/>
      <c r="T30" s="78"/>
      <c r="U30" s="67">
        <v>9.629999999999999</v>
      </c>
      <c r="V30" s="67">
        <f>SUM(V22:V29)</f>
        <v>0.65599999999999992</v>
      </c>
      <c r="W30" s="67">
        <f>SUM(W22:W29)</f>
        <v>8.9340000000000011</v>
      </c>
      <c r="X30" s="39">
        <f>TRUNC(IF((V30/U30)&gt;1.2,"120%",(V30/U30)),2)</f>
        <v>0.06</v>
      </c>
      <c r="Y30" s="78"/>
      <c r="Z30" s="67"/>
      <c r="AA30" s="48"/>
      <c r="AB30" s="74"/>
      <c r="AC30" s="67">
        <v>26.759999999999998</v>
      </c>
      <c r="AD30" s="67">
        <f>SUM(AD22:AD29)</f>
        <v>1.11575</v>
      </c>
      <c r="AE30" s="67">
        <f>SUM(AE22:AE29)</f>
        <v>10.884250000000002</v>
      </c>
      <c r="AF30" s="39">
        <f>TRUNC(IF((AD30/AC30)&gt;1.2,"120%",(AD30/AC30)),2)</f>
        <v>0.04</v>
      </c>
      <c r="AG30" s="78"/>
      <c r="AH30" s="67"/>
      <c r="AI30" s="48"/>
      <c r="AJ30" s="74"/>
      <c r="AK30" s="67">
        <v>35.61</v>
      </c>
      <c r="AL30" s="67">
        <f>SUM(AL22:AL29)</f>
        <v>3.52806</v>
      </c>
      <c r="AM30" s="67">
        <f>SUM(AM22:AM29)</f>
        <v>9.8769400000000012</v>
      </c>
      <c r="AN30" s="39">
        <f>TRUNC(IF((AL30/AK30)&gt;1.2,"120%",(AL30/AK30)),2)</f>
        <v>0.09</v>
      </c>
      <c r="AO30" s="78"/>
      <c r="AP30" s="67"/>
      <c r="AQ30" s="48"/>
      <c r="AR30" s="78"/>
      <c r="AS30" s="67">
        <f>SUM(AS22:AS29)</f>
        <v>53.02</v>
      </c>
      <c r="AT30" s="67">
        <f>SUM(AT22:AT29)</f>
        <v>11.629440000000001</v>
      </c>
      <c r="AU30" s="67">
        <f>SUM(AU22:AU29)</f>
        <v>41.390560000000001</v>
      </c>
      <c r="AV30" s="39">
        <f>TRUNC(IF((AT30/AS30)&gt;1.2,"120%",(AT30/AS30)),2)</f>
        <v>0.21</v>
      </c>
      <c r="AX30" s="67"/>
      <c r="AY30" s="48"/>
      <c r="AZ30" s="8"/>
      <c r="BA30" s="9"/>
    </row>
    <row r="31" spans="2:53" ht="13" thickTop="1" x14ac:dyDescent="0.15">
      <c r="B31" s="18">
        <v>15</v>
      </c>
      <c r="C31" s="1" t="s">
        <v>21</v>
      </c>
      <c r="E31" s="22">
        <v>0.38</v>
      </c>
      <c r="F31" s="23">
        <f>IF(ISERROR(VLOOKUP($B31,[1]Hedef!$A$4:$ES$45409,61,0)),0,VLOOKUP($B31,[1]Hedef!$A$4:$ES$45409,61,0))</f>
        <v>0.11548</v>
      </c>
      <c r="G31" s="23">
        <f t="shared" ref="G31:G38" si="70">IF((E31-F31)&lt;0, "-", (E31-F31))</f>
        <v>0.26451999999999998</v>
      </c>
      <c r="H31" s="80">
        <f t="shared" ref="H31:H38" si="71">TRUNC(IF((F31/E31)&gt;1.2,"120%",(F31/E31)),2)</f>
        <v>0.3</v>
      </c>
      <c r="J31" s="44">
        <v>0.35814999999999997</v>
      </c>
      <c r="K31" s="11">
        <f t="shared" si="51"/>
        <v>-0.67756526595002087</v>
      </c>
      <c r="M31" s="22">
        <v>0.44</v>
      </c>
      <c r="N31" s="23">
        <f>IF(ISERROR(VLOOKUP($B31,[1]Hedef!$A$4:$ES$45409,65,0)),0,VLOOKUP($B31,[1]Hedef!$A$4:$ES$45409,65,0))</f>
        <v>0.15461026</v>
      </c>
      <c r="O31" s="23">
        <f t="shared" ref="O31:O38" si="72">IF((M31-N31)&lt;0, "-", (M31-N31))</f>
        <v>0.28538974</v>
      </c>
      <c r="P31" s="80">
        <f t="shared" ref="P31:P38" si="73">TRUNC(IF((N31/M31)&gt;1.2,"120%",(N31/M31)),2)</f>
        <v>0.35</v>
      </c>
      <c r="R31" s="44">
        <v>0.41391500000000003</v>
      </c>
      <c r="S31" s="11">
        <f t="shared" si="54"/>
        <v>-0.62646857446577198</v>
      </c>
      <c r="U31" s="22">
        <v>0.54</v>
      </c>
      <c r="V31" s="23">
        <f>IF(ISERROR(VLOOKUP($B31,[1]Hedef!$A$4:$ES$45409,59,0)),0,VLOOKUP($B31,[1]Hedef!$A$4:$ES$45409,59,0))</f>
        <v>0.13719999999999999</v>
      </c>
      <c r="W31" s="23">
        <f t="shared" ref="W31:W38" si="74">IF((U31-V31)&lt;0, "-", (U31-V31))</f>
        <v>0.40280000000000005</v>
      </c>
      <c r="X31" s="80">
        <f t="shared" ref="X31:X38" si="75">TRUNC(IF((V31/U31)&gt;1.2,"120%",(V31/U31)),2)</f>
        <v>0.25</v>
      </c>
      <c r="Z31" s="44">
        <v>0.50316500000000008</v>
      </c>
      <c r="AA31" s="11">
        <f t="shared" si="57"/>
        <v>-0.72732602625381348</v>
      </c>
      <c r="AB31" s="72"/>
      <c r="AC31" s="22">
        <v>0.62</v>
      </c>
      <c r="AD31" s="23">
        <f>IF(ISERROR(VLOOKUP($B31,[1]Hedef!$A$4:$ES$45409,67,0)),0,VLOOKUP($B31,[1]Hedef!$A$4:$ES$45409,67,0))</f>
        <v>0.15337000000000001</v>
      </c>
      <c r="AE31" s="23">
        <f t="shared" ref="AE31:AE38" si="76">IF((AC31-AD31)&lt;0, "-", (AC31-AD31))</f>
        <v>0.46662999999999999</v>
      </c>
      <c r="AF31" s="80">
        <f t="shared" ref="AF31:AF38" si="77">TRUNC(IF((AD31/AC31)&gt;1.2,"120%",(AD31/AC31)),2)</f>
        <v>0.24</v>
      </c>
      <c r="AH31" s="44">
        <v>0.57757999999999998</v>
      </c>
      <c r="AI31" s="11">
        <f t="shared" ref="AI31:AI38" si="78">IF(ISERROR((AD31-AH31)/AH31),0,(AD31-AH31)/AH31)</f>
        <v>-0.73446102704387273</v>
      </c>
      <c r="AJ31" s="72"/>
      <c r="AK31" s="22">
        <v>0.56999999999999995</v>
      </c>
      <c r="AL31" s="23">
        <f>IF(ISERROR(VLOOKUP($B31,[1]Hedef!$A$4:$ES$45409,63,0)),0,VLOOKUP($B31,[1]Hedef!$A$4:$ES$45409,63,0))</f>
        <v>1.8170000000000002E-2</v>
      </c>
      <c r="AM31" s="23">
        <f t="shared" ref="AM31:AM38" si="79">IF((AK31-AL31)&lt;0, "-", (AK31-AL31))</f>
        <v>0.55182999999999993</v>
      </c>
      <c r="AN31" s="80">
        <f t="shared" ref="AN31:AN38" si="80">TRUNC(IF((AL31/AK31)&gt;1.2,"120%",(AL31/AK31)),2)</f>
        <v>0.03</v>
      </c>
      <c r="AP31" s="44">
        <v>0.53449499999999994</v>
      </c>
      <c r="AQ31" s="11">
        <f t="shared" si="63"/>
        <v>-0.96600529471744356</v>
      </c>
      <c r="AS31" s="22">
        <f t="shared" ref="AS31:AS38" si="81">AK31+AC31+U31+M31+E31</f>
        <v>2.5499999999999998</v>
      </c>
      <c r="AT31" s="23">
        <f>IF(ISERROR(VLOOKUP($B31,[1]Hedef!$A$4:$ES$45409,71,0)),0,VLOOKUP($B31,[1]Hedef!$A$4:$ES$45409,71,0))</f>
        <v>0.58438025999999998</v>
      </c>
      <c r="AU31" s="23">
        <f t="shared" ref="AU31:AU38" si="82">IF((AS31-AT31)&lt;0, "-", (AS31-AT31))</f>
        <v>1.9656197399999997</v>
      </c>
      <c r="AV31" s="80">
        <f t="shared" ref="AV31:AV38" si="83">TRUNC(IF((AT31/AS31)&gt;1.2,"120%",(AT31/AS31)),2)</f>
        <v>0.22</v>
      </c>
      <c r="AX31" s="44">
        <f t="shared" ref="AX31:AX38" si="84">+AP31+AH31+Z31+R31+J31</f>
        <v>2.3873050000000005</v>
      </c>
      <c r="AY31" s="11">
        <f t="shared" si="68"/>
        <v>-0.75521340591168706</v>
      </c>
      <c r="AZ31" s="12">
        <f>AS31-'GENEL HEDEF'!BY31</f>
        <v>0</v>
      </c>
      <c r="BA31" s="15">
        <f t="shared" ref="BA31:BA38" si="85">AT31-AL31-AD31-V31-N31-F31</f>
        <v>5.5499999999999716E-3</v>
      </c>
    </row>
    <row r="32" spans="2:53" x14ac:dyDescent="0.15">
      <c r="B32" s="18">
        <v>57</v>
      </c>
      <c r="C32" s="1" t="s">
        <v>44</v>
      </c>
      <c r="E32" s="22">
        <v>0.06</v>
      </c>
      <c r="F32" s="23">
        <f>IF(ISERROR(VLOOKUP($B32,[1]Hedef!$A$4:$ES$45409,61,0)),0,VLOOKUP($B32,[1]Hedef!$A$4:$ES$45409,61,0))</f>
        <v>1.1310000000000001E-2</v>
      </c>
      <c r="G32" s="23">
        <f>IF((E32-F32)&lt;0, "-", (E32-F32))</f>
        <v>4.8689999999999997E-2</v>
      </c>
      <c r="H32" s="80">
        <f t="shared" si="71"/>
        <v>0.18</v>
      </c>
      <c r="J32" s="44">
        <v>5.2820000000000006E-2</v>
      </c>
      <c r="K32" s="11">
        <f t="shared" si="51"/>
        <v>-0.78587656190836808</v>
      </c>
      <c r="M32" s="22">
        <v>0.04</v>
      </c>
      <c r="N32" s="23">
        <f>IF(ISERROR(VLOOKUP($B32,[1]Hedef!$A$4:$ES$45409,65,0)),0,VLOOKUP($B32,[1]Hedef!$A$4:$ES$45409,65,0))</f>
        <v>1.3499999999999999E-3</v>
      </c>
      <c r="O32" s="23">
        <f>IF((M32-N32)&lt;0, "-", (M32-N32))</f>
        <v>3.8650000000000004E-2</v>
      </c>
      <c r="P32" s="80">
        <f t="shared" si="73"/>
        <v>0.03</v>
      </c>
      <c r="R32" s="44">
        <v>3.712E-2</v>
      </c>
      <c r="S32" s="11">
        <f t="shared" si="54"/>
        <v>-0.96363146551724144</v>
      </c>
      <c r="U32" s="22">
        <v>0.02</v>
      </c>
      <c r="V32" s="23">
        <f>IF(ISERROR(VLOOKUP($B32,[1]Hedef!$A$4:$ES$45409,59,0)),0,VLOOKUP($B32,[1]Hedef!$A$4:$ES$45409,59,0))</f>
        <v>0</v>
      </c>
      <c r="W32" s="23">
        <f>IF((U32-V32)&lt;0, "-", (U32-V32))</f>
        <v>0.02</v>
      </c>
      <c r="X32" s="80">
        <f t="shared" si="75"/>
        <v>0</v>
      </c>
      <c r="Z32" s="44">
        <v>2.1599999999999998E-2</v>
      </c>
      <c r="AA32" s="11">
        <f t="shared" si="57"/>
        <v>-1</v>
      </c>
      <c r="AB32" s="72"/>
      <c r="AC32" s="22">
        <v>0.09</v>
      </c>
      <c r="AD32" s="23">
        <f>IF(ISERROR(VLOOKUP($B32,[1]Hedef!$A$4:$ES$45409,67,0)),0,VLOOKUP($B32,[1]Hedef!$A$4:$ES$45409,67,0))</f>
        <v>1.7999999999999999E-2</v>
      </c>
      <c r="AE32" s="23">
        <f t="shared" si="76"/>
        <v>7.1999999999999995E-2</v>
      </c>
      <c r="AF32" s="80">
        <f t="shared" si="77"/>
        <v>0.2</v>
      </c>
      <c r="AH32" s="44">
        <v>8.3130000000000023E-2</v>
      </c>
      <c r="AI32" s="11">
        <f t="shared" si="78"/>
        <v>-0.78347167087693981</v>
      </c>
      <c r="AJ32" s="72"/>
      <c r="AK32" s="22">
        <v>0.08</v>
      </c>
      <c r="AL32" s="23">
        <f>IF(ISERROR(VLOOKUP($B32,[1]Hedef!$A$4:$ES$45409,63,0)),0,VLOOKUP($B32,[1]Hedef!$A$4:$ES$45409,63,0))</f>
        <v>2.7E-2</v>
      </c>
      <c r="AM32" s="23">
        <f>IF((AK32-AL32)&lt;0, "-", (AK32-AL32))</f>
        <v>5.3000000000000005E-2</v>
      </c>
      <c r="AN32" s="80">
        <f t="shared" si="80"/>
        <v>0.33</v>
      </c>
      <c r="AP32" s="44">
        <v>6.3519999999999993E-2</v>
      </c>
      <c r="AQ32" s="11">
        <f t="shared" si="63"/>
        <v>-0.57493702770780852</v>
      </c>
      <c r="AS32" s="22">
        <f t="shared" si="81"/>
        <v>0.28999999999999998</v>
      </c>
      <c r="AT32" s="23">
        <f>IF(ISERROR(VLOOKUP($B32,[1]Hedef!$A$4:$ES$45409,71,0)),0,VLOOKUP($B32,[1]Hedef!$A$4:$ES$45409,71,0))</f>
        <v>5.7660000000000003E-2</v>
      </c>
      <c r="AU32" s="23">
        <f>IF((AS32-AT32)&lt;0, "-", (AS32-AT32))</f>
        <v>0.23233999999999999</v>
      </c>
      <c r="AV32" s="80">
        <f t="shared" si="83"/>
        <v>0.19</v>
      </c>
      <c r="AX32" s="44">
        <f t="shared" si="84"/>
        <v>0.25819000000000003</v>
      </c>
      <c r="AY32" s="11">
        <f t="shared" si="68"/>
        <v>-0.77667609125062942</v>
      </c>
      <c r="AZ32" s="12">
        <f>AS32-'GENEL HEDEF'!BY32</f>
        <v>0</v>
      </c>
      <c r="BA32" s="15">
        <f t="shared" si="85"/>
        <v>0</v>
      </c>
    </row>
    <row r="33" spans="2:53" x14ac:dyDescent="0.15">
      <c r="B33" s="18">
        <v>16</v>
      </c>
      <c r="C33" s="1" t="s">
        <v>22</v>
      </c>
      <c r="E33" s="22">
        <v>0.1</v>
      </c>
      <c r="F33" s="23">
        <f>IF(ISERROR(VLOOKUP($B33,[1]Hedef!$A$4:$ES$45409,61,0)),0,VLOOKUP($B33,[1]Hedef!$A$4:$ES$45409,61,0))</f>
        <v>1.005E-2</v>
      </c>
      <c r="G33" s="23">
        <f t="shared" si="70"/>
        <v>8.9950000000000002E-2</v>
      </c>
      <c r="H33" s="80">
        <f t="shared" si="71"/>
        <v>0.1</v>
      </c>
      <c r="J33" s="44">
        <v>0.10396000000000001</v>
      </c>
      <c r="K33" s="11">
        <f t="shared" si="51"/>
        <v>-0.90332820315505957</v>
      </c>
      <c r="M33" s="22">
        <v>7.0000000000000007E-2</v>
      </c>
      <c r="N33" s="23">
        <f>IF(ISERROR(VLOOKUP($B33,[1]Hedef!$A$4:$ES$45409,65,0)),0,VLOOKUP($B33,[1]Hedef!$A$4:$ES$45409,65,0))</f>
        <v>4.1999999999999997E-3</v>
      </c>
      <c r="O33" s="23">
        <f t="shared" si="72"/>
        <v>6.5800000000000011E-2</v>
      </c>
      <c r="P33" s="80">
        <f t="shared" si="73"/>
        <v>0.06</v>
      </c>
      <c r="R33" s="44">
        <v>5.0180000000000002E-2</v>
      </c>
      <c r="S33" s="11">
        <f t="shared" si="54"/>
        <v>-0.91630131526504577</v>
      </c>
      <c r="U33" s="22">
        <v>0.09</v>
      </c>
      <c r="V33" s="23">
        <f>IF(ISERROR(VLOOKUP($B33,[1]Hedef!$A$4:$ES$45409,59,0)),0,VLOOKUP($B33,[1]Hedef!$A$4:$ES$45409,59,0))</f>
        <v>1.6799999999999999E-2</v>
      </c>
      <c r="W33" s="23">
        <f t="shared" si="74"/>
        <v>7.3200000000000001E-2</v>
      </c>
      <c r="X33" s="80">
        <f t="shared" si="75"/>
        <v>0.18</v>
      </c>
      <c r="Z33" s="44">
        <v>7.22E-2</v>
      </c>
      <c r="AA33" s="11">
        <f t="shared" si="57"/>
        <v>-0.76731301939058183</v>
      </c>
      <c r="AB33" s="72"/>
      <c r="AC33" s="22">
        <v>7.0000000000000007E-2</v>
      </c>
      <c r="AD33" s="23">
        <f>IF(ISERROR(VLOOKUP($B33,[1]Hedef!$A$4:$ES$45409,67,0)),0,VLOOKUP($B33,[1]Hedef!$A$4:$ES$45409,67,0))</f>
        <v>2.7300000000000001E-2</v>
      </c>
      <c r="AE33" s="23">
        <f t="shared" si="76"/>
        <v>4.2700000000000002E-2</v>
      </c>
      <c r="AF33" s="80">
        <f t="shared" si="77"/>
        <v>0.39</v>
      </c>
      <c r="AH33" s="44">
        <v>-8.0000000000000002E-3</v>
      </c>
      <c r="AI33" s="11">
        <f t="shared" si="78"/>
        <v>-4.4124999999999996</v>
      </c>
      <c r="AJ33" s="72"/>
      <c r="AK33" s="22">
        <v>0.09</v>
      </c>
      <c r="AL33" s="23">
        <f>IF(ISERROR(VLOOKUP($B33,[1]Hedef!$A$4:$ES$45409,63,0)),0,VLOOKUP($B33,[1]Hedef!$A$4:$ES$45409,63,0))</f>
        <v>1.4E-2</v>
      </c>
      <c r="AM33" s="23">
        <f t="shared" si="79"/>
        <v>7.5999999999999998E-2</v>
      </c>
      <c r="AN33" s="80">
        <f t="shared" si="80"/>
        <v>0.15</v>
      </c>
      <c r="AP33" s="44">
        <v>6.6755000000000009E-2</v>
      </c>
      <c r="AQ33" s="11">
        <f t="shared" si="63"/>
        <v>-0.7902778818066063</v>
      </c>
      <c r="AS33" s="22">
        <f t="shared" si="81"/>
        <v>0.42000000000000004</v>
      </c>
      <c r="AT33" s="23">
        <f>IF(ISERROR(VLOOKUP($B33,[1]Hedef!$A$4:$ES$45409,71,0)),0,VLOOKUP($B33,[1]Hedef!$A$4:$ES$45409,71,0))</f>
        <v>7.2349999999999998E-2</v>
      </c>
      <c r="AU33" s="23">
        <f t="shared" si="82"/>
        <v>0.34765000000000001</v>
      </c>
      <c r="AV33" s="80">
        <f t="shared" si="83"/>
        <v>0.17</v>
      </c>
      <c r="AX33" s="44">
        <f t="shared" si="84"/>
        <v>0.28509500000000004</v>
      </c>
      <c r="AY33" s="11">
        <f t="shared" si="68"/>
        <v>-0.74622494256300531</v>
      </c>
      <c r="AZ33" s="12">
        <f>AS33-'GENEL HEDEF'!BY33</f>
        <v>0</v>
      </c>
      <c r="BA33" s="15">
        <f t="shared" si="85"/>
        <v>0</v>
      </c>
    </row>
    <row r="34" spans="2:53" x14ac:dyDescent="0.15">
      <c r="B34" s="18">
        <v>43</v>
      </c>
      <c r="C34" s="1" t="s">
        <v>23</v>
      </c>
      <c r="E34" s="22">
        <v>0.03</v>
      </c>
      <c r="F34" s="23">
        <f>IF(ISERROR(VLOOKUP($B34,[1]Hedef!$A$4:$ES$45409,61,0)),0,VLOOKUP($B34,[1]Hedef!$A$4:$ES$45409,61,0))</f>
        <v>-6.7469999999999988E-2</v>
      </c>
      <c r="G34" s="23">
        <f t="shared" si="70"/>
        <v>9.7469999999999987E-2</v>
      </c>
      <c r="H34" s="80">
        <f t="shared" si="71"/>
        <v>-2.2400000000000002</v>
      </c>
      <c r="J34" s="44">
        <v>6.8599999999999998E-3</v>
      </c>
      <c r="K34" s="11">
        <f t="shared" si="51"/>
        <v>-10.835276967930028</v>
      </c>
      <c r="M34" s="22">
        <v>0.15</v>
      </c>
      <c r="N34" s="23">
        <f>IF(ISERROR(VLOOKUP($B34,[1]Hedef!$A$4:$ES$45409,65,0)),0,VLOOKUP($B34,[1]Hedef!$A$4:$ES$45409,65,0))</f>
        <v>2.0769999999999997E-2</v>
      </c>
      <c r="O34" s="23">
        <f t="shared" si="72"/>
        <v>0.12923000000000001</v>
      </c>
      <c r="P34" s="80">
        <f t="shared" si="73"/>
        <v>0.13</v>
      </c>
      <c r="R34" s="44">
        <v>8.4345000000000003E-2</v>
      </c>
      <c r="S34" s="11">
        <f t="shared" si="54"/>
        <v>-0.75374948129705377</v>
      </c>
      <c r="U34" s="22">
        <v>0.12</v>
      </c>
      <c r="V34" s="23">
        <f>IF(ISERROR(VLOOKUP($B34,[1]Hedef!$A$4:$ES$45409,59,0)),0,VLOOKUP($B34,[1]Hedef!$A$4:$ES$45409,59,0))</f>
        <v>2.2859999999999998E-2</v>
      </c>
      <c r="W34" s="23">
        <f t="shared" si="74"/>
        <v>9.7140000000000004E-2</v>
      </c>
      <c r="X34" s="80">
        <f t="shared" si="75"/>
        <v>0.19</v>
      </c>
      <c r="Z34" s="44">
        <v>6.2875E-2</v>
      </c>
      <c r="AA34" s="11">
        <f t="shared" si="57"/>
        <v>-0.63642147117296222</v>
      </c>
      <c r="AB34" s="72"/>
      <c r="AC34" s="22">
        <v>0.18</v>
      </c>
      <c r="AD34" s="23">
        <f>IF(ISERROR(VLOOKUP($B34,[1]Hedef!$A$4:$ES$45409,67,0)),0,VLOOKUP($B34,[1]Hedef!$A$4:$ES$45409,67,0))</f>
        <v>8.0499999999999999E-3</v>
      </c>
      <c r="AE34" s="23">
        <f t="shared" si="76"/>
        <v>0.17194999999999999</v>
      </c>
      <c r="AF34" s="80">
        <f t="shared" si="77"/>
        <v>0.04</v>
      </c>
      <c r="AH34" s="44">
        <v>0.10511500000000001</v>
      </c>
      <c r="AI34" s="11">
        <f t="shared" si="78"/>
        <v>-0.92341720972268471</v>
      </c>
      <c r="AJ34" s="72"/>
      <c r="AK34" s="22">
        <v>0.18</v>
      </c>
      <c r="AL34" s="23">
        <f>IF(ISERROR(VLOOKUP($B34,[1]Hedef!$A$4:$ES$45409,63,0)),0,VLOOKUP($B34,[1]Hedef!$A$4:$ES$45409,63,0))</f>
        <v>2.6670000000000006E-2</v>
      </c>
      <c r="AM34" s="23">
        <f t="shared" si="79"/>
        <v>0.15332999999999999</v>
      </c>
      <c r="AN34" s="80">
        <f t="shared" si="80"/>
        <v>0.14000000000000001</v>
      </c>
      <c r="AP34" s="44">
        <v>9.7975000000000007E-2</v>
      </c>
      <c r="AQ34" s="11">
        <f t="shared" si="63"/>
        <v>-0.72778770094411838</v>
      </c>
      <c r="AS34" s="22">
        <f t="shared" si="81"/>
        <v>0.66</v>
      </c>
      <c r="AT34" s="23">
        <f>IF(ISERROR(VLOOKUP($B34,[1]Hedef!$A$4:$ES$45409,71,0)),0,VLOOKUP($B34,[1]Hedef!$A$4:$ES$45409,71,0))</f>
        <v>1.0879999999999997E-2</v>
      </c>
      <c r="AU34" s="23">
        <f t="shared" si="82"/>
        <v>0.64912000000000003</v>
      </c>
      <c r="AV34" s="80">
        <f t="shared" si="83"/>
        <v>0.01</v>
      </c>
      <c r="AX34" s="44">
        <f t="shared" si="84"/>
        <v>0.35716999999999999</v>
      </c>
      <c r="AY34" s="11">
        <f t="shared" si="68"/>
        <v>-0.96953831508805333</v>
      </c>
      <c r="AZ34" s="12">
        <f>AS34-'GENEL HEDEF'!BY34</f>
        <v>0</v>
      </c>
      <c r="BA34" s="15">
        <f t="shared" si="85"/>
        <v>0</v>
      </c>
    </row>
    <row r="35" spans="2:53" x14ac:dyDescent="0.15">
      <c r="B35" s="18">
        <v>18</v>
      </c>
      <c r="C35" s="1" t="s">
        <v>67</v>
      </c>
      <c r="E35" s="22">
        <v>0.45</v>
      </c>
      <c r="F35" s="23">
        <f>IF(ISERROR(VLOOKUP($B35,[1]Hedef!$A$4:$ES$45409,61,0)),0,VLOOKUP($B35,[1]Hedef!$A$4:$ES$45409,61,0))</f>
        <v>0.37719999999999998</v>
      </c>
      <c r="G35" s="23">
        <f t="shared" si="70"/>
        <v>7.2800000000000031E-2</v>
      </c>
      <c r="H35" s="80">
        <f t="shared" si="71"/>
        <v>0.83</v>
      </c>
      <c r="J35" s="44">
        <v>9.3199999999999991E-2</v>
      </c>
      <c r="K35" s="11">
        <f t="shared" si="51"/>
        <v>3.0472103004291844</v>
      </c>
      <c r="M35" s="22">
        <v>0.4</v>
      </c>
      <c r="N35" s="23">
        <f>IF(ISERROR(VLOOKUP($B35,[1]Hedef!$A$4:$ES$45409,65,0)),0,VLOOKUP($B35,[1]Hedef!$A$4:$ES$45409,65,0))</f>
        <v>1.24E-2</v>
      </c>
      <c r="O35" s="23">
        <f t="shared" si="72"/>
        <v>0.3876</v>
      </c>
      <c r="P35" s="80">
        <f t="shared" si="73"/>
        <v>0.03</v>
      </c>
      <c r="R35" s="44">
        <v>0.32479999999999998</v>
      </c>
      <c r="S35" s="11">
        <f t="shared" si="54"/>
        <v>-0.96182266009852213</v>
      </c>
      <c r="U35" s="22">
        <v>0.8</v>
      </c>
      <c r="V35" s="23">
        <f>IF(ISERROR(VLOOKUP($B35,[1]Hedef!$A$4:$ES$45409,59,0)),0,VLOOKUP($B35,[1]Hedef!$A$4:$ES$45409,59,0))</f>
        <v>0.312</v>
      </c>
      <c r="W35" s="23">
        <f t="shared" si="74"/>
        <v>0.48800000000000004</v>
      </c>
      <c r="X35" s="80">
        <f t="shared" si="75"/>
        <v>0.39</v>
      </c>
      <c r="Z35" s="44">
        <v>0.55520000000000003</v>
      </c>
      <c r="AA35" s="11">
        <f t="shared" si="57"/>
        <v>-0.43804034582132567</v>
      </c>
      <c r="AB35" s="72"/>
      <c r="AC35" s="22">
        <v>2.06</v>
      </c>
      <c r="AD35" s="23">
        <f>IF(ISERROR(VLOOKUP($B35,[1]Hedef!$A$4:$ES$45409,67,0)),0,VLOOKUP($B35,[1]Hedef!$A$4:$ES$45409,67,0))</f>
        <v>0.312</v>
      </c>
      <c r="AE35" s="23">
        <f t="shared" si="76"/>
        <v>1.748</v>
      </c>
      <c r="AF35" s="80">
        <f t="shared" si="77"/>
        <v>0.15</v>
      </c>
      <c r="AH35" s="44">
        <v>1.7764</v>
      </c>
      <c r="AI35" s="11">
        <f t="shared" si="78"/>
        <v>-0.82436388200855659</v>
      </c>
      <c r="AJ35" s="72"/>
      <c r="AK35" s="22">
        <v>0.8</v>
      </c>
      <c r="AL35" s="23">
        <f>IF(ISERROR(VLOOKUP($B35,[1]Hedef!$A$4:$ES$45409,63,0)),0,VLOOKUP($B35,[1]Hedef!$A$4:$ES$45409,63,0))</f>
        <v>4.8000000000000001E-2</v>
      </c>
      <c r="AM35" s="23">
        <f t="shared" si="79"/>
        <v>0.752</v>
      </c>
      <c r="AN35" s="80">
        <f t="shared" si="80"/>
        <v>0.06</v>
      </c>
      <c r="AP35" s="44">
        <v>0.55800000000000005</v>
      </c>
      <c r="AQ35" s="11">
        <f t="shared" si="63"/>
        <v>-0.91397849462365588</v>
      </c>
      <c r="AS35" s="22">
        <f t="shared" si="81"/>
        <v>4.5100000000000007</v>
      </c>
      <c r="AT35" s="23">
        <f>IF(ISERROR(VLOOKUP($B35,[1]Hedef!$A$4:$ES$45409,71,0)),0,VLOOKUP($B35,[1]Hedef!$A$4:$ES$45409,71,0))</f>
        <v>1.0616000000000001</v>
      </c>
      <c r="AU35" s="23">
        <f t="shared" si="82"/>
        <v>3.4484000000000004</v>
      </c>
      <c r="AV35" s="80">
        <f t="shared" si="83"/>
        <v>0.23</v>
      </c>
      <c r="AX35" s="44">
        <f t="shared" si="84"/>
        <v>3.3076000000000003</v>
      </c>
      <c r="AY35" s="11">
        <f t="shared" si="68"/>
        <v>-0.67904220582899999</v>
      </c>
      <c r="AZ35" s="12">
        <f>AS35-'GENEL HEDEF'!BY35</f>
        <v>0</v>
      </c>
      <c r="BA35" s="15">
        <f t="shared" si="85"/>
        <v>0</v>
      </c>
    </row>
    <row r="36" spans="2:53" x14ac:dyDescent="0.15">
      <c r="B36" s="18">
        <v>51</v>
      </c>
      <c r="C36" s="1" t="s">
        <v>24</v>
      </c>
      <c r="E36" s="22">
        <v>0.12</v>
      </c>
      <c r="F36" s="23">
        <f>IF(ISERROR(VLOOKUP($B36,[1]Hedef!$A$4:$ES$45409,61,0)),0,VLOOKUP($B36,[1]Hedef!$A$4:$ES$45409,61,0))</f>
        <v>2.64E-2</v>
      </c>
      <c r="G36" s="23">
        <f t="shared" si="70"/>
        <v>9.3599999999999989E-2</v>
      </c>
      <c r="H36" s="80">
        <f t="shared" si="71"/>
        <v>0.22</v>
      </c>
      <c r="J36" s="44">
        <v>0.1101</v>
      </c>
      <c r="K36" s="11">
        <f t="shared" si="51"/>
        <v>-0.76021798365122606</v>
      </c>
      <c r="M36" s="22">
        <v>0.3</v>
      </c>
      <c r="N36" s="23">
        <f>IF(ISERROR(VLOOKUP($B36,[1]Hedef!$A$4:$ES$45409,65,0)),0,VLOOKUP($B36,[1]Hedef!$A$4:$ES$45409,65,0))</f>
        <v>2.742E-2</v>
      </c>
      <c r="O36" s="23">
        <f t="shared" si="72"/>
        <v>0.27257999999999999</v>
      </c>
      <c r="P36" s="80">
        <f t="shared" si="73"/>
        <v>0.09</v>
      </c>
      <c r="R36" s="44">
        <v>0.28349999999999997</v>
      </c>
      <c r="S36" s="11">
        <f t="shared" si="54"/>
        <v>-0.90328042328042324</v>
      </c>
      <c r="U36" s="22">
        <v>0.32</v>
      </c>
      <c r="V36" s="23">
        <f>IF(ISERROR(VLOOKUP($B36,[1]Hedef!$A$4:$ES$45409,59,0)),0,VLOOKUP($B36,[1]Hedef!$A$4:$ES$45409,59,0))</f>
        <v>2.0810000000000002E-2</v>
      </c>
      <c r="W36" s="23">
        <f t="shared" si="74"/>
        <v>0.29919000000000001</v>
      </c>
      <c r="X36" s="80">
        <f t="shared" si="75"/>
        <v>0.06</v>
      </c>
      <c r="Z36" s="44">
        <v>0.30320000000000003</v>
      </c>
      <c r="AA36" s="11">
        <f t="shared" si="57"/>
        <v>-0.93136543535620053</v>
      </c>
      <c r="AB36" s="72"/>
      <c r="AC36" s="22">
        <v>0.37</v>
      </c>
      <c r="AD36" s="23">
        <f>IF(ISERROR(VLOOKUP($B36,[1]Hedef!$A$4:$ES$45409,67,0)),0,VLOOKUP($B36,[1]Hedef!$A$4:$ES$45409,67,0))</f>
        <v>4.4249999999999998E-2</v>
      </c>
      <c r="AE36" s="23">
        <f t="shared" si="76"/>
        <v>0.32574999999999998</v>
      </c>
      <c r="AF36" s="80">
        <f t="shared" si="77"/>
        <v>0.11</v>
      </c>
      <c r="AH36" s="44">
        <v>0.35174</v>
      </c>
      <c r="AI36" s="11">
        <f t="shared" si="78"/>
        <v>-0.87419684994598279</v>
      </c>
      <c r="AJ36" s="72"/>
      <c r="AK36" s="22">
        <v>0.44</v>
      </c>
      <c r="AL36" s="23">
        <f>IF(ISERROR(VLOOKUP($B36,[1]Hedef!$A$4:$ES$45409,63,0)),0,VLOOKUP($B36,[1]Hedef!$A$4:$ES$45409,63,0))</f>
        <v>3.2400000000000003E-3</v>
      </c>
      <c r="AM36" s="23">
        <f t="shared" si="79"/>
        <v>0.43675999999999998</v>
      </c>
      <c r="AN36" s="80">
        <f t="shared" si="80"/>
        <v>0</v>
      </c>
      <c r="AP36" s="44">
        <v>0.42394999999999999</v>
      </c>
      <c r="AQ36" s="11">
        <f t="shared" si="63"/>
        <v>-0.99235758933836538</v>
      </c>
      <c r="AS36" s="22">
        <f t="shared" si="81"/>
        <v>1.5500000000000003</v>
      </c>
      <c r="AT36" s="23">
        <f>IF(ISERROR(VLOOKUP($B36,[1]Hedef!$A$4:$ES$45409,71,0)),0,VLOOKUP($B36,[1]Hedef!$A$4:$ES$45409,71,0))</f>
        <v>0.12211999999999999</v>
      </c>
      <c r="AU36" s="23">
        <f t="shared" si="82"/>
        <v>1.4278800000000003</v>
      </c>
      <c r="AV36" s="80">
        <f t="shared" si="83"/>
        <v>7.0000000000000007E-2</v>
      </c>
      <c r="AX36" s="44">
        <f t="shared" si="84"/>
        <v>1.4724900000000001</v>
      </c>
      <c r="AY36" s="11">
        <f t="shared" si="68"/>
        <v>-0.91706565070051405</v>
      </c>
      <c r="AZ36" s="12">
        <f>AS36-'GENEL HEDEF'!BY36</f>
        <v>0</v>
      </c>
      <c r="BA36" s="15">
        <f t="shared" si="85"/>
        <v>0</v>
      </c>
    </row>
    <row r="37" spans="2:53" x14ac:dyDescent="0.15">
      <c r="B37" s="18">
        <v>19</v>
      </c>
      <c r="C37" s="1" t="s">
        <v>25</v>
      </c>
      <c r="E37" s="22">
        <v>0.08</v>
      </c>
      <c r="F37" s="23">
        <f>IF(ISERROR(VLOOKUP($B37,[1]Hedef!$A$4:$ES$45409,61,0)),0,VLOOKUP($B37,[1]Hedef!$A$4:$ES$45409,61,0))</f>
        <v>0</v>
      </c>
      <c r="G37" s="23">
        <f t="shared" si="70"/>
        <v>0.08</v>
      </c>
      <c r="H37" s="80">
        <f t="shared" si="71"/>
        <v>0</v>
      </c>
      <c r="J37" s="44">
        <v>6.3480000000000009E-2</v>
      </c>
      <c r="K37" s="11">
        <f t="shared" si="51"/>
        <v>-1</v>
      </c>
      <c r="M37" s="22">
        <v>7.0000000000000007E-2</v>
      </c>
      <c r="N37" s="23">
        <f>IF(ISERROR(VLOOKUP($B37,[1]Hedef!$A$4:$ES$45409,65,0)),0,VLOOKUP($B37,[1]Hedef!$A$4:$ES$45409,65,0))</f>
        <v>2E-3</v>
      </c>
      <c r="O37" s="23">
        <f t="shared" si="72"/>
        <v>6.8000000000000005E-2</v>
      </c>
      <c r="P37" s="80">
        <f t="shared" si="73"/>
        <v>0.02</v>
      </c>
      <c r="R37" s="44">
        <v>2.0920000000000001E-2</v>
      </c>
      <c r="S37" s="11">
        <f t="shared" si="54"/>
        <v>-0.90439770554493304</v>
      </c>
      <c r="U37" s="22">
        <v>7.0000000000000007E-2</v>
      </c>
      <c r="V37" s="23">
        <f>IF(ISERROR(VLOOKUP($B37,[1]Hedef!$A$4:$ES$45409,59,0)),0,VLOOKUP($B37,[1]Hedef!$A$4:$ES$45409,59,0))</f>
        <v>1.64E-3</v>
      </c>
      <c r="W37" s="23">
        <f t="shared" si="74"/>
        <v>6.8360000000000004E-2</v>
      </c>
      <c r="X37" s="80">
        <f t="shared" si="75"/>
        <v>0.02</v>
      </c>
      <c r="Z37" s="44">
        <v>4.2825000000000002E-2</v>
      </c>
      <c r="AA37" s="11">
        <f t="shared" si="57"/>
        <v>-0.96170461179217737</v>
      </c>
      <c r="AB37" s="72"/>
      <c r="AC37" s="22">
        <v>0.14000000000000001</v>
      </c>
      <c r="AD37" s="23">
        <f>IF(ISERROR(VLOOKUP($B37,[1]Hedef!$A$4:$ES$45409,67,0)),0,VLOOKUP($B37,[1]Hedef!$A$4:$ES$45409,67,0))</f>
        <v>1.6199999999999999E-3</v>
      </c>
      <c r="AE37" s="23">
        <f t="shared" si="76"/>
        <v>0.13838</v>
      </c>
      <c r="AF37" s="80">
        <f t="shared" si="77"/>
        <v>0.01</v>
      </c>
      <c r="AH37" s="44">
        <v>0.11818000000000001</v>
      </c>
      <c r="AI37" s="11">
        <f t="shared" si="78"/>
        <v>-0.98629209680148933</v>
      </c>
      <c r="AJ37" s="72"/>
      <c r="AK37" s="22">
        <v>0.15</v>
      </c>
      <c r="AL37" s="23">
        <f>IF(ISERROR(VLOOKUP($B37,[1]Hedef!$A$4:$ES$45409,63,0)),0,VLOOKUP($B37,[1]Hedef!$A$4:$ES$45409,63,0))</f>
        <v>8.199999999999999E-3</v>
      </c>
      <c r="AM37" s="23">
        <f t="shared" si="79"/>
        <v>0.14179999999999998</v>
      </c>
      <c r="AN37" s="80">
        <f t="shared" si="80"/>
        <v>0.05</v>
      </c>
      <c r="AP37" s="44">
        <v>9.9690000000000001E-2</v>
      </c>
      <c r="AQ37" s="11">
        <f t="shared" si="63"/>
        <v>-0.91774500952954163</v>
      </c>
      <c r="AS37" s="22">
        <f t="shared" si="81"/>
        <v>0.51</v>
      </c>
      <c r="AT37" s="23">
        <f>IF(ISERROR(VLOOKUP($B37,[1]Hedef!$A$4:$ES$45409,71,0)),0,VLOOKUP($B37,[1]Hedef!$A$4:$ES$45409,71,0))</f>
        <v>1.346E-2</v>
      </c>
      <c r="AU37" s="23">
        <f t="shared" si="82"/>
        <v>0.49653999999999998</v>
      </c>
      <c r="AV37" s="80">
        <f t="shared" si="83"/>
        <v>0.02</v>
      </c>
      <c r="AX37" s="44">
        <f t="shared" si="84"/>
        <v>0.34509500000000004</v>
      </c>
      <c r="AY37" s="11">
        <f t="shared" si="68"/>
        <v>-0.96099624741013334</v>
      </c>
      <c r="AZ37" s="12">
        <f>AS37-'GENEL HEDEF'!BY37</f>
        <v>0</v>
      </c>
      <c r="BA37" s="15">
        <f t="shared" si="85"/>
        <v>8.6736173798840355E-19</v>
      </c>
    </row>
    <row r="38" spans="2:53" ht="13" thickBot="1" x14ac:dyDescent="0.2">
      <c r="B38" s="18">
        <v>20</v>
      </c>
      <c r="C38" s="1" t="s">
        <v>63</v>
      </c>
      <c r="E38" s="22">
        <v>0.1</v>
      </c>
      <c r="F38" s="23">
        <f>IF(ISERROR(VLOOKUP($B38,[1]Hedef!$A$4:$ES$45409,61,0)),0,VLOOKUP($B38,[1]Hedef!$A$4:$ES$45409,61,0))</f>
        <v>0</v>
      </c>
      <c r="G38" s="23">
        <f t="shared" si="70"/>
        <v>0.1</v>
      </c>
      <c r="H38" s="80">
        <f t="shared" si="71"/>
        <v>0</v>
      </c>
      <c r="J38" s="44">
        <v>9.0999999999999998E-2</v>
      </c>
      <c r="K38" s="11">
        <f t="shared" si="51"/>
        <v>-1</v>
      </c>
      <c r="M38" s="22">
        <v>0.13</v>
      </c>
      <c r="N38" s="23">
        <f>IF(ISERROR(VLOOKUP($B38,[1]Hedef!$A$4:$ES$45409,65,0)),0,VLOOKUP($B38,[1]Hedef!$A$4:$ES$45409,65,0))</f>
        <v>0.01</v>
      </c>
      <c r="O38" s="23">
        <f t="shared" si="72"/>
        <v>0.12000000000000001</v>
      </c>
      <c r="P38" s="80">
        <f t="shared" si="73"/>
        <v>7.0000000000000007E-2</v>
      </c>
      <c r="R38" s="44">
        <v>0.10700000000000001</v>
      </c>
      <c r="S38" s="11">
        <f t="shared" si="54"/>
        <v>-0.90654205607476646</v>
      </c>
      <c r="U38" s="22">
        <v>0.1</v>
      </c>
      <c r="V38" s="23">
        <f>IF(ISERROR(VLOOKUP($B38,[1]Hedef!$A$4:$ES$45409,59,0)),0,VLOOKUP($B38,[1]Hedef!$A$4:$ES$45409,59,0))</f>
        <v>6.0000000000000001E-3</v>
      </c>
      <c r="W38" s="23">
        <f t="shared" si="74"/>
        <v>9.4E-2</v>
      </c>
      <c r="X38" s="80">
        <f t="shared" si="75"/>
        <v>0.06</v>
      </c>
      <c r="Z38" s="44">
        <v>7.1000000000000008E-2</v>
      </c>
      <c r="AA38" s="11">
        <f t="shared" si="57"/>
        <v>-0.91549295774647876</v>
      </c>
      <c r="AB38" s="72"/>
      <c r="AC38" s="22">
        <v>0.6</v>
      </c>
      <c r="AD38" s="23">
        <f>IF(ISERROR(VLOOKUP($B38,[1]Hedef!$A$4:$ES$45409,67,0)),0,VLOOKUP($B38,[1]Hedef!$A$4:$ES$45409,67,0))</f>
        <v>2.2000000000000002E-2</v>
      </c>
      <c r="AE38" s="23">
        <f t="shared" si="76"/>
        <v>0.57799999999999996</v>
      </c>
      <c r="AF38" s="80">
        <f t="shared" si="77"/>
        <v>0.03</v>
      </c>
      <c r="AH38" s="44">
        <v>0.6130000000000001</v>
      </c>
      <c r="AI38" s="11">
        <f t="shared" si="78"/>
        <v>-0.96411092985318103</v>
      </c>
      <c r="AJ38" s="72"/>
      <c r="AK38" s="22">
        <v>0.3</v>
      </c>
      <c r="AL38" s="23">
        <f>IF(ISERROR(VLOOKUP($B38,[1]Hedef!$A$4:$ES$45409,63,0)),0,VLOOKUP($B38,[1]Hedef!$A$4:$ES$45409,63,0))</f>
        <v>3.0000000000000001E-3</v>
      </c>
      <c r="AM38" s="23">
        <f t="shared" si="79"/>
        <v>0.29699999999999999</v>
      </c>
      <c r="AN38" s="80">
        <f t="shared" si="80"/>
        <v>0.01</v>
      </c>
      <c r="AP38" s="44">
        <v>0.28900000000000003</v>
      </c>
      <c r="AQ38" s="11">
        <f t="shared" si="63"/>
        <v>-0.98961937716262971</v>
      </c>
      <c r="AS38" s="22">
        <f t="shared" si="81"/>
        <v>1.23</v>
      </c>
      <c r="AT38" s="23">
        <f>IF(ISERROR(VLOOKUP($B38,[1]Hedef!$A$4:$ES$45409,71,0)),0,VLOOKUP($B38,[1]Hedef!$A$4:$ES$45409,71,0))</f>
        <v>4.1000000000000002E-2</v>
      </c>
      <c r="AU38" s="23">
        <f t="shared" si="82"/>
        <v>1.1890000000000001</v>
      </c>
      <c r="AV38" s="80">
        <f t="shared" si="83"/>
        <v>0.03</v>
      </c>
      <c r="AX38" s="44">
        <f t="shared" si="84"/>
        <v>1.171</v>
      </c>
      <c r="AY38" s="11">
        <f t="shared" si="68"/>
        <v>-0.96498719043552528</v>
      </c>
      <c r="AZ38" s="12">
        <f>AS38-'GENEL HEDEF'!BY38</f>
        <v>0</v>
      </c>
      <c r="BA38" s="15">
        <f t="shared" si="85"/>
        <v>-3.4694469519536142E-18</v>
      </c>
    </row>
    <row r="39" spans="2:53" ht="14" thickTop="1" thickBot="1" x14ac:dyDescent="0.2">
      <c r="B39" s="18"/>
      <c r="C39" s="2" t="s">
        <v>26</v>
      </c>
      <c r="E39" s="67">
        <v>3.9360000000000004</v>
      </c>
      <c r="F39" s="67">
        <f>SUM(F31:F38)</f>
        <v>0.47297</v>
      </c>
      <c r="G39" s="67">
        <f>SUM(G31:G38)</f>
        <v>0.84702999999999984</v>
      </c>
      <c r="H39" s="39">
        <f>TRUNC(IF((F39/E39)&gt;1.2,"120%",(F39/E39)),2)</f>
        <v>0.12</v>
      </c>
      <c r="I39" s="78"/>
      <c r="J39" s="67"/>
      <c r="K39" s="48"/>
      <c r="L39" s="78"/>
      <c r="M39" s="67">
        <v>2.8559999999999999</v>
      </c>
      <c r="N39" s="67">
        <f>SUM(N31:N38)</f>
        <v>0.23275026000000001</v>
      </c>
      <c r="O39" s="67">
        <f>SUM(O31:O38)</f>
        <v>1.3672497400000003</v>
      </c>
      <c r="P39" s="39">
        <f>TRUNC(IF((N39/M39)&gt;1.2,"120%",(N39/M39)),2)</f>
        <v>0.08</v>
      </c>
      <c r="Q39" s="78"/>
      <c r="R39" s="67"/>
      <c r="S39" s="48"/>
      <c r="T39" s="78"/>
      <c r="U39" s="67">
        <v>5.1779999999999999</v>
      </c>
      <c r="V39" s="67">
        <f>SUM(V31:V38)</f>
        <v>0.51730999999999994</v>
      </c>
      <c r="W39" s="67">
        <f>SUM(W31:W38)</f>
        <v>1.5426900000000001</v>
      </c>
      <c r="X39" s="39">
        <f>TRUNC(IF((V39/U39)&gt;1.2,"120%",(V39/U39)),2)</f>
        <v>0.09</v>
      </c>
      <c r="Y39" s="78"/>
      <c r="Z39" s="67"/>
      <c r="AA39" s="48"/>
      <c r="AB39" s="74"/>
      <c r="AC39" s="67">
        <v>6.0649999999999995</v>
      </c>
      <c r="AD39" s="67">
        <f>SUM(AD31:AD38)</f>
        <v>0.58658999999999994</v>
      </c>
      <c r="AE39" s="67">
        <f>SUM(AE31:AE38)</f>
        <v>3.5434099999999997</v>
      </c>
      <c r="AF39" s="39">
        <f>TRUNC(IF((AD39/AC39)&gt;1.2,"120%",(AD39/AC39)),2)</f>
        <v>0.09</v>
      </c>
      <c r="AG39" s="78"/>
      <c r="AH39" s="67"/>
      <c r="AI39" s="48"/>
      <c r="AJ39" s="74"/>
      <c r="AK39" s="67">
        <v>5.1449999999999996</v>
      </c>
      <c r="AL39" s="67">
        <f>SUM(AL31:AL38)</f>
        <v>0.14828000000000002</v>
      </c>
      <c r="AM39" s="67">
        <f>SUM(AM31:AM38)</f>
        <v>2.4617200000000001</v>
      </c>
      <c r="AN39" s="39">
        <f>TRUNC(IF((AL39/AK39)&gt;1.2,"120%",(AL39/AK39)),2)</f>
        <v>0.02</v>
      </c>
      <c r="AO39" s="78"/>
      <c r="AP39" s="67"/>
      <c r="AQ39" s="48"/>
      <c r="AR39" s="78"/>
      <c r="AS39" s="67">
        <f>SUM(AS31:AS38)</f>
        <v>11.72</v>
      </c>
      <c r="AT39" s="67">
        <f>SUM(AT31:AT38)</f>
        <v>1.9634502600000001</v>
      </c>
      <c r="AU39" s="67">
        <f>SUM(AU31:AU38)</f>
        <v>9.7565497400000005</v>
      </c>
      <c r="AV39" s="39">
        <f>TRUNC(IF((AT39/AS39)&gt;1.2,"120%",(AT39/AS39)),2)</f>
        <v>0.16</v>
      </c>
      <c r="AX39" s="67"/>
      <c r="AY39" s="48"/>
      <c r="AZ39" s="8">
        <v>0</v>
      </c>
      <c r="BA39" s="9"/>
    </row>
    <row r="40" spans="2:53" ht="13" thickTop="1" x14ac:dyDescent="0.15">
      <c r="B40" s="31">
        <v>22</v>
      </c>
      <c r="C40" s="1" t="s">
        <v>47</v>
      </c>
      <c r="E40" s="22">
        <v>215</v>
      </c>
      <c r="F40" s="23">
        <f>IF(ISERROR(VLOOKUP($B40,[1]Hedef!$A$4:$ES$45409,61,0)),0,VLOOKUP($B40,[1]Hedef!$A$4:$ES$45409,61,0))</f>
        <v>1</v>
      </c>
      <c r="G40" s="35">
        <f>IF((E40-F40)&lt;0, "-", (E40-F40))</f>
        <v>214</v>
      </c>
      <c r="H40" s="80">
        <f t="shared" ref="H40:H44" si="86">TRUNC(IF((F40/E40)&gt;1.2,"120%",(F40/E40)),2)</f>
        <v>0</v>
      </c>
      <c r="J40" s="44">
        <v>195.25</v>
      </c>
      <c r="K40" s="11">
        <f>IF(ISERROR((F40-J40)/J40),0,(F40-J40)/J40)</f>
        <v>-0.99487836107554417</v>
      </c>
      <c r="M40" s="22">
        <v>50</v>
      </c>
      <c r="N40" s="23">
        <f>IF(ISERROR(VLOOKUP($B40,[1]Hedef!$A$4:$ES$45409,65,0)),0,VLOOKUP($B40,[1]Hedef!$A$4:$ES$45409,65,0))</f>
        <v>5</v>
      </c>
      <c r="O40" s="35">
        <f>IF((M40-N40)&lt;0, "-", (M40-N40))</f>
        <v>45</v>
      </c>
      <c r="P40" s="80">
        <f t="shared" ref="P40:P44" si="87">TRUNC(IF((N40/M40)&gt;1.2,"120%",(N40/M40)),2)</f>
        <v>0.1</v>
      </c>
      <c r="R40" s="44">
        <v>30</v>
      </c>
      <c r="S40" s="11">
        <f>IF(ISERROR((N40-R40)/R40),0,(N40-R40)/R40)</f>
        <v>-0.83333333333333337</v>
      </c>
      <c r="U40" s="22">
        <v>80</v>
      </c>
      <c r="V40" s="23">
        <f>IF(ISERROR(VLOOKUP($B40,[1]Hedef!$A$4:$ES$45409,59,0)),0,VLOOKUP($B40,[1]Hedef!$A$4:$ES$45409,59,0))</f>
        <v>1</v>
      </c>
      <c r="W40" s="35">
        <f>IF((U40-V40)&lt;0, "-", (U40-V40))</f>
        <v>79</v>
      </c>
      <c r="X40" s="80">
        <f t="shared" ref="X40:X44" si="88">TRUNC(IF((V40/U40)&gt;1.2,"120%",(V40/U40)),2)</f>
        <v>0.01</v>
      </c>
      <c r="Z40" s="44">
        <v>67</v>
      </c>
      <c r="AA40" s="11">
        <f>IF(ISERROR((V40-Z40)/Z40),0,(V40-Z40)/Z40)</f>
        <v>-0.9850746268656716</v>
      </c>
      <c r="AB40" s="72"/>
      <c r="AC40" s="22">
        <v>250</v>
      </c>
      <c r="AD40" s="23">
        <f>IF(ISERROR(VLOOKUP($B40,[1]Hedef!$A$4:$ES$45409,67,0)),0,VLOOKUP($B40,[1]Hedef!$A$4:$ES$45409,67,0))</f>
        <v>120.125</v>
      </c>
      <c r="AE40" s="35">
        <f>IF((AC40-AD40)&lt;0, "-", (AC40-AD40))</f>
        <v>129.875</v>
      </c>
      <c r="AF40" s="80">
        <f t="shared" ref="AF40:AF44" si="89">TRUNC(IF((AD40/AC40)&gt;1.2,"120%",(AD40/AC40)),2)</f>
        <v>0.48</v>
      </c>
      <c r="AH40" s="44">
        <v>205</v>
      </c>
      <c r="AI40" s="11">
        <f>IF(ISERROR((AD40-AH40)/AH40),0,(AD40-AH40)/AH40)</f>
        <v>-0.41402439024390242</v>
      </c>
      <c r="AJ40" s="72"/>
      <c r="AK40" s="22">
        <v>80</v>
      </c>
      <c r="AL40" s="23">
        <f>IF(ISERROR(VLOOKUP($B40,[1]Hedef!$A$4:$ES$45409,63,0)),0,VLOOKUP($B40,[1]Hedef!$A$4:$ES$45409,63,0))</f>
        <v>6.25</v>
      </c>
      <c r="AM40" s="35">
        <f>IF((AK40-AL40)&lt;0, "-", (AK40-AL40))</f>
        <v>73.75</v>
      </c>
      <c r="AN40" s="80">
        <f t="shared" ref="AN40:AN44" si="90">TRUNC(IF((AL40/AK40)&gt;1.2,"120%",(AL40/AK40)),2)</f>
        <v>7.0000000000000007E-2</v>
      </c>
      <c r="AP40" s="44">
        <v>67.6666666666667</v>
      </c>
      <c r="AQ40" s="11">
        <f>IF(ISERROR((AL40-AP40)/AP40),0,(AL40-AP40)/AP40)</f>
        <v>-0.9076354679802956</v>
      </c>
      <c r="AS40" s="22">
        <f>AK40+AC40+U40+M40+E40</f>
        <v>675</v>
      </c>
      <c r="AT40" s="23">
        <f>IF(ISERROR(VLOOKUP($B40,[1]Hedef!$A$4:$ES$45409,71,0)),0,VLOOKUP($B40,[1]Hedef!$A$4:$ES$45409,71,0))</f>
        <v>133.375</v>
      </c>
      <c r="AU40" s="35">
        <f>IF((AS40-AT40)&lt;0, "-", (AS40-AT40))</f>
        <v>541.625</v>
      </c>
      <c r="AV40" s="80">
        <f t="shared" ref="AV40:AV44" si="91">TRUNC(IF((AT40/AS40)&gt;1.2,"120%",(AT40/AS40)),2)</f>
        <v>0.19</v>
      </c>
      <c r="AX40" s="44">
        <f t="shared" ref="AX40:AX44" si="92">+AP40+AH40+Z40+R40+J40</f>
        <v>564.91666666666674</v>
      </c>
      <c r="AY40" s="11">
        <f>IF(ISERROR((AT40-AX40)/AX40),0,(AT40-AX40)/AX40)</f>
        <v>-0.76390323056498011</v>
      </c>
      <c r="AZ40" s="12">
        <f>AS40-'GENEL HEDEF'!BY40</f>
        <v>0</v>
      </c>
      <c r="BA40" s="15">
        <f>AT40-AL40-AD40-V40-N40-F40</f>
        <v>0</v>
      </c>
    </row>
    <row r="41" spans="2:53" x14ac:dyDescent="0.15">
      <c r="B41" s="31">
        <v>999</v>
      </c>
      <c r="C41" s="1" t="s">
        <v>48</v>
      </c>
      <c r="E41" s="22">
        <v>650</v>
      </c>
      <c r="F41" s="23">
        <f>IF(ISERROR(VLOOKUP($B41,[1]Hedef!$A$4:$ES$45409,61,0)),0,VLOOKUP($B41,[1]Hedef!$A$4:$ES$45409,61,0))</f>
        <v>1</v>
      </c>
      <c r="G41" s="35">
        <f>IF((E41-F41)&lt;0, "-", (E41-F41))</f>
        <v>649</v>
      </c>
      <c r="H41" s="80">
        <f t="shared" si="86"/>
        <v>0</v>
      </c>
      <c r="J41" s="44">
        <v>487</v>
      </c>
      <c r="K41" s="11">
        <f t="shared" si="51"/>
        <v>-0.99794661190965095</v>
      </c>
      <c r="M41" s="22">
        <v>180</v>
      </c>
      <c r="N41" s="23">
        <f>IF(ISERROR(VLOOKUP($B41,[1]Hedef!$A$4:$ES$45409,65,0)),0,VLOOKUP($B41,[1]Hedef!$A$4:$ES$45409,65,0))</f>
        <v>41</v>
      </c>
      <c r="O41" s="35">
        <f>IF((M41-N41)&lt;0, "-", (M41-N41))</f>
        <v>139</v>
      </c>
      <c r="P41" s="80">
        <f t="shared" si="87"/>
        <v>0.22</v>
      </c>
      <c r="R41" s="44">
        <v>116.625</v>
      </c>
      <c r="S41" s="11">
        <f t="shared" si="54"/>
        <v>-0.64844587352625938</v>
      </c>
      <c r="U41" s="22">
        <v>210</v>
      </c>
      <c r="V41" s="23">
        <f>IF(ISERROR(VLOOKUP($B41,[1]Hedef!$A$4:$ES$45409,59,0)),0,VLOOKUP($B41,[1]Hedef!$A$4:$ES$45409,59,0))</f>
        <v>9.4166666666666679</v>
      </c>
      <c r="W41" s="35">
        <f>IF((U41-V41)&lt;0, "-", (U41-V41))</f>
        <v>200.58333333333334</v>
      </c>
      <c r="X41" s="80">
        <f t="shared" si="88"/>
        <v>0.04</v>
      </c>
      <c r="Z41" s="44">
        <v>147.25</v>
      </c>
      <c r="AA41" s="11">
        <f t="shared" si="57"/>
        <v>-0.93604980192416531</v>
      </c>
      <c r="AB41" s="72"/>
      <c r="AC41" s="22">
        <v>200</v>
      </c>
      <c r="AD41" s="23">
        <f>IF(ISERROR(VLOOKUP($B41,[1]Hedef!$A$4:$ES$45409,67,0)),0,VLOOKUP($B41,[1]Hedef!$A$4:$ES$45409,67,0))</f>
        <v>30.75</v>
      </c>
      <c r="AE41" s="35">
        <f>IF((AC41-AD41)&lt;0, "-", (AC41-AD41))</f>
        <v>169.25</v>
      </c>
      <c r="AF41" s="80">
        <f t="shared" si="89"/>
        <v>0.15</v>
      </c>
      <c r="AH41" s="44">
        <v>129.5</v>
      </c>
      <c r="AI41" s="11">
        <f>IF(ISERROR((AD41-AH41)/AH41),0,(AD41-AH41)/AH41)</f>
        <v>-0.76254826254826258</v>
      </c>
      <c r="AJ41" s="72"/>
      <c r="AK41" s="22">
        <v>200</v>
      </c>
      <c r="AL41" s="23">
        <f>IF(ISERROR(VLOOKUP($B41,[1]Hedef!$A$4:$ES$45409,63,0)),0,VLOOKUP($B41,[1]Hedef!$A$4:$ES$45409,63,0))</f>
        <v>8.25</v>
      </c>
      <c r="AM41" s="35">
        <f>IF((AK41-AL41)&lt;0, "-", (AK41-AL41))</f>
        <v>191.75</v>
      </c>
      <c r="AN41" s="80">
        <f t="shared" si="90"/>
        <v>0.04</v>
      </c>
      <c r="AP41" s="44">
        <v>137.00000000000006</v>
      </c>
      <c r="AQ41" s="11">
        <f t="shared" si="63"/>
        <v>-0.93978102189781021</v>
      </c>
      <c r="AS41" s="22">
        <f>AK41+AC41+U41+M41+E41</f>
        <v>1440</v>
      </c>
      <c r="AT41" s="23">
        <f>IF(ISERROR(VLOOKUP($B41,[1]Hedef!$A$4:$ES$45409,71,0)),0,VLOOKUP($B41,[1]Hedef!$A$4:$ES$45409,71,0))</f>
        <v>90.4166666666667</v>
      </c>
      <c r="AU41" s="35">
        <f>IF((AS41-AT41)&lt;0, "-", (AS41-AT41))</f>
        <v>1349.5833333333333</v>
      </c>
      <c r="AV41" s="80">
        <f t="shared" si="91"/>
        <v>0.06</v>
      </c>
      <c r="AX41" s="44">
        <f t="shared" si="92"/>
        <v>1017.375</v>
      </c>
      <c r="AY41" s="11">
        <f t="shared" si="68"/>
        <v>-0.91112749314002528</v>
      </c>
      <c r="AZ41" s="12">
        <f>AS41-'GENEL HEDEF'!BY41</f>
        <v>0</v>
      </c>
      <c r="BA41" s="15">
        <f>AT41-AL41-AD41-V41-N41-F41</f>
        <v>2.8421709430404007E-14</v>
      </c>
    </row>
    <row r="42" spans="2:53" x14ac:dyDescent="0.15">
      <c r="B42" s="18">
        <v>888</v>
      </c>
      <c r="C42" s="1" t="s">
        <v>27</v>
      </c>
      <c r="E42" s="22">
        <v>30</v>
      </c>
      <c r="F42" s="23">
        <f>IF(ISERROR(VLOOKUP($B42,[1]Hedef!$A$4:$ES$45409,61,0)),0,VLOOKUP($B42,[1]Hedef!$A$4:$ES$45409,61,0))</f>
        <v>0</v>
      </c>
      <c r="G42" s="23">
        <f>IF((E42-F42)&lt;0, "-", (E42-F42))</f>
        <v>30</v>
      </c>
      <c r="H42" s="80">
        <f t="shared" si="86"/>
        <v>0</v>
      </c>
      <c r="J42" s="44">
        <v>24.875</v>
      </c>
      <c r="K42" s="11">
        <f>IF(ISERROR((F42-J42)/J42),0,(F42-J42)/J42)</f>
        <v>-1</v>
      </c>
      <c r="M42" s="22">
        <v>30</v>
      </c>
      <c r="N42" s="23">
        <f>IF(ISERROR(VLOOKUP($B42,[1]Hedef!$A$4:$ES$45409,65,0)),0,VLOOKUP($B42,[1]Hedef!$A$4:$ES$45409,65,0))</f>
        <v>10</v>
      </c>
      <c r="O42" s="23">
        <f>IF((M42-N42)&lt;0, "-", (M42-N42))</f>
        <v>20</v>
      </c>
      <c r="P42" s="80">
        <f t="shared" si="87"/>
        <v>0.33</v>
      </c>
      <c r="R42" s="44">
        <v>0.5</v>
      </c>
      <c r="S42" s="11">
        <f>IF(ISERROR((N42-R42)/R42),0,(N42-R42)/R42)</f>
        <v>19</v>
      </c>
      <c r="U42" s="22">
        <v>40</v>
      </c>
      <c r="V42" s="23">
        <f>IF(ISERROR(VLOOKUP($B42,[1]Hedef!$A$4:$ES$45409,59,0)),0,VLOOKUP($B42,[1]Hedef!$A$4:$ES$45409,59,0))</f>
        <v>16</v>
      </c>
      <c r="W42" s="23">
        <f>IF((U42-V42)&lt;0, "-", (U42-V42))</f>
        <v>24</v>
      </c>
      <c r="X42" s="80">
        <f t="shared" si="88"/>
        <v>0.4</v>
      </c>
      <c r="Z42" s="44">
        <v>0</v>
      </c>
      <c r="AA42" s="11">
        <f>IF(ISERROR((V42-Z42)/Z42),0,(V42-Z42)/Z42)</f>
        <v>0</v>
      </c>
      <c r="AB42" s="72"/>
      <c r="AC42" s="22">
        <v>40</v>
      </c>
      <c r="AD42" s="23">
        <f>IF(ISERROR(VLOOKUP($B42,[1]Hedef!$A$4:$ES$45409,67,0)),0,VLOOKUP($B42,[1]Hedef!$A$4:$ES$45409,67,0))</f>
        <v>34.166666666666671</v>
      </c>
      <c r="AE42" s="23">
        <f>IF((AC42-AD42)&lt;0, "-", (AC42-AD42))</f>
        <v>5.8333333333333286</v>
      </c>
      <c r="AF42" s="80">
        <f t="shared" si="89"/>
        <v>0.85</v>
      </c>
      <c r="AH42" s="44">
        <v>3.03125</v>
      </c>
      <c r="AI42" s="11">
        <f>IF(ISERROR((AD42-AH42)/AH42),0,(AD42-AH42)/AH42)</f>
        <v>10.271477663230241</v>
      </c>
      <c r="AJ42" s="72"/>
      <c r="AK42" s="22">
        <v>30</v>
      </c>
      <c r="AL42" s="23">
        <f>IF(ISERROR(VLOOKUP($B42,[1]Hedef!$A$4:$ES$45409,63,0)),0,VLOOKUP($B42,[1]Hedef!$A$4:$ES$45409,63,0))</f>
        <v>10</v>
      </c>
      <c r="AM42" s="23">
        <f>IF((AK42-AL42)&lt;0, "-", (AK42-AL42))</f>
        <v>20</v>
      </c>
      <c r="AN42" s="80">
        <f t="shared" si="90"/>
        <v>0.33</v>
      </c>
      <c r="AP42" s="44">
        <v>3</v>
      </c>
      <c r="AQ42" s="11">
        <f>IF(ISERROR((AL42-AP42)/AP42),0,(AL42-AP42)/AP42)</f>
        <v>2.3333333333333335</v>
      </c>
      <c r="AS42" s="22">
        <f>AK42+AC42+U42+M42+E42</f>
        <v>170</v>
      </c>
      <c r="AT42" s="23">
        <f>IF(ISERROR(VLOOKUP($B42,[1]Hedef!$A$4:$ES$45409,71,0)),0,VLOOKUP($B42,[1]Hedef!$A$4:$ES$45409,71,0))</f>
        <v>72.166666666666657</v>
      </c>
      <c r="AU42" s="23">
        <f>IF((AS42-AT42)&lt;0, "-", (AS42-AT42))</f>
        <v>97.833333333333343</v>
      </c>
      <c r="AV42" s="80">
        <f t="shared" si="91"/>
        <v>0.42</v>
      </c>
      <c r="AX42" s="44">
        <f t="shared" si="92"/>
        <v>31.40625</v>
      </c>
      <c r="AY42" s="11">
        <f>IF(ISERROR((AT42-AX42)/AX42),0,(AT42-AX42)/AX42)</f>
        <v>1.2978441127694855</v>
      </c>
      <c r="AZ42" s="12">
        <f>AS42-'GENEL HEDEF'!BY42</f>
        <v>0</v>
      </c>
      <c r="BA42" s="15">
        <f>AT42-AL42-AD42-V42-N42-F42</f>
        <v>1.9999999999999858</v>
      </c>
    </row>
    <row r="43" spans="2:53" x14ac:dyDescent="0.15">
      <c r="B43" s="18">
        <v>14</v>
      </c>
      <c r="C43" s="1" t="s">
        <v>131</v>
      </c>
      <c r="E43" s="22">
        <v>1</v>
      </c>
      <c r="F43" s="23">
        <f>IF(ISERROR(VLOOKUP($B43,[1]Hedef!$A$4:$ES$45409,61,0)),0,VLOOKUP($B43,[1]Hedef!$A$4:$ES$45409,61,0))</f>
        <v>0</v>
      </c>
      <c r="G43" s="23">
        <f>IF((E43-F43)&lt;0, "-", (E43-F43))</f>
        <v>1</v>
      </c>
      <c r="H43" s="80">
        <f t="shared" si="86"/>
        <v>0</v>
      </c>
      <c r="J43" s="44">
        <v>-1</v>
      </c>
      <c r="K43" s="11">
        <f t="shared" ref="K43" si="93">IF(ISERROR((F43-J43)/J43),0,(F43-J43)/J43)</f>
        <v>-1</v>
      </c>
      <c r="M43" s="22">
        <v>2</v>
      </c>
      <c r="N43" s="23">
        <f>IF(ISERROR(VLOOKUP($B43,[1]Hedef!$A$4:$ES$45409,65,0)),0,VLOOKUP($B43,[1]Hedef!$A$4:$ES$45409,65,0))</f>
        <v>0.45833333333333304</v>
      </c>
      <c r="O43" s="23">
        <f>IF((M43-N43)&lt;0, "-", (M43-N43))</f>
        <v>1.541666666666667</v>
      </c>
      <c r="P43" s="80">
        <f t="shared" si="87"/>
        <v>0.22</v>
      </c>
      <c r="R43" s="44">
        <v>5.30556108888889</v>
      </c>
      <c r="S43" s="11">
        <f t="shared" ref="S43" si="94">IF(ISERROR((N43-R43)/R43),0,(N43-R43)/R43)</f>
        <v>-0.91361265554114679</v>
      </c>
      <c r="U43" s="22">
        <v>1</v>
      </c>
      <c r="V43" s="23">
        <f>IF(ISERROR(VLOOKUP($B43,[1]Hedef!$A$4:$ES$45409,59,0)),0,VLOOKUP($B43,[1]Hedef!$A$4:$ES$45409,59,0))</f>
        <v>0.88888888888888906</v>
      </c>
      <c r="W43" s="23">
        <f>IF((U43-V43)&lt;0, "-", (U43-V43))</f>
        <v>0.11111111111111094</v>
      </c>
      <c r="X43" s="80">
        <f t="shared" si="88"/>
        <v>0.88</v>
      </c>
      <c r="Z43" s="44">
        <v>-4.791666666666667</v>
      </c>
      <c r="AA43" s="11">
        <f t="shared" ref="AA43" si="95">IF(ISERROR((V43-Z43)/Z43),0,(V43-Z43)/Z43)</f>
        <v>-1.1855072463768117</v>
      </c>
      <c r="AB43" s="72"/>
      <c r="AC43" s="22">
        <v>4</v>
      </c>
      <c r="AD43" s="23">
        <f>IF(ISERROR(VLOOKUP($B43,[1]Hedef!$A$4:$ES$45409,67,0)),0,VLOOKUP($B43,[1]Hedef!$A$4:$ES$45409,67,0))</f>
        <v>3.7222222222222197</v>
      </c>
      <c r="AE43" s="23">
        <f>IF((AC43-AD43)&lt;0, "-", (AC43-AD43))</f>
        <v>0.27777777777778034</v>
      </c>
      <c r="AF43" s="80">
        <f t="shared" si="89"/>
        <v>0.93</v>
      </c>
      <c r="AH43" s="44">
        <v>0.23611332444444422</v>
      </c>
      <c r="AI43" s="11">
        <f>IF(ISERROR((AD43-AH43)/AH43),0,(AD43-AH43)/AH43)</f>
        <v>14.764558103530629</v>
      </c>
      <c r="AJ43" s="72"/>
      <c r="AK43" s="22">
        <v>2</v>
      </c>
      <c r="AL43" s="23">
        <f>IF(ISERROR(VLOOKUP($B43,[1]Hedef!$A$4:$ES$45409,63,0)),0,VLOOKUP($B43,[1]Hedef!$A$4:$ES$45409,63,0))</f>
        <v>0.44444444444444436</v>
      </c>
      <c r="AM43" s="23">
        <f>IF((AK43-AL43)&lt;0, "-", (AK43-AL43))</f>
        <v>1.5555555555555556</v>
      </c>
      <c r="AN43" s="80">
        <f t="shared" si="90"/>
        <v>0.22</v>
      </c>
      <c r="AP43" s="44">
        <v>1.583333333333333</v>
      </c>
      <c r="AQ43" s="11">
        <f t="shared" ref="AQ43" si="96">IF(ISERROR((AL43-AP43)/AP43),0,(AL43-AP43)/AP43)</f>
        <v>-0.7192982456140351</v>
      </c>
      <c r="AS43" s="22">
        <f>AK43+AC43+U43+M43+E43</f>
        <v>10</v>
      </c>
      <c r="AT43" s="23">
        <f>IF(ISERROR(VLOOKUP($B43,[1]Hedef!$A$4:$ES$45409,71,0)),0,VLOOKUP($B43,[1]Hedef!$A$4:$ES$45409,71,0))</f>
        <v>5.7222222222222241</v>
      </c>
      <c r="AU43" s="23">
        <f>IF((AS43-AT43)&lt;0, "-", (AS43-AT43))</f>
        <v>4.2777777777777759</v>
      </c>
      <c r="AV43" s="80">
        <f t="shared" si="91"/>
        <v>0.56999999999999995</v>
      </c>
      <c r="AX43" s="44">
        <f t="shared" si="92"/>
        <v>1.3333410800000003</v>
      </c>
      <c r="AY43" s="11">
        <f t="shared" ref="AY43" si="97">IF(ISERROR((AT43-AX43)/AX43),0,(AT43-AX43)/AX43)</f>
        <v>3.2916417322282028</v>
      </c>
      <c r="AZ43" s="12">
        <f>AS43-'GENEL HEDEF'!BY43</f>
        <v>0</v>
      </c>
      <c r="BA43" s="15">
        <f>AT43-AL43-AD43-V43-N43-F43</f>
        <v>0.2083333333333377</v>
      </c>
    </row>
    <row r="44" spans="2:53" ht="13" thickBot="1" x14ac:dyDescent="0.2">
      <c r="B44" s="18">
        <v>17</v>
      </c>
      <c r="C44" s="1" t="s">
        <v>61</v>
      </c>
      <c r="E44" s="22">
        <v>6</v>
      </c>
      <c r="F44" s="23">
        <f>IF(ISERROR(VLOOKUP($B44,[1]Hedef!$A$4:$ES$45409,61,0)),0,VLOOKUP($B44,[1]Hedef!$A$4:$ES$45409,61,0))</f>
        <v>0</v>
      </c>
      <c r="G44" s="23">
        <f>IF((E44-F44)&lt;0, "-", (E44-F44))</f>
        <v>6</v>
      </c>
      <c r="H44" s="80">
        <f t="shared" si="86"/>
        <v>0</v>
      </c>
      <c r="J44" s="44">
        <v>5.5</v>
      </c>
      <c r="K44" s="11">
        <f t="shared" si="51"/>
        <v>-1</v>
      </c>
      <c r="M44" s="22">
        <v>9</v>
      </c>
      <c r="N44" s="23">
        <f>IF(ISERROR(VLOOKUP($B44,[1]Hedef!$A$4:$ES$45409,65,0)),0,VLOOKUP($B44,[1]Hedef!$A$4:$ES$45409,65,0))</f>
        <v>0.20833333333333301</v>
      </c>
      <c r="O44" s="23">
        <f>IF((M44-N44)&lt;0, "-", (M44-N44))</f>
        <v>8.7916666666666679</v>
      </c>
      <c r="P44" s="80">
        <f t="shared" si="87"/>
        <v>0.02</v>
      </c>
      <c r="R44" s="44">
        <v>6.7500000000000107</v>
      </c>
      <c r="S44" s="11">
        <f t="shared" si="54"/>
        <v>-0.96913580246913589</v>
      </c>
      <c r="U44" s="22">
        <v>6</v>
      </c>
      <c r="V44" s="23">
        <f>IF(ISERROR(VLOOKUP($B44,[1]Hedef!$A$4:$ES$45409,59,0)),0,VLOOKUP($B44,[1]Hedef!$A$4:$ES$45409,59,0))</f>
        <v>0.45833333333333404</v>
      </c>
      <c r="W44" s="23">
        <f>IF((U44-V44)&lt;0, "-", (U44-V44))</f>
        <v>5.5416666666666661</v>
      </c>
      <c r="X44" s="80">
        <f t="shared" si="88"/>
        <v>7.0000000000000007E-2</v>
      </c>
      <c r="Z44" s="44">
        <v>5</v>
      </c>
      <c r="AA44" s="11">
        <f t="shared" si="57"/>
        <v>-0.90833333333333321</v>
      </c>
      <c r="AB44" s="72"/>
      <c r="AC44" s="22">
        <v>5</v>
      </c>
      <c r="AD44" s="23">
        <f>IF(ISERROR(VLOOKUP($B44,[1]Hedef!$A$4:$ES$45409,67,0)),0,VLOOKUP($B44,[1]Hedef!$A$4:$ES$45409,67,0))</f>
        <v>3.083333333333333</v>
      </c>
      <c r="AE44" s="23">
        <f>IF((AC44-AD44)&lt;0, "-", (AC44-AD44))</f>
        <v>1.916666666666667</v>
      </c>
      <c r="AF44" s="80">
        <f t="shared" si="89"/>
        <v>0.61</v>
      </c>
      <c r="AH44" s="44">
        <v>1.5</v>
      </c>
      <c r="AI44" s="11">
        <f>IF(ISERROR((AD44-AH44)/AH44),0,(AD44-AH44)/AH44)</f>
        <v>1.0555555555555554</v>
      </c>
      <c r="AJ44" s="72"/>
      <c r="AK44" s="22">
        <v>10</v>
      </c>
      <c r="AL44" s="23">
        <f>IF(ISERROR(VLOOKUP($B44,[1]Hedef!$A$4:$ES$45409,63,0)),0,VLOOKUP($B44,[1]Hedef!$A$4:$ES$45409,63,0))</f>
        <v>2.4166666666666701</v>
      </c>
      <c r="AM44" s="23">
        <f>IF((AK44-AL44)&lt;0, "-", (AK44-AL44))</f>
        <v>7.5833333333333304</v>
      </c>
      <c r="AN44" s="80">
        <f t="shared" si="90"/>
        <v>0.24</v>
      </c>
      <c r="AP44" s="44">
        <v>7.791666666666667</v>
      </c>
      <c r="AQ44" s="11">
        <f t="shared" si="63"/>
        <v>-0.68983957219251291</v>
      </c>
      <c r="AS44" s="22">
        <f>AK44+AC44+U44+M44+E44</f>
        <v>36</v>
      </c>
      <c r="AT44" s="23">
        <f>IF(ISERROR(VLOOKUP($B44,[1]Hedef!$A$4:$ES$45409,71,0)),0,VLOOKUP($B44,[1]Hedef!$A$4:$ES$45409,71,0))</f>
        <v>6.166666666666667</v>
      </c>
      <c r="AU44" s="23">
        <f>IF((AS44-AT44)&lt;0, "-", (AS44-AT44))</f>
        <v>29.833333333333332</v>
      </c>
      <c r="AV44" s="80">
        <f t="shared" si="91"/>
        <v>0.17</v>
      </c>
      <c r="AX44" s="44">
        <f t="shared" si="92"/>
        <v>26.541666666666679</v>
      </c>
      <c r="AY44" s="11">
        <f t="shared" si="68"/>
        <v>-0.76766091051805341</v>
      </c>
      <c r="AZ44" s="12">
        <f>AS44-'GENEL HEDEF'!BY44</f>
        <v>0</v>
      </c>
      <c r="BA44" s="15">
        <f>AT44-AL44-AD44-V44-N44-F44</f>
        <v>-3.1918911957973251E-15</v>
      </c>
    </row>
    <row r="45" spans="2:53" ht="14" thickTop="1" thickBot="1" x14ac:dyDescent="0.2">
      <c r="B45" s="18"/>
      <c r="C45" s="2" t="s">
        <v>28</v>
      </c>
      <c r="E45" s="67">
        <v>1181</v>
      </c>
      <c r="F45" s="41">
        <f>SUM(F40:F44)</f>
        <v>2</v>
      </c>
      <c r="G45" s="41">
        <f>SUM(G41:G44)</f>
        <v>686</v>
      </c>
      <c r="H45" s="39">
        <f>TRUNC(IF((F45/E45)&gt;1.2,"120%",(F45/E45)),2)</f>
        <v>0</v>
      </c>
      <c r="I45" s="78"/>
      <c r="J45" s="67"/>
      <c r="K45" s="48"/>
      <c r="L45" s="78"/>
      <c r="M45" s="67">
        <v>376</v>
      </c>
      <c r="N45" s="41">
        <f>SUM(N40:N44)</f>
        <v>56.666666666666671</v>
      </c>
      <c r="O45" s="41">
        <f>SUM(O41:O44)</f>
        <v>169.33333333333331</v>
      </c>
      <c r="P45" s="39">
        <f>TRUNC(IF((N45/M45)&gt;1.2,"120%",(N45/M45)),2)</f>
        <v>0.15</v>
      </c>
      <c r="Q45" s="78"/>
      <c r="R45" s="67"/>
      <c r="S45" s="48"/>
      <c r="T45" s="78"/>
      <c r="U45" s="67">
        <v>230</v>
      </c>
      <c r="V45" s="41">
        <f>SUM(V40:V44)</f>
        <v>27.763888888888893</v>
      </c>
      <c r="W45" s="41">
        <f>SUM(W41:W44)</f>
        <v>230.23611111111111</v>
      </c>
      <c r="X45" s="39">
        <f>TRUNC(IF((V45/U45)&gt;1.2,"120%",(V45/U45)),2)</f>
        <v>0.12</v>
      </c>
      <c r="Y45" s="78"/>
      <c r="Z45" s="67"/>
      <c r="AA45" s="48"/>
      <c r="AB45" s="74"/>
      <c r="AC45" s="67">
        <v>674</v>
      </c>
      <c r="AD45" s="41">
        <f>SUM(AD40:AD44)</f>
        <v>191.84722222222226</v>
      </c>
      <c r="AE45" s="41">
        <f>SUM(AE41:AE44)</f>
        <v>177.27777777777774</v>
      </c>
      <c r="AF45" s="39">
        <f>TRUNC(IF((AD45/AC45)&gt;1.2,"120%",(AD45/AC45)),2)</f>
        <v>0.28000000000000003</v>
      </c>
      <c r="AG45" s="78"/>
      <c r="AH45" s="67"/>
      <c r="AI45" s="48"/>
      <c r="AJ45" s="74"/>
      <c r="AK45" s="67">
        <v>463</v>
      </c>
      <c r="AL45" s="41">
        <f>SUM(AL40:AL44)</f>
        <v>27.361111111111114</v>
      </c>
      <c r="AM45" s="41">
        <f>SUM(AM41:AM44)</f>
        <v>220.88888888888889</v>
      </c>
      <c r="AN45" s="39">
        <f>TRUNC(IF((AL45/AK45)&gt;1.2,"120%",(AL45/AK45)),2)</f>
        <v>0.05</v>
      </c>
      <c r="AO45" s="78"/>
      <c r="AP45" s="67"/>
      <c r="AQ45" s="48"/>
      <c r="AR45" s="78"/>
      <c r="AS45" s="67">
        <f>SUM(AS40:AS44)</f>
        <v>2331</v>
      </c>
      <c r="AT45" s="41">
        <f>SUM(AT40:AT44)</f>
        <v>307.84722222222229</v>
      </c>
      <c r="AU45" s="41">
        <f>SUM(AU41:AU44)</f>
        <v>1481.5277777777776</v>
      </c>
      <c r="AV45" s="39">
        <f>TRUNC(IF((AT45/AS45)&gt;1.2,"120%",(AT45/AS45)),2)</f>
        <v>0.13</v>
      </c>
      <c r="AX45" s="67"/>
      <c r="AY45" s="48"/>
      <c r="AZ45" s="8"/>
      <c r="BA45" s="9"/>
    </row>
    <row r="46" spans="2:53" ht="13" thickTop="1" x14ac:dyDescent="0.15">
      <c r="B46" s="18">
        <v>52</v>
      </c>
      <c r="C46" s="1" t="s">
        <v>68</v>
      </c>
      <c r="E46" s="22">
        <v>0.75</v>
      </c>
      <c r="F46" s="23">
        <f>IF(ISERROR(VLOOKUP($B46,[1]Hedef!$A$4:$ES$45409,61,0)),0,VLOOKUP($B46,[1]Hedef!$A$4:$ES$45409,61,0))</f>
        <v>0.06</v>
      </c>
      <c r="G46" s="23">
        <f t="shared" ref="G46:G56" si="98">IF((E46-F46)&lt;0, "-", (E46-F46))</f>
        <v>0.69</v>
      </c>
      <c r="H46" s="80">
        <f t="shared" ref="H46:H56" si="99">TRUNC(IF((F46/E46)&gt;1.2,"120%",(F46/E46)),2)</f>
        <v>0.08</v>
      </c>
      <c r="J46" s="44">
        <v>0.56695999999999991</v>
      </c>
      <c r="K46" s="11">
        <f t="shared" si="51"/>
        <v>-0.89417242839000977</v>
      </c>
      <c r="M46" s="22">
        <v>0.4</v>
      </c>
      <c r="N46" s="23">
        <f>IF(ISERROR(VLOOKUP($B46,[1]Hedef!$A$4:$ES$45409,65,0)),0,VLOOKUP($B46,[1]Hedef!$A$4:$ES$45409,65,0))</f>
        <v>5.8000000000000003E-2</v>
      </c>
      <c r="O46" s="23">
        <f t="shared" ref="O46:O56" si="100">IF((M46-N46)&lt;0, "-", (M46-N46))</f>
        <v>0.34200000000000003</v>
      </c>
      <c r="P46" s="80">
        <f t="shared" ref="P46:P56" si="101">TRUNC(IF((N46/M46)&gt;1.2,"120%",(N46/M46)),2)</f>
        <v>0.14000000000000001</v>
      </c>
      <c r="R46" s="44">
        <v>0.26691999999999999</v>
      </c>
      <c r="S46" s="11">
        <f t="shared" si="54"/>
        <v>-0.78270642889255204</v>
      </c>
      <c r="U46" s="22">
        <v>0.1</v>
      </c>
      <c r="V46" s="23">
        <f>IF(ISERROR(VLOOKUP($B46,[1]Hedef!$A$4:$ES$45409,59,0)),0,VLOOKUP($B46,[1]Hedef!$A$4:$ES$45409,59,0))</f>
        <v>0</v>
      </c>
      <c r="W46" s="23">
        <f t="shared" ref="W46:W56" si="102">IF((U46-V46)&lt;0, "-", (U46-V46))</f>
        <v>0.1</v>
      </c>
      <c r="X46" s="80">
        <f t="shared" ref="X46:X56" si="103">TRUNC(IF((V46/U46)&gt;1.2,"120%",(V46/U46)),2)</f>
        <v>0</v>
      </c>
      <c r="Z46" s="44">
        <v>2.4E-2</v>
      </c>
      <c r="AA46" s="11">
        <f t="shared" si="57"/>
        <v>-1</v>
      </c>
      <c r="AB46" s="72"/>
      <c r="AC46" s="22">
        <v>0.45</v>
      </c>
      <c r="AD46" s="23">
        <f>IF(ISERROR(VLOOKUP($B46,[1]Hedef!$A$4:$ES$45409,67,0)),0,VLOOKUP($B46,[1]Hedef!$A$4:$ES$45409,67,0))</f>
        <v>1.2E-2</v>
      </c>
      <c r="AE46" s="23">
        <f t="shared" ref="AE46:AE56" si="104">IF((AC46-AD46)&lt;0, "-", (AC46-AD46))</f>
        <v>0.438</v>
      </c>
      <c r="AF46" s="80">
        <f t="shared" ref="AF46:AF56" si="105">TRUNC(IF((AD46/AC46)&gt;1.2,"120%",(AD46/AC46)),2)</f>
        <v>0.02</v>
      </c>
      <c r="AH46" s="44">
        <v>0.30768000000000001</v>
      </c>
      <c r="AI46" s="11">
        <f t="shared" ref="AI46:AI54" si="106">IF(ISERROR((AD46-AH46)/AH46),0,(AD46-AH46)/AH46)</f>
        <v>-0.96099843993759748</v>
      </c>
      <c r="AJ46" s="72"/>
      <c r="AK46" s="22">
        <v>0.92</v>
      </c>
      <c r="AL46" s="23">
        <f>IF(ISERROR(VLOOKUP($B46,[1]Hedef!$A$4:$ES$45409,63,0)),0,VLOOKUP($B46,[1]Hedef!$A$4:$ES$45409,63,0))</f>
        <v>0</v>
      </c>
      <c r="AM46" s="23">
        <f t="shared" ref="AM46:AM56" si="107">IF((AK46-AL46)&lt;0, "-", (AK46-AL46))</f>
        <v>0.92</v>
      </c>
      <c r="AN46" s="80">
        <f t="shared" ref="AN46:AN56" si="108">TRUNC(IF((AL46/AK46)&gt;1.2,"120%",(AL46/AK46)),2)</f>
        <v>0</v>
      </c>
      <c r="AP46" s="44">
        <v>0.67389999999999994</v>
      </c>
      <c r="AQ46" s="11">
        <f t="shared" si="63"/>
        <v>-1</v>
      </c>
      <c r="AS46" s="22">
        <f t="shared" ref="AS46:AS56" si="109">AK46+AC46+U46+M46+E46</f>
        <v>2.62</v>
      </c>
      <c r="AT46" s="23">
        <f>IF(ISERROR(VLOOKUP($B46,[1]Hedef!$A$4:$ES$45409,71,0)),0,VLOOKUP($B46,[1]Hedef!$A$4:$ES$45409,71,0))</f>
        <v>0.13</v>
      </c>
      <c r="AU46" s="23">
        <f t="shared" ref="AU46:AU56" si="110">IF((AS46-AT46)&lt;0, "-", (AS46-AT46))</f>
        <v>2.4900000000000002</v>
      </c>
      <c r="AV46" s="80">
        <f t="shared" ref="AV46:AV56" si="111">TRUNC(IF((AT46/AS46)&gt;1.2,"120%",(AT46/AS46)),2)</f>
        <v>0.04</v>
      </c>
      <c r="AX46" s="44">
        <f t="shared" ref="AX46:AX54" si="112">+AP46+AH46+Z46+R46+J46</f>
        <v>1.8394599999999999</v>
      </c>
      <c r="AY46" s="11">
        <f t="shared" si="68"/>
        <v>-0.92932708512280782</v>
      </c>
      <c r="AZ46" s="12">
        <f>AS46-'GENEL HEDEF'!BY46</f>
        <v>0</v>
      </c>
      <c r="BA46" s="15">
        <f t="shared" ref="BA46:BA56" si="113">AT46-AL46-AD46-V46-N46-F46</f>
        <v>0</v>
      </c>
    </row>
    <row r="47" spans="2:53" x14ac:dyDescent="0.15">
      <c r="B47" s="31">
        <v>55</v>
      </c>
      <c r="C47" s="1" t="s">
        <v>69</v>
      </c>
      <c r="E47" s="22">
        <v>0.12</v>
      </c>
      <c r="F47" s="23">
        <f>IF(ISERROR(VLOOKUP($B47,[1]Hedef!$A$4:$ES$45409,61,0)),0,VLOOKUP($B47,[1]Hedef!$A$4:$ES$45409,61,0))</f>
        <v>1.6E-2</v>
      </c>
      <c r="G47" s="23">
        <f>IF((E47-F47)&lt;0, "-", (E47-F47))</f>
        <v>0.104</v>
      </c>
      <c r="H47" s="80">
        <f t="shared" si="99"/>
        <v>0.13</v>
      </c>
      <c r="J47" s="44">
        <v>5.9119999999999992E-2</v>
      </c>
      <c r="K47" s="11">
        <f>IF(ISERROR((F47-J47)/J47),0,(F47-J47)/J47)</f>
        <v>-0.72936400541271984</v>
      </c>
      <c r="M47" s="22">
        <v>0.2</v>
      </c>
      <c r="N47" s="23">
        <f>IF(ISERROR(VLOOKUP($B47,[1]Hedef!$A$4:$ES$45409,65,0)),0,VLOOKUP($B47,[1]Hedef!$A$4:$ES$45409,65,0))</f>
        <v>3.5520000000000003E-2</v>
      </c>
      <c r="O47" s="23">
        <f>IF((M47-N47)&lt;0, "-", (M47-N47))</f>
        <v>0.16448000000000002</v>
      </c>
      <c r="P47" s="80">
        <f t="shared" si="101"/>
        <v>0.17</v>
      </c>
      <c r="R47" s="44">
        <v>0.14707999999999999</v>
      </c>
      <c r="S47" s="11">
        <f>IF(ISERROR((N47-R47)/R47),0,(N47-R47)/R47)</f>
        <v>-0.75849877617623063</v>
      </c>
      <c r="U47" s="22">
        <v>0.45</v>
      </c>
      <c r="V47" s="23">
        <f>IF(ISERROR(VLOOKUP($B47,[1]Hedef!$A$4:$ES$45409,59,0)),0,VLOOKUP($B47,[1]Hedef!$A$4:$ES$45409,59,0))</f>
        <v>1.7999999999999999E-2</v>
      </c>
      <c r="W47" s="23">
        <f>IF((U47-V47)&lt;0, "-", (U47-V47))</f>
        <v>0.432</v>
      </c>
      <c r="X47" s="80">
        <f t="shared" si="103"/>
        <v>0.04</v>
      </c>
      <c r="Z47" s="44">
        <v>0.33200000000000002</v>
      </c>
      <c r="AA47" s="11">
        <f>IF(ISERROR((V47-Z47)/Z47),0,(V47-Z47)/Z47)</f>
        <v>-0.94578313253012047</v>
      </c>
      <c r="AB47" s="72"/>
      <c r="AC47" s="22">
        <v>0.25</v>
      </c>
      <c r="AD47" s="23">
        <f>IF(ISERROR(VLOOKUP($B47,[1]Hedef!$A$4:$ES$45409,67,0)),0,VLOOKUP($B47,[1]Hedef!$A$4:$ES$45409,67,0))</f>
        <v>1.9439999999999999E-2</v>
      </c>
      <c r="AE47" s="23">
        <f>IF((AC47-AD47)&lt;0, "-", (AC47-AD47))</f>
        <v>0.23055999999999999</v>
      </c>
      <c r="AF47" s="80">
        <f t="shared" si="105"/>
        <v>7.0000000000000007E-2</v>
      </c>
      <c r="AH47" s="44">
        <v>0.13352</v>
      </c>
      <c r="AI47" s="11">
        <f>IF(ISERROR((AD47-AH47)/AH47),0,(AD47-AH47)/AH47)</f>
        <v>-0.85440383463151592</v>
      </c>
      <c r="AJ47" s="72"/>
      <c r="AK47" s="22">
        <v>0.45</v>
      </c>
      <c r="AL47" s="23">
        <f>IF(ISERROR(VLOOKUP($B47,[1]Hedef!$A$4:$ES$45409,63,0)),0,VLOOKUP($B47,[1]Hedef!$A$4:$ES$45409,63,0))</f>
        <v>3.492E-2</v>
      </c>
      <c r="AM47" s="23">
        <f>IF((AK47-AL47)&lt;0, "-", (AK47-AL47))</f>
        <v>0.41508</v>
      </c>
      <c r="AN47" s="80">
        <f t="shared" si="108"/>
        <v>7.0000000000000007E-2</v>
      </c>
      <c r="AP47" s="44">
        <v>0.38960000000000006</v>
      </c>
      <c r="AQ47" s="11">
        <f>IF(ISERROR((AL47-AP47)/AP47),0,(AL47-AP47)/AP47)</f>
        <v>-0.91036960985626281</v>
      </c>
      <c r="AS47" s="22">
        <f t="shared" si="109"/>
        <v>1.4699999999999998</v>
      </c>
      <c r="AT47" s="23">
        <f>IF(ISERROR(VLOOKUP($B47,[1]Hedef!$A$4:$ES$45409,71,0)),0,VLOOKUP($B47,[1]Hedef!$A$4:$ES$45409,71,0))</f>
        <v>0.12388</v>
      </c>
      <c r="AU47" s="23">
        <f>IF((AS47-AT47)&lt;0, "-", (AS47-AT47))</f>
        <v>1.3461199999999998</v>
      </c>
      <c r="AV47" s="80">
        <f t="shared" si="111"/>
        <v>0.08</v>
      </c>
      <c r="AX47" s="44">
        <f t="shared" si="112"/>
        <v>1.0613200000000003</v>
      </c>
      <c r="AY47" s="11">
        <f>IF(ISERROR((AT47-AX47)/AX47),0,(AT47-AX47)/AX47)</f>
        <v>-0.88327742810839338</v>
      </c>
      <c r="AZ47" s="12">
        <f>AS47-'GENEL HEDEF'!BY47</f>
        <v>0</v>
      </c>
      <c r="BA47" s="15">
        <f t="shared" si="113"/>
        <v>0</v>
      </c>
    </row>
    <row r="48" spans="2:53" x14ac:dyDescent="0.15">
      <c r="B48" s="18">
        <v>61</v>
      </c>
      <c r="C48" s="1" t="s">
        <v>46</v>
      </c>
      <c r="E48" s="22">
        <v>5.5E-2</v>
      </c>
      <c r="F48" s="23">
        <f>IF(ISERROR(VLOOKUP($B48,[1]Hedef!$A$4:$ES$45409,61,0)),0,VLOOKUP($B48,[1]Hedef!$A$4:$ES$45409,61,0))</f>
        <v>0</v>
      </c>
      <c r="G48" s="23">
        <f t="shared" si="98"/>
        <v>5.5E-2</v>
      </c>
      <c r="H48" s="80">
        <f t="shared" si="99"/>
        <v>0</v>
      </c>
      <c r="J48" s="44">
        <v>0</v>
      </c>
      <c r="K48" s="11">
        <f t="shared" si="51"/>
        <v>0</v>
      </c>
      <c r="M48" s="22">
        <v>0.1</v>
      </c>
      <c r="N48" s="23">
        <f>IF(ISERROR(VLOOKUP($B48,[1]Hedef!$A$4:$ES$45409,65,0)),0,VLOOKUP($B48,[1]Hedef!$A$4:$ES$45409,65,0))</f>
        <v>2.5000000000000001E-2</v>
      </c>
      <c r="O48" s="23">
        <f t="shared" si="100"/>
        <v>7.5000000000000011E-2</v>
      </c>
      <c r="P48" s="80">
        <f t="shared" si="101"/>
        <v>0.25</v>
      </c>
      <c r="R48" s="44">
        <v>0.1</v>
      </c>
      <c r="S48" s="11">
        <f t="shared" si="54"/>
        <v>-0.75000000000000011</v>
      </c>
      <c r="U48" s="22">
        <v>0.15</v>
      </c>
      <c r="V48" s="23">
        <f>IF(ISERROR(VLOOKUP($B48,[1]Hedef!$A$4:$ES$45409,59,0)),0,VLOOKUP($B48,[1]Hedef!$A$4:$ES$45409,59,0))</f>
        <v>0</v>
      </c>
      <c r="W48" s="23">
        <f t="shared" si="102"/>
        <v>0.15</v>
      </c>
      <c r="X48" s="80">
        <f t="shared" si="103"/>
        <v>0</v>
      </c>
      <c r="Z48" s="44">
        <v>0.125</v>
      </c>
      <c r="AA48" s="11">
        <f t="shared" si="57"/>
        <v>-1</v>
      </c>
      <c r="AB48" s="72"/>
      <c r="AC48" s="22">
        <v>7.4999999999999997E-2</v>
      </c>
      <c r="AD48" s="23">
        <f>IF(ISERROR(VLOOKUP($B48,[1]Hedef!$A$4:$ES$45409,67,0)),0,VLOOKUP($B48,[1]Hedef!$A$4:$ES$45409,67,0))</f>
        <v>0</v>
      </c>
      <c r="AE48" s="23">
        <f t="shared" si="104"/>
        <v>7.4999999999999997E-2</v>
      </c>
      <c r="AF48" s="80">
        <f t="shared" si="105"/>
        <v>0</v>
      </c>
      <c r="AH48" s="44">
        <v>0.05</v>
      </c>
      <c r="AI48" s="11">
        <f t="shared" si="106"/>
        <v>-1</v>
      </c>
      <c r="AJ48" s="72"/>
      <c r="AK48" s="22">
        <v>0.15</v>
      </c>
      <c r="AL48" s="23">
        <f>IF(ISERROR(VLOOKUP($B48,[1]Hedef!$A$4:$ES$45409,63,0)),0,VLOOKUP($B48,[1]Hedef!$A$4:$ES$45409,63,0))</f>
        <v>0</v>
      </c>
      <c r="AM48" s="23">
        <f t="shared" si="107"/>
        <v>0.15</v>
      </c>
      <c r="AN48" s="80">
        <f t="shared" si="108"/>
        <v>0</v>
      </c>
      <c r="AP48" s="44">
        <v>0.125</v>
      </c>
      <c r="AQ48" s="11">
        <f t="shared" si="63"/>
        <v>-1</v>
      </c>
      <c r="AS48" s="22">
        <f t="shared" si="109"/>
        <v>0.53</v>
      </c>
      <c r="AT48" s="23">
        <f>IF(ISERROR(VLOOKUP($B48,[1]Hedef!$A$4:$ES$45409,71,0)),0,VLOOKUP($B48,[1]Hedef!$A$4:$ES$45409,71,0))</f>
        <v>2.5000000000000001E-2</v>
      </c>
      <c r="AU48" s="23">
        <f t="shared" si="110"/>
        <v>0.505</v>
      </c>
      <c r="AV48" s="80">
        <f t="shared" si="111"/>
        <v>0.04</v>
      </c>
      <c r="AX48" s="44">
        <f t="shared" si="112"/>
        <v>0.4</v>
      </c>
      <c r="AY48" s="11">
        <f t="shared" si="68"/>
        <v>-0.9375</v>
      </c>
      <c r="AZ48" s="12">
        <f>AS48-'GENEL HEDEF'!BY48</f>
        <v>0</v>
      </c>
      <c r="BA48" s="15">
        <f t="shared" si="113"/>
        <v>0</v>
      </c>
    </row>
    <row r="49" spans="2:53" x14ac:dyDescent="0.15">
      <c r="B49" s="31">
        <v>27</v>
      </c>
      <c r="C49" s="1" t="s">
        <v>158</v>
      </c>
      <c r="E49" s="22"/>
      <c r="F49" s="23">
        <f>IF(ISERROR(VLOOKUP($B49,[1]Hedef!$A$4:$ES$45409,61,0)),0,VLOOKUP($B49,[1]Hedef!$A$4:$ES$45409,61,0))</f>
        <v>0</v>
      </c>
      <c r="G49" s="23">
        <f>IF((E49-F49)&lt;0, "-", (E49-F49))</f>
        <v>0</v>
      </c>
      <c r="H49" s="80"/>
      <c r="J49" s="44">
        <v>-0.05</v>
      </c>
      <c r="K49" s="11">
        <f>IF(ISERROR((F49-J49)/J49),0,(F49-J49)/J49)</f>
        <v>-1</v>
      </c>
      <c r="M49" s="22"/>
      <c r="N49" s="23">
        <f>IF(ISERROR(VLOOKUP($B49,[1]Hedef!$A$4:$ES$45409,65,0)),0,VLOOKUP($B49,[1]Hedef!$A$4:$ES$45409,65,0))</f>
        <v>0</v>
      </c>
      <c r="O49" s="23">
        <f>IF((M49-N49)&lt;0, "-", (M49-N49))</f>
        <v>0</v>
      </c>
      <c r="P49" s="80"/>
      <c r="R49" s="44">
        <v>0</v>
      </c>
      <c r="S49" s="11">
        <f>IF(ISERROR((N49-R49)/R49),0,(N49-R49)/R49)</f>
        <v>0</v>
      </c>
      <c r="U49" s="22">
        <v>2.5000000000000001E-2</v>
      </c>
      <c r="V49" s="23">
        <f>IF(ISERROR(VLOOKUP($B49,[1]Hedef!$A$4:$ES$45409,59,0)),0,VLOOKUP($B49,[1]Hedef!$A$4:$ES$45409,59,0))</f>
        <v>0</v>
      </c>
      <c r="W49" s="23">
        <f>IF((U49-V49)&lt;0, "-", (U49-V49))</f>
        <v>2.5000000000000001E-2</v>
      </c>
      <c r="X49" s="80">
        <f t="shared" si="103"/>
        <v>0</v>
      </c>
      <c r="Z49" s="44">
        <v>0</v>
      </c>
      <c r="AA49" s="11">
        <f>IF(ISERROR((V49-Z49)/Z49),0,(V49-Z49)/Z49)</f>
        <v>0</v>
      </c>
      <c r="AB49" s="72"/>
      <c r="AC49" s="22"/>
      <c r="AD49" s="23">
        <f>IF(ISERROR(VLOOKUP($B49,[1]Hedef!$A$4:$ES$45409,67,0)),0,VLOOKUP($B49,[1]Hedef!$A$4:$ES$45409,67,0))</f>
        <v>0</v>
      </c>
      <c r="AE49" s="23">
        <f>IF((AC49-AD49)&lt;0, "-", (AC49-AD49))</f>
        <v>0</v>
      </c>
      <c r="AF49" s="80"/>
      <c r="AH49" s="44">
        <v>2.5000000000000001E-2</v>
      </c>
      <c r="AI49" s="11">
        <f>IF(ISERROR((AD49-AH49)/AH49),0,(AD49-AH49)/AH49)</f>
        <v>-1</v>
      </c>
      <c r="AJ49" s="72"/>
      <c r="AK49" s="22">
        <v>0.03</v>
      </c>
      <c r="AL49" s="23">
        <f>IF(ISERROR(VLOOKUP($B49,[1]Hedef!$A$4:$ES$45409,63,0)),0,VLOOKUP($B49,[1]Hedef!$A$4:$ES$45409,63,0))</f>
        <v>2.5000000000000001E-2</v>
      </c>
      <c r="AM49" s="23">
        <f>IF((AK49-AL49)&lt;0, "-", (AK49-AL49))</f>
        <v>4.9999999999999975E-3</v>
      </c>
      <c r="AN49" s="80">
        <f t="shared" si="108"/>
        <v>0.83</v>
      </c>
      <c r="AP49" s="44">
        <v>0</v>
      </c>
      <c r="AQ49" s="11">
        <f>IF(ISERROR((AL49-AP49)/AP49),0,(AL49-AP49)/AP49)</f>
        <v>0</v>
      </c>
      <c r="AS49" s="22">
        <f t="shared" si="109"/>
        <v>5.5E-2</v>
      </c>
      <c r="AT49" s="23">
        <f>IF(ISERROR(VLOOKUP($B49,[1]Hedef!$A$4:$ES$45409,71,0)),0,VLOOKUP($B49,[1]Hedef!$A$4:$ES$45409,71,0))</f>
        <v>2.5000000000000001E-2</v>
      </c>
      <c r="AU49" s="23">
        <f>IF((AS49-AT49)&lt;0, "-", (AS49-AT49))</f>
        <v>0.03</v>
      </c>
      <c r="AV49" s="80">
        <f t="shared" si="111"/>
        <v>0.45</v>
      </c>
      <c r="AX49" s="44">
        <f t="shared" si="112"/>
        <v>-2.5000000000000001E-2</v>
      </c>
      <c r="AY49" s="11">
        <f>IF(ISERROR((AT49-AX49)/AX49),0,(AT49-AX49)/AX49)</f>
        <v>-2</v>
      </c>
      <c r="AZ49" s="12">
        <f>AS49-'GENEL HEDEF'!BY49</f>
        <v>4.9999999999999975E-3</v>
      </c>
      <c r="BA49" s="15">
        <f t="shared" si="113"/>
        <v>0</v>
      </c>
    </row>
    <row r="50" spans="2:53" x14ac:dyDescent="0.15">
      <c r="B50" s="31">
        <v>71</v>
      </c>
      <c r="C50" s="1" t="s">
        <v>64</v>
      </c>
      <c r="E50" s="22">
        <v>0.2</v>
      </c>
      <c r="F50" s="23">
        <f>IF(ISERROR(VLOOKUP($B50,[1]Hedef!$A$4:$ES$45409,61,0)),0,VLOOKUP($B50,[1]Hedef!$A$4:$ES$45409,61,0))</f>
        <v>2.7E-2</v>
      </c>
      <c r="G50" s="23">
        <f>IF((E50-F50)&lt;0, "-", (E50-F50))</f>
        <v>0.17300000000000001</v>
      </c>
      <c r="H50" s="80">
        <f t="shared" si="99"/>
        <v>0.13</v>
      </c>
      <c r="J50" s="44">
        <v>0.11939999999999999</v>
      </c>
      <c r="K50" s="11">
        <f>IF(ISERROR((F50-J50)/J50),0,(F50-J50)/J50)</f>
        <v>-0.77386934673366836</v>
      </c>
      <c r="M50" s="22">
        <v>0.1</v>
      </c>
      <c r="N50" s="23">
        <f>IF(ISERROR(VLOOKUP($B50,[1]Hedef!$A$4:$ES$45409,65,0)),0,VLOOKUP($B50,[1]Hedef!$A$4:$ES$45409,65,0))</f>
        <v>1.9559999999999998E-2</v>
      </c>
      <c r="O50" s="23">
        <f>IF((M50-N50)&lt;0, "-", (M50-N50))</f>
        <v>8.0440000000000011E-2</v>
      </c>
      <c r="P50" s="80">
        <f t="shared" si="101"/>
        <v>0.19</v>
      </c>
      <c r="R50" s="44">
        <v>1.95E-2</v>
      </c>
      <c r="S50" s="11">
        <f>IF(ISERROR((N50-R50)/R50),0,(N50-R50)/R50)</f>
        <v>3.0769230769229516E-3</v>
      </c>
      <c r="U50" s="22">
        <v>7.0000000000000007E-2</v>
      </c>
      <c r="V50" s="23">
        <f>IF(ISERROR(VLOOKUP($B50,[1]Hedef!$A$4:$ES$45409,59,0)),0,VLOOKUP($B50,[1]Hedef!$A$4:$ES$45409,59,0))</f>
        <v>2.75E-2</v>
      </c>
      <c r="W50" s="23">
        <f>IF((U50-V50)&lt;0, "-", (U50-V50))</f>
        <v>4.250000000000001E-2</v>
      </c>
      <c r="X50" s="80">
        <f t="shared" si="103"/>
        <v>0.39</v>
      </c>
      <c r="Z50" s="44">
        <v>1.3000000000000034E-4</v>
      </c>
      <c r="AA50" s="11">
        <f>IF(ISERROR((V50-Z50)/Z50),0,(V50-Z50)/Z50)</f>
        <v>210.53846153846098</v>
      </c>
      <c r="AB50" s="72"/>
      <c r="AC50" s="22">
        <v>0.25</v>
      </c>
      <c r="AD50" s="23">
        <f>IF(ISERROR(VLOOKUP($B50,[1]Hedef!$A$4:$ES$45409,67,0)),0,VLOOKUP($B50,[1]Hedef!$A$4:$ES$45409,67,0))</f>
        <v>6.9500000000000006E-2</v>
      </c>
      <c r="AE50" s="23">
        <f>IF((AC50-AD50)&lt;0, "-", (AC50-AD50))</f>
        <v>0.18049999999999999</v>
      </c>
      <c r="AF50" s="80">
        <f t="shared" si="105"/>
        <v>0.27</v>
      </c>
      <c r="AH50" s="44">
        <v>0.1245</v>
      </c>
      <c r="AI50" s="11">
        <f>IF(ISERROR((AD50-AH50)/AH50),0,(AD50-AH50)/AH50)</f>
        <v>-0.44176706827309231</v>
      </c>
      <c r="AJ50" s="72"/>
      <c r="AK50" s="22">
        <v>0.15</v>
      </c>
      <c r="AL50" s="23">
        <f>IF(ISERROR(VLOOKUP($B50,[1]Hedef!$A$4:$ES$45409,63,0)),0,VLOOKUP($B50,[1]Hedef!$A$4:$ES$45409,63,0))</f>
        <v>2.2034999999999999E-2</v>
      </c>
      <c r="AM50" s="23">
        <f>IF((AK50-AL50)&lt;0, "-", (AK50-AL50))</f>
        <v>0.127965</v>
      </c>
      <c r="AN50" s="80">
        <f t="shared" si="108"/>
        <v>0.14000000000000001</v>
      </c>
      <c r="AP50" s="44">
        <v>6.0760000000000002E-2</v>
      </c>
      <c r="AQ50" s="11">
        <f>IF(ISERROR((AL50-AP50)/AP50),0,(AL50-AP50)/AP50)</f>
        <v>-0.63734364713627389</v>
      </c>
      <c r="AS50" s="22">
        <f t="shared" si="109"/>
        <v>0.77</v>
      </c>
      <c r="AT50" s="23">
        <f>IF(ISERROR(VLOOKUP($B50,[1]Hedef!$A$4:$ES$45409,71,0)),0,VLOOKUP($B50,[1]Hedef!$A$4:$ES$45409,71,0))</f>
        <v>0.16559499999999999</v>
      </c>
      <c r="AU50" s="23">
        <f>IF((AS50-AT50)&lt;0, "-", (AS50-AT50))</f>
        <v>0.60440500000000008</v>
      </c>
      <c r="AV50" s="80">
        <f t="shared" si="111"/>
        <v>0.21</v>
      </c>
      <c r="AX50" s="44">
        <f t="shared" si="112"/>
        <v>0.32428999999999997</v>
      </c>
      <c r="AY50" s="11">
        <f>IF(ISERROR((AT50-AX50)/AX50),0,(AT50-AX50)/AX50)</f>
        <v>-0.48936137407875663</v>
      </c>
      <c r="AZ50" s="12">
        <f>AS50-'GENEL HEDEF'!BY50</f>
        <v>0</v>
      </c>
      <c r="BA50" s="15">
        <f t="shared" si="113"/>
        <v>0</v>
      </c>
    </row>
    <row r="51" spans="2:53" x14ac:dyDescent="0.15">
      <c r="B51" s="31">
        <v>111</v>
      </c>
      <c r="C51" s="1" t="s">
        <v>121</v>
      </c>
      <c r="E51" s="22">
        <v>0.54</v>
      </c>
      <c r="F51" s="23">
        <f>IF(ISERROR(VLOOKUP($B51,[1]Hedef!$A$4:$ES$45409,61,0)),0,VLOOKUP($B51,[1]Hedef!$A$4:$ES$45409,61,0))</f>
        <v>1.6470000000000002E-2</v>
      </c>
      <c r="G51" s="23">
        <f>IF((E51-F51)&lt;0, "-", (E51-F51))</f>
        <v>0.52353000000000005</v>
      </c>
      <c r="H51" s="80">
        <f t="shared" si="99"/>
        <v>0.03</v>
      </c>
      <c r="J51" s="44">
        <v>0.27393000000000001</v>
      </c>
      <c r="K51" s="11">
        <f>IF(ISERROR((F51-J51)/J51),0,(F51-J51)/J51)</f>
        <v>-0.9398751505859162</v>
      </c>
      <c r="M51" s="22">
        <v>0.8</v>
      </c>
      <c r="N51" s="23">
        <f>IF(ISERROR(VLOOKUP($B51,[1]Hedef!$A$4:$ES$45409,65,0)),0,VLOOKUP($B51,[1]Hedef!$A$4:$ES$45409,65,0))</f>
        <v>0.106735</v>
      </c>
      <c r="O51" s="23">
        <f>IF((M51-N51)&lt;0, "-", (M51-N51))</f>
        <v>0.69326500000000002</v>
      </c>
      <c r="P51" s="80">
        <f t="shared" si="101"/>
        <v>0.13</v>
      </c>
      <c r="R51" s="44">
        <v>0.44288500000000003</v>
      </c>
      <c r="S51" s="11">
        <f>IF(ISERROR((N51-R51)/R51),0,(N51-R51)/R51)</f>
        <v>-0.75900064350790841</v>
      </c>
      <c r="U51" s="22">
        <v>1.3</v>
      </c>
      <c r="V51" s="23">
        <f>IF(ISERROR(VLOOKUP($B51,[1]Hedef!$A$4:$ES$45409,59,0)),0,VLOOKUP($B51,[1]Hedef!$A$4:$ES$45409,59,0))</f>
        <v>3.27E-2</v>
      </c>
      <c r="W51" s="23">
        <f>IF((U51-V51)&lt;0, "-", (U51-V51))</f>
        <v>1.2673000000000001</v>
      </c>
      <c r="X51" s="80">
        <f t="shared" si="103"/>
        <v>0.02</v>
      </c>
      <c r="Z51" s="44">
        <v>0.71100000000000008</v>
      </c>
      <c r="AA51" s="11">
        <f>IF(ISERROR((V51-Z51)/Z51),0,(V51-Z51)/Z51)</f>
        <v>-0.95400843881856545</v>
      </c>
      <c r="AB51" s="72"/>
      <c r="AC51" s="22">
        <v>1.1000000000000001</v>
      </c>
      <c r="AD51" s="23">
        <f>IF(ISERROR(VLOOKUP($B51,[1]Hedef!$A$4:$ES$45409,67,0)),0,VLOOKUP($B51,[1]Hedef!$A$4:$ES$45409,67,0))</f>
        <v>4.5449999999999997E-2</v>
      </c>
      <c r="AE51" s="23">
        <f>IF((AC51-AD51)&lt;0, "-", (AC51-AD51))</f>
        <v>1.0545500000000001</v>
      </c>
      <c r="AF51" s="80">
        <f t="shared" si="105"/>
        <v>0.04</v>
      </c>
      <c r="AH51" s="44">
        <v>0.59908499999999998</v>
      </c>
      <c r="AI51" s="11">
        <f>IF(ISERROR((AD51-AH51)/AH51),0,(AD51-AH51)/AH51)</f>
        <v>-0.9241343048148426</v>
      </c>
      <c r="AJ51" s="72"/>
      <c r="AK51" s="22">
        <v>1.3</v>
      </c>
      <c r="AL51" s="23">
        <f>IF(ISERROR(VLOOKUP($B51,[1]Hedef!$A$4:$ES$45409,63,0)),0,VLOOKUP($B51,[1]Hedef!$A$4:$ES$45409,63,0))</f>
        <v>7.5700000000000003E-2</v>
      </c>
      <c r="AM51" s="23">
        <f>IF((AK51-AL51)&lt;0, "-", (AK51-AL51))</f>
        <v>1.2242999999999999</v>
      </c>
      <c r="AN51" s="80">
        <f t="shared" si="108"/>
        <v>0.05</v>
      </c>
      <c r="AP51" s="44">
        <v>0.71784000000000003</v>
      </c>
      <c r="AQ51" s="11">
        <f>IF(ISERROR((AL51-AP51)/AP51),0,(AL51-AP51)/AP51)</f>
        <v>-0.89454474534715256</v>
      </c>
      <c r="AS51" s="22">
        <f t="shared" si="109"/>
        <v>5.04</v>
      </c>
      <c r="AT51" s="23">
        <f>IF(ISERROR(VLOOKUP($B51,[1]Hedef!$A$4:$ES$45409,71,0)),0,VLOOKUP($B51,[1]Hedef!$A$4:$ES$45409,71,0))</f>
        <v>0.27705499999999994</v>
      </c>
      <c r="AU51" s="23">
        <f>IF((AS51-AT51)&lt;0, "-", (AS51-AT51))</f>
        <v>4.7629450000000002</v>
      </c>
      <c r="AV51" s="80">
        <f t="shared" si="111"/>
        <v>0.05</v>
      </c>
      <c r="AX51" s="44">
        <f t="shared" si="112"/>
        <v>2.7447399999999997</v>
      </c>
      <c r="AY51" s="11">
        <f>IF(ISERROR((AT51-AX51)/AX51),0,(AT51-AX51)/AX51)</f>
        <v>-0.89905965592369408</v>
      </c>
      <c r="AZ51" s="12">
        <f>AS51-'GENEL HEDEF'!BY51</f>
        <v>0</v>
      </c>
      <c r="BA51" s="15">
        <f>AT51-AL51-AD51-V51-N51-F51</f>
        <v>-4.5102810375396984E-17</v>
      </c>
    </row>
    <row r="52" spans="2:53" x14ac:dyDescent="0.15">
      <c r="B52" s="31">
        <v>135</v>
      </c>
      <c r="C52" s="1" t="s">
        <v>120</v>
      </c>
      <c r="E52" s="22">
        <v>0.3</v>
      </c>
      <c r="F52" s="23">
        <f>IF(ISERROR(VLOOKUP($B52,[1]Hedef!$A$4:$ES$45409,61,0)),0,VLOOKUP($B52,[1]Hedef!$A$4:$ES$45409,61,0))</f>
        <v>-3.2118999999999997E-3</v>
      </c>
      <c r="G52" s="23">
        <f t="shared" si="98"/>
        <v>0.30321189999999998</v>
      </c>
      <c r="H52" s="80">
        <f t="shared" si="99"/>
        <v>-0.01</v>
      </c>
      <c r="J52" s="44">
        <v>0.26964800000000005</v>
      </c>
      <c r="K52" s="11">
        <f t="shared" si="51"/>
        <v>-1.0119114549338397</v>
      </c>
      <c r="M52" s="22">
        <v>0.55000000000000004</v>
      </c>
      <c r="N52" s="23">
        <f>IF(ISERROR(VLOOKUP($B52,[1]Hedef!$A$4:$ES$45409,65,0)),0,VLOOKUP($B52,[1]Hedef!$A$4:$ES$45409,65,0))</f>
        <v>4.0094000000000005E-2</v>
      </c>
      <c r="O52" s="23">
        <f t="shared" si="100"/>
        <v>0.50990600000000008</v>
      </c>
      <c r="P52" s="80">
        <f t="shared" si="101"/>
        <v>7.0000000000000007E-2</v>
      </c>
      <c r="R52" s="44">
        <v>0.5544469999999998</v>
      </c>
      <c r="S52" s="11">
        <f t="shared" si="54"/>
        <v>-0.92768650565338084</v>
      </c>
      <c r="U52" s="22">
        <v>0.55000000000000004</v>
      </c>
      <c r="V52" s="23">
        <f>IF(ISERROR(VLOOKUP($B52,[1]Hedef!$A$4:$ES$45409,59,0)),0,VLOOKUP($B52,[1]Hedef!$A$4:$ES$45409,59,0))</f>
        <v>5.6597999999999996E-2</v>
      </c>
      <c r="W52" s="23">
        <f t="shared" si="102"/>
        <v>0.49340200000000006</v>
      </c>
      <c r="X52" s="80">
        <f t="shared" si="103"/>
        <v>0.1</v>
      </c>
      <c r="Z52" s="44">
        <v>0.46344300000000016</v>
      </c>
      <c r="AA52" s="11">
        <f t="shared" si="57"/>
        <v>-0.87787494902285723</v>
      </c>
      <c r="AB52" s="72"/>
      <c r="AC52" s="22">
        <v>0.78</v>
      </c>
      <c r="AD52" s="23">
        <f>IF(ISERROR(VLOOKUP($B52,[1]Hedef!$A$4:$ES$45409,67,0)),0,VLOOKUP($B52,[1]Hedef!$A$4:$ES$45409,67,0))</f>
        <v>8.6945000000000008E-2</v>
      </c>
      <c r="AE52" s="23">
        <f t="shared" si="104"/>
        <v>0.69305499999999998</v>
      </c>
      <c r="AF52" s="80">
        <f t="shared" si="105"/>
        <v>0.11</v>
      </c>
      <c r="AH52" s="44">
        <v>0.77538600000000002</v>
      </c>
      <c r="AI52" s="11">
        <f t="shared" si="106"/>
        <v>-0.88786875182167324</v>
      </c>
      <c r="AJ52" s="72"/>
      <c r="AK52" s="22">
        <v>0.78</v>
      </c>
      <c r="AL52" s="23">
        <f>IF(ISERROR(VLOOKUP($B52,[1]Hedef!$A$4:$ES$45409,63,0)),0,VLOOKUP($B52,[1]Hedef!$A$4:$ES$45409,63,0))</f>
        <v>4.8565999999999998E-2</v>
      </c>
      <c r="AM52" s="23">
        <f t="shared" si="107"/>
        <v>0.73143400000000003</v>
      </c>
      <c r="AN52" s="80">
        <f t="shared" si="108"/>
        <v>0.06</v>
      </c>
      <c r="AP52" s="44">
        <v>0.76662699999999973</v>
      </c>
      <c r="AQ52" s="11">
        <f t="shared" si="63"/>
        <v>-0.93664976579223014</v>
      </c>
      <c r="AS52" s="22">
        <f t="shared" si="109"/>
        <v>2.96</v>
      </c>
      <c r="AT52" s="23">
        <f>IF(ISERROR(VLOOKUP($B52,[1]Hedef!$A$4:$ES$45409,71,0)),0,VLOOKUP($B52,[1]Hedef!$A$4:$ES$45409,71,0))</f>
        <v>0.2315711</v>
      </c>
      <c r="AU52" s="23">
        <f t="shared" si="110"/>
        <v>2.7284288999999999</v>
      </c>
      <c r="AV52" s="80">
        <f t="shared" si="111"/>
        <v>7.0000000000000007E-2</v>
      </c>
      <c r="AX52" s="44">
        <f t="shared" si="112"/>
        <v>2.8295509999999999</v>
      </c>
      <c r="AY52" s="11">
        <f t="shared" si="68"/>
        <v>-0.91815977163868046</v>
      </c>
      <c r="AZ52" s="12">
        <f>AS52-'GENEL HEDEF'!BY52</f>
        <v>0</v>
      </c>
      <c r="BA52" s="15">
        <f t="shared" si="113"/>
        <v>2.5799999999999951E-3</v>
      </c>
    </row>
    <row r="53" spans="2:53" x14ac:dyDescent="0.15">
      <c r="B53" s="31">
        <v>222</v>
      </c>
      <c r="C53" s="1" t="s">
        <v>174</v>
      </c>
      <c r="E53" s="22">
        <v>0.06</v>
      </c>
      <c r="F53" s="23">
        <f>IF(ISERROR(VLOOKUP($B53,[1]Hedef!$A$4:$ES$45409,61,0)),0,VLOOKUP($B53,[1]Hedef!$A$4:$ES$45409,61,0))</f>
        <v>-1.2E-4</v>
      </c>
      <c r="G53" s="23">
        <f>IF((E53-F53)&lt;0, "-", (E53-F53))</f>
        <v>6.012E-2</v>
      </c>
      <c r="H53" s="80">
        <f t="shared" ref="H53" si="114">TRUNC(IF((F53/E53)&gt;1.2,"120%",(F53/E53)),2)</f>
        <v>0</v>
      </c>
      <c r="J53" s="44"/>
      <c r="K53" s="11">
        <f>IF(ISERROR((F53-J53)/J53),0,(F53-J53)/J53)</f>
        <v>0</v>
      </c>
      <c r="M53" s="22">
        <v>0.06</v>
      </c>
      <c r="N53" s="23">
        <f>IF(ISERROR(VLOOKUP($B53,[1]Hedef!$A$4:$ES$45409,65,0)),0,VLOOKUP($B53,[1]Hedef!$A$4:$ES$45409,65,0))</f>
        <v>4.4999999999999997E-3</v>
      </c>
      <c r="O53" s="23">
        <f>IF((M53-N53)&lt;0, "-", (M53-N53))</f>
        <v>5.5500000000000001E-2</v>
      </c>
      <c r="P53" s="80">
        <f t="shared" ref="P53" si="115">TRUNC(IF((N53/M53)&gt;1.2,"120%",(N53/M53)),2)</f>
        <v>7.0000000000000007E-2</v>
      </c>
      <c r="R53" s="44"/>
      <c r="S53" s="11">
        <f>IF(ISERROR((N53-R53)/R53),0,(N53-R53)/R53)</f>
        <v>0</v>
      </c>
      <c r="U53" s="22">
        <v>0.06</v>
      </c>
      <c r="V53" s="23">
        <f>IF(ISERROR(VLOOKUP($B53,[1]Hedef!$A$4:$ES$45409,59,0)),0,VLOOKUP($B53,[1]Hedef!$A$4:$ES$45409,59,0))</f>
        <v>0</v>
      </c>
      <c r="W53" s="23">
        <f>IF((U53-V53)&lt;0, "-", (U53-V53))</f>
        <v>0.06</v>
      </c>
      <c r="X53" s="80">
        <f t="shared" ref="X53" si="116">TRUNC(IF((V53/U53)&gt;1.2,"120%",(V53/U53)),2)</f>
        <v>0</v>
      </c>
      <c r="Z53" s="44"/>
      <c r="AA53" s="11">
        <f t="shared" ref="AA53" si="117">IF(ISERROR((V53-Z53)/Z53),0,(V53-Z53)/Z53)</f>
        <v>0</v>
      </c>
      <c r="AB53" s="75"/>
      <c r="AC53" s="22">
        <v>0.06</v>
      </c>
      <c r="AD53" s="23">
        <f>IF(ISERROR(VLOOKUP($B53,[1]Hedef!$A$4:$ES$45409,67,0)),0,VLOOKUP($B53,[1]Hedef!$A$4:$ES$45409,67,0))</f>
        <v>1.2600000000000001E-3</v>
      </c>
      <c r="AE53" s="23">
        <f>IF((AC53-AD53)&lt;0, "-", (AC53-AD53))</f>
        <v>5.8740000000000001E-2</v>
      </c>
      <c r="AF53" s="80">
        <f t="shared" ref="AF53" si="118">TRUNC(IF((AD53/AC53)&gt;1.2,"120%",(AD53/AC53)),2)</f>
        <v>0.02</v>
      </c>
      <c r="AH53" s="44"/>
      <c r="AI53" s="11">
        <f t="shared" ref="AI53" si="119">IF(ISERROR((AD53-AH53)/AH53),0,(AD53-AH53)/AH53)</f>
        <v>0</v>
      </c>
      <c r="AJ53" s="75"/>
      <c r="AK53" s="22">
        <v>0.06</v>
      </c>
      <c r="AL53" s="23">
        <f>IF(ISERROR(VLOOKUP($B53,[1]Hedef!$A$4:$ES$45409,63,0)),0,VLOOKUP($B53,[1]Hedef!$A$4:$ES$45409,63,0))</f>
        <v>0</v>
      </c>
      <c r="AM53" s="23">
        <f>IF((AK53-AL53)&lt;0, "-", (AK53-AL53))</f>
        <v>0.06</v>
      </c>
      <c r="AN53" s="80">
        <f t="shared" ref="AN53" si="120">TRUNC(IF((AL53/AK53)&gt;1.2,"120%",(AL53/AK53)),2)</f>
        <v>0</v>
      </c>
      <c r="AP53" s="44"/>
      <c r="AQ53" s="11">
        <f>IF(ISERROR((AL53-AP53)/AP53),0,(AL53-AP53)/AP53)</f>
        <v>0</v>
      </c>
      <c r="AS53" s="22">
        <f t="shared" ref="AS53" si="121">AK53+AC53+U53+M53+E53</f>
        <v>0.3</v>
      </c>
      <c r="AT53" s="23">
        <f>IF(ISERROR(VLOOKUP($B53,[1]Hedef!$A$4:$ES$45409,71,0)),0,VLOOKUP($B53,[1]Hedef!$A$4:$ES$45409,71,0))</f>
        <v>5.6399999999999992E-3</v>
      </c>
      <c r="AU53" s="23">
        <f>IF((AS53-AT53)&lt;0, "-", (AS53-AT53))</f>
        <v>0.29436000000000001</v>
      </c>
      <c r="AV53" s="80">
        <f t="shared" ref="AV53" si="122">TRUNC(IF((AT53/AS53)&gt;1.2,"120%",(AT53/AS53)),2)</f>
        <v>0.01</v>
      </c>
      <c r="AX53" s="44">
        <f t="shared" ref="AX53" si="123">+AP53+AH53+Z53+R53+J53</f>
        <v>0</v>
      </c>
      <c r="AY53" s="11">
        <f>IF(ISERROR((AT53-AX53)/AX53),0,(AT53-AX53)/AX53)</f>
        <v>0</v>
      </c>
      <c r="AZ53" s="12">
        <f>AS53-'GENEL HEDEF'!BY53</f>
        <v>0</v>
      </c>
      <c r="BA53" s="15">
        <f t="shared" ref="BA53" si="124">AT53-AL53-AD53-V53-N53-F53</f>
        <v>-3.1170812458958252E-19</v>
      </c>
    </row>
    <row r="54" spans="2:53" x14ac:dyDescent="0.15">
      <c r="B54" s="31">
        <v>28</v>
      </c>
      <c r="C54" s="1" t="s">
        <v>29</v>
      </c>
      <c r="E54" s="22">
        <v>0.21</v>
      </c>
      <c r="F54" s="23">
        <f>IF(ISERROR(VLOOKUP($B54,[1]Hedef!$A$4:$ES$45409,61,0)),0,VLOOKUP($B54,[1]Hedef!$A$4:$ES$45409,61,0))</f>
        <v>0</v>
      </c>
      <c r="G54" s="23">
        <f>IF((E54-F54)&lt;0, "-", (E54-F54))</f>
        <v>0.21</v>
      </c>
      <c r="H54" s="80">
        <f t="shared" si="99"/>
        <v>0</v>
      </c>
      <c r="J54" s="44">
        <v>0.17499999999999999</v>
      </c>
      <c r="K54" s="11">
        <f>IF(ISERROR((F54-J54)/J54),0,(F54-J54)/J54)</f>
        <v>-1</v>
      </c>
      <c r="M54" s="22">
        <v>0.15</v>
      </c>
      <c r="N54" s="23">
        <f>IF(ISERROR(VLOOKUP($B54,[1]Hedef!$A$4:$ES$45409,65,0)),0,VLOOKUP($B54,[1]Hedef!$A$4:$ES$45409,65,0))</f>
        <v>0</v>
      </c>
      <c r="O54" s="23">
        <f>IF((M54-N54)&lt;0, "-", (M54-N54))</f>
        <v>0.15</v>
      </c>
      <c r="P54" s="80">
        <f t="shared" si="101"/>
        <v>0</v>
      </c>
      <c r="R54" s="44">
        <v>0.10264000000000001</v>
      </c>
      <c r="S54" s="11">
        <f>IF(ISERROR((N54-R54)/R54),0,(N54-R54)/R54)</f>
        <v>-1</v>
      </c>
      <c r="U54" s="22">
        <v>0.1</v>
      </c>
      <c r="V54" s="23">
        <f>IF(ISERROR(VLOOKUP($B54,[1]Hedef!$A$4:$ES$45409,59,0)),0,VLOOKUP($B54,[1]Hedef!$A$4:$ES$45409,59,0))</f>
        <v>2.5000000000000001E-2</v>
      </c>
      <c r="W54" s="23">
        <f>IF((U54-V54)&lt;0, "-", (U54-V54))</f>
        <v>7.5000000000000011E-2</v>
      </c>
      <c r="X54" s="80">
        <f t="shared" si="103"/>
        <v>0.25</v>
      </c>
      <c r="Z54" s="44">
        <v>2.7880000000000002E-2</v>
      </c>
      <c r="AA54" s="11">
        <f t="shared" si="57"/>
        <v>-0.10329985652797706</v>
      </c>
      <c r="AB54" s="75"/>
      <c r="AC54" s="22">
        <v>0.2</v>
      </c>
      <c r="AD54" s="23">
        <f>IF(ISERROR(VLOOKUP($B54,[1]Hedef!$A$4:$ES$45409,67,0)),0,VLOOKUP($B54,[1]Hedef!$A$4:$ES$45409,67,0))</f>
        <v>2.5000000000000001E-2</v>
      </c>
      <c r="AE54" s="23">
        <f>IF((AC54-AD54)&lt;0, "-", (AC54-AD54))</f>
        <v>0.17500000000000002</v>
      </c>
      <c r="AF54" s="80">
        <f t="shared" si="105"/>
        <v>0.12</v>
      </c>
      <c r="AH54" s="44">
        <v>0.125</v>
      </c>
      <c r="AI54" s="11">
        <f t="shared" si="106"/>
        <v>-0.8</v>
      </c>
      <c r="AJ54" s="75"/>
      <c r="AK54" s="22">
        <v>0.2</v>
      </c>
      <c r="AL54" s="23">
        <f>IF(ISERROR(VLOOKUP($B54,[1]Hedef!$A$4:$ES$45409,63,0)),0,VLOOKUP($B54,[1]Hedef!$A$4:$ES$45409,63,0))</f>
        <v>0</v>
      </c>
      <c r="AM54" s="23">
        <f>IF((AK54-AL54)&lt;0, "-", (AK54-AL54))</f>
        <v>0.2</v>
      </c>
      <c r="AN54" s="80">
        <f t="shared" si="108"/>
        <v>0</v>
      </c>
      <c r="AP54" s="44">
        <v>0.15</v>
      </c>
      <c r="AQ54" s="11">
        <f>IF(ISERROR((AL54-AP54)/AP54),0,(AL54-AP54)/AP54)</f>
        <v>-1</v>
      </c>
      <c r="AS54" s="22">
        <f t="shared" si="109"/>
        <v>0.86</v>
      </c>
      <c r="AT54" s="23">
        <f>IF(ISERROR(VLOOKUP($B54,[1]Hedef!$A$4:$ES$45409,71,0)),0,VLOOKUP($B54,[1]Hedef!$A$4:$ES$45409,71,0))</f>
        <v>0.05</v>
      </c>
      <c r="AU54" s="23">
        <f>IF((AS54-AT54)&lt;0, "-", (AS54-AT54))</f>
        <v>0.80999999999999994</v>
      </c>
      <c r="AV54" s="80">
        <f t="shared" si="111"/>
        <v>0.05</v>
      </c>
      <c r="AX54" s="44">
        <f t="shared" si="112"/>
        <v>0.58052000000000004</v>
      </c>
      <c r="AY54" s="11">
        <f>IF(ISERROR((AT54-AX54)/AX54),0,(AT54-AX54)/AX54)</f>
        <v>-0.91387032315854744</v>
      </c>
      <c r="AZ54" s="12">
        <f>AS54-'GENEL HEDEF'!BY54</f>
        <v>0</v>
      </c>
      <c r="BA54" s="15">
        <f t="shared" si="113"/>
        <v>0</v>
      </c>
    </row>
    <row r="55" spans="2:53" x14ac:dyDescent="0.15">
      <c r="B55" s="18">
        <v>32</v>
      </c>
      <c r="C55" s="1" t="s">
        <v>30</v>
      </c>
      <c r="E55" s="22">
        <v>0.6</v>
      </c>
      <c r="F55" s="23">
        <f>IF(ISERROR(VLOOKUP($B55,[1]Hedef!$A$4:$ES$45409,61,0)),0,VLOOKUP($B55,[1]Hedef!$A$4:$ES$45409,61,0))</f>
        <v>3.04E-2</v>
      </c>
      <c r="G55" s="23">
        <f t="shared" si="98"/>
        <v>0.5696</v>
      </c>
      <c r="H55" s="80">
        <f t="shared" si="99"/>
        <v>0.05</v>
      </c>
      <c r="J55" s="44">
        <v>0.62129999999999996</v>
      </c>
      <c r="K55" s="11">
        <f t="shared" si="51"/>
        <v>-0.95107033639143734</v>
      </c>
      <c r="M55" s="22">
        <v>0.25</v>
      </c>
      <c r="N55" s="23">
        <f>IF(ISERROR(VLOOKUP($B55,[1]Hedef!$A$4:$ES$45409,65,0)),0,VLOOKUP($B55,[1]Hedef!$A$4:$ES$45409,65,0))</f>
        <v>3.3160000000000002E-2</v>
      </c>
      <c r="O55" s="23">
        <f t="shared" si="100"/>
        <v>0.21684</v>
      </c>
      <c r="P55" s="80">
        <f t="shared" si="101"/>
        <v>0.13</v>
      </c>
      <c r="R55" s="44">
        <v>0.18859000000000001</v>
      </c>
      <c r="S55" s="11">
        <f t="shared" si="54"/>
        <v>-0.82416883185746859</v>
      </c>
      <c r="U55" s="22">
        <v>0.55000000000000004</v>
      </c>
      <c r="V55" s="23">
        <f>IF(ISERROR(VLOOKUP($B55,[1]Hedef!$A$4:$ES$45409,59,0)),0,VLOOKUP($B55,[1]Hedef!$A$4:$ES$45409,59,0))</f>
        <v>5.6840000000000002E-2</v>
      </c>
      <c r="W55" s="23">
        <f t="shared" si="102"/>
        <v>0.49316000000000004</v>
      </c>
      <c r="X55" s="80">
        <f t="shared" si="103"/>
        <v>0.1</v>
      </c>
      <c r="Z55" s="44">
        <v>0.54710000000000003</v>
      </c>
      <c r="AA55" s="11">
        <f t="shared" si="57"/>
        <v>-0.89610674465362827</v>
      </c>
      <c r="AB55" s="72"/>
      <c r="AC55" s="22">
        <v>0.35</v>
      </c>
      <c r="AD55" s="23">
        <f>IF(ISERROR(VLOOKUP($B55,[1]Hedef!$A$4:$ES$45409,67,0)),0,VLOOKUP($B55,[1]Hedef!$A$4:$ES$45409,67,0))</f>
        <v>2.2350000000000002E-2</v>
      </c>
      <c r="AE55" s="23">
        <f t="shared" si="104"/>
        <v>0.32765</v>
      </c>
      <c r="AF55" s="80">
        <f t="shared" si="105"/>
        <v>0.06</v>
      </c>
      <c r="AH55" s="44">
        <v>0.33983000000000002</v>
      </c>
      <c r="AI55" s="11">
        <f>IF(ISERROR((AD55-AH55)/AH55),0,(AD55-AH55)/AH55)</f>
        <v>-0.93423182179324959</v>
      </c>
      <c r="AJ55" s="72"/>
      <c r="AK55" s="22">
        <v>0.38</v>
      </c>
      <c r="AL55" s="23">
        <f>IF(ISERROR(VLOOKUP($B55,[1]Hedef!$A$4:$ES$45409,63,0)),0,VLOOKUP($B55,[1]Hedef!$A$4:$ES$45409,63,0))</f>
        <v>4.6190000000000002E-2</v>
      </c>
      <c r="AM55" s="23">
        <f t="shared" si="107"/>
        <v>0.33381</v>
      </c>
      <c r="AN55" s="80">
        <f t="shared" si="108"/>
        <v>0.12</v>
      </c>
      <c r="AP55" s="44">
        <v>0.31939000000000001</v>
      </c>
      <c r="AQ55" s="11">
        <f t="shared" si="63"/>
        <v>-0.85538056921005667</v>
      </c>
      <c r="AS55" s="22">
        <f t="shared" si="109"/>
        <v>2.13</v>
      </c>
      <c r="AT55" s="23">
        <f>IF(ISERROR(VLOOKUP($B55,[1]Hedef!$A$4:$ES$45409,71,0)),0,VLOOKUP($B55,[1]Hedef!$A$4:$ES$45409,71,0))</f>
        <v>0.19116000000000002</v>
      </c>
      <c r="AU55" s="23">
        <f t="shared" si="110"/>
        <v>1.9388399999999999</v>
      </c>
      <c r="AV55" s="80">
        <f t="shared" si="111"/>
        <v>0.08</v>
      </c>
      <c r="AX55" s="44">
        <f t="shared" ref="AX55:AX56" si="125">+AP55+AH55+Z55+R55+J55</f>
        <v>2.0162100000000001</v>
      </c>
      <c r="AY55" s="11">
        <f t="shared" si="68"/>
        <v>-0.90518844763194306</v>
      </c>
      <c r="AZ55" s="12">
        <f>AS55-'GENEL HEDEF'!BY55</f>
        <v>0</v>
      </c>
      <c r="BA55" s="15">
        <f t="shared" si="113"/>
        <v>2.2200000000000032E-3</v>
      </c>
    </row>
    <row r="56" spans="2:53" ht="13" thickBot="1" x14ac:dyDescent="0.2">
      <c r="B56" s="18">
        <v>42</v>
      </c>
      <c r="C56" s="1" t="s">
        <v>31</v>
      </c>
      <c r="E56" s="22">
        <v>12</v>
      </c>
      <c r="F56" s="23">
        <f>IF(ISERROR(VLOOKUP($B56,[1]Hedef!$A$4:$ES$45409,61,0)),0,VLOOKUP($B56,[1]Hedef!$A$4:$ES$45409,61,0))</f>
        <v>0</v>
      </c>
      <c r="G56" s="23">
        <f t="shared" si="98"/>
        <v>12</v>
      </c>
      <c r="H56" s="80">
        <f t="shared" si="99"/>
        <v>0</v>
      </c>
      <c r="J56" s="44">
        <v>-18</v>
      </c>
      <c r="K56" s="11">
        <f t="shared" si="51"/>
        <v>-1</v>
      </c>
      <c r="M56" s="22">
        <v>12</v>
      </c>
      <c r="N56" s="23">
        <f>IF(ISERROR(VLOOKUP($B56,[1]Hedef!$A$4:$ES$45409,65,0)),0,VLOOKUP($B56,[1]Hedef!$A$4:$ES$45409,65,0))</f>
        <v>10</v>
      </c>
      <c r="O56" s="23">
        <f t="shared" si="100"/>
        <v>2</v>
      </c>
      <c r="P56" s="80">
        <f t="shared" si="101"/>
        <v>0.83</v>
      </c>
      <c r="R56" s="44">
        <v>0</v>
      </c>
      <c r="S56" s="11">
        <f t="shared" si="54"/>
        <v>0</v>
      </c>
      <c r="U56" s="22">
        <v>6</v>
      </c>
      <c r="V56" s="23">
        <f>IF(ISERROR(VLOOKUP($B56,[1]Hedef!$A$4:$ES$45409,59,0)),0,VLOOKUP($B56,[1]Hedef!$A$4:$ES$45409,59,0))</f>
        <v>0</v>
      </c>
      <c r="W56" s="23">
        <f t="shared" si="102"/>
        <v>6</v>
      </c>
      <c r="X56" s="80">
        <f t="shared" si="103"/>
        <v>0</v>
      </c>
      <c r="Z56" s="44">
        <v>2</v>
      </c>
      <c r="AA56" s="11">
        <f t="shared" si="57"/>
        <v>-1</v>
      </c>
      <c r="AB56" s="72"/>
      <c r="AC56" s="22">
        <v>6</v>
      </c>
      <c r="AD56" s="23">
        <f>IF(ISERROR(VLOOKUP($B56,[1]Hedef!$A$4:$ES$45409,67,0)),0,VLOOKUP($B56,[1]Hedef!$A$4:$ES$45409,67,0))</f>
        <v>0</v>
      </c>
      <c r="AE56" s="23">
        <f t="shared" si="104"/>
        <v>6</v>
      </c>
      <c r="AF56" s="80">
        <f t="shared" si="105"/>
        <v>0</v>
      </c>
      <c r="AH56" s="44">
        <v>46</v>
      </c>
      <c r="AI56" s="11">
        <f>IF(ISERROR((AD56-AH56)/AH56),0,(AD56-AH56)/AH56)</f>
        <v>-1</v>
      </c>
      <c r="AJ56" s="72"/>
      <c r="AK56" s="22">
        <v>6</v>
      </c>
      <c r="AL56" s="23">
        <f>IF(ISERROR(VLOOKUP($B56,[1]Hedef!$A$4:$ES$45409,63,0)),0,VLOOKUP($B56,[1]Hedef!$A$4:$ES$45409,63,0))</f>
        <v>1</v>
      </c>
      <c r="AM56" s="23">
        <f t="shared" si="107"/>
        <v>5</v>
      </c>
      <c r="AN56" s="80">
        <f t="shared" si="108"/>
        <v>0.16</v>
      </c>
      <c r="AP56" s="44">
        <v>7</v>
      </c>
      <c r="AQ56" s="11">
        <f t="shared" si="63"/>
        <v>-0.8571428571428571</v>
      </c>
      <c r="AS56" s="22">
        <f t="shared" si="109"/>
        <v>42</v>
      </c>
      <c r="AT56" s="23">
        <f>IF(ISERROR(VLOOKUP($B56,[1]Hedef!$A$4:$ES$45409,71,0)),0,VLOOKUP($B56,[1]Hedef!$A$4:$ES$45409,71,0))</f>
        <v>11</v>
      </c>
      <c r="AU56" s="23">
        <f t="shared" si="110"/>
        <v>31</v>
      </c>
      <c r="AV56" s="80">
        <f t="shared" si="111"/>
        <v>0.26</v>
      </c>
      <c r="AX56" s="44">
        <f t="shared" si="125"/>
        <v>37</v>
      </c>
      <c r="AY56" s="11">
        <f t="shared" si="68"/>
        <v>-0.70270270270270274</v>
      </c>
      <c r="AZ56" s="12">
        <f>AS56-'GENEL HEDEF'!BY56</f>
        <v>0</v>
      </c>
      <c r="BA56" s="15">
        <f t="shared" si="113"/>
        <v>0</v>
      </c>
    </row>
    <row r="57" spans="2:53" ht="14" thickTop="1" thickBot="1" x14ac:dyDescent="0.2">
      <c r="B57" s="18"/>
      <c r="C57" s="2" t="s">
        <v>32</v>
      </c>
      <c r="E57" s="67">
        <v>37.376000000000005</v>
      </c>
      <c r="F57" s="67">
        <f>SUM(F46:F56)</f>
        <v>0.1465381</v>
      </c>
      <c r="G57" s="67">
        <f>SUM(G46:G56)</f>
        <v>14.6884619</v>
      </c>
      <c r="H57" s="39">
        <f>TRUNC(IF((F57/E57)&gt;1.2,"120%",(F57/E57)),2)</f>
        <v>0</v>
      </c>
      <c r="I57" s="78"/>
      <c r="J57" s="67"/>
      <c r="K57" s="48"/>
      <c r="L57" s="78"/>
      <c r="M57" s="67">
        <v>7.06</v>
      </c>
      <c r="N57" s="67">
        <f>SUM(N46:N56)</f>
        <v>10.322569</v>
      </c>
      <c r="O57" s="67">
        <f>SUM(O46:O56)</f>
        <v>4.2874309999999998</v>
      </c>
      <c r="P57" s="39">
        <f>TRUNC(IF((N57/M57)&gt;1.2,"120%",(N57/M57)),2)</f>
        <v>1.2</v>
      </c>
      <c r="Q57" s="78"/>
      <c r="R57" s="67"/>
      <c r="S57" s="48"/>
      <c r="T57" s="78"/>
      <c r="U57" s="67">
        <v>10.927</v>
      </c>
      <c r="V57" s="67">
        <f>SUM(V46:V56)</f>
        <v>0.21663799999999997</v>
      </c>
      <c r="W57" s="67">
        <f>SUM(W46:W56)</f>
        <v>9.1383620000000008</v>
      </c>
      <c r="X57" s="39">
        <f>TRUNC(IF((V57/U57)&gt;1.2,"120%",(V57/U57)),2)</f>
        <v>0.01</v>
      </c>
      <c r="Y57" s="78"/>
      <c r="Z57" s="67"/>
      <c r="AA57" s="48"/>
      <c r="AB57" s="74"/>
      <c r="AC57" s="67">
        <v>13.518000000000001</v>
      </c>
      <c r="AD57" s="67">
        <f>SUM(AD46:AD56)</f>
        <v>0.281945</v>
      </c>
      <c r="AE57" s="67">
        <f>SUM(AE46:AE56)</f>
        <v>9.2330550000000002</v>
      </c>
      <c r="AF57" s="39">
        <f>TRUNC(IF((AD57/AC57)&gt;1.2,"120%",(AD57/AC57)),2)</f>
        <v>0.02</v>
      </c>
      <c r="AG57" s="78"/>
      <c r="AH57" s="67"/>
      <c r="AI57" s="48"/>
      <c r="AJ57" s="74"/>
      <c r="AK57" s="67">
        <v>24.138999999999999</v>
      </c>
      <c r="AL57" s="67">
        <f>SUM(AL46:AL56)</f>
        <v>1.2524109999999999</v>
      </c>
      <c r="AM57" s="67">
        <f>SUM(AM46:AM56)</f>
        <v>9.1675889999999995</v>
      </c>
      <c r="AN57" s="39">
        <f>TRUNC(IF((AL57/AK57)&gt;1.2,"120%",(AL57/AK57)),2)</f>
        <v>0.05</v>
      </c>
      <c r="AO57" s="78"/>
      <c r="AP57" s="67"/>
      <c r="AQ57" s="48"/>
      <c r="AR57" s="78"/>
      <c r="AS57" s="67">
        <f>SUM(AS46:AS56)</f>
        <v>58.734999999999999</v>
      </c>
      <c r="AT57" s="67">
        <f>SUM(AT46:AT56)</f>
        <v>12.2249011</v>
      </c>
      <c r="AU57" s="67">
        <f>SUM(AU46:AU56)</f>
        <v>46.510098900000003</v>
      </c>
      <c r="AV57" s="39">
        <f>TRUNC(IF((AT57/AS57)&gt;1.2,"120%",(AT57/AS57)),2)</f>
        <v>0.2</v>
      </c>
      <c r="AX57" s="67"/>
      <c r="AY57" s="48"/>
      <c r="AZ57" s="8"/>
      <c r="BA57" s="9"/>
    </row>
    <row r="58" spans="2:53" thickTop="1" x14ac:dyDescent="0.15">
      <c r="M58" s="45"/>
      <c r="U58" s="45"/>
      <c r="Z58" s="4"/>
      <c r="AC58" s="45"/>
      <c r="AX58" s="4"/>
    </row>
    <row r="59" spans="2:53" x14ac:dyDescent="0.15">
      <c r="H59" s="37">
        <f>TRUNC((H56+H55+H46+H44+H41+H40+H38+H37+H36+H35+H34+H33+H32+H31+H11+H29+H28+H27+H26+H25+H23+H22+H19+H18+H16+H15+H14+H12+H10+H9+H8+H7+H6+H5+H48+H24+H52+H42+H54+H43+H50+H47+H51+H49+H53)/44,2)</f>
        <v>7.0000000000000007E-2</v>
      </c>
      <c r="J59" s="69" t="s">
        <v>41</v>
      </c>
      <c r="K59" s="52">
        <f>COUNTIF(K5:K56,"&gt;10%")</f>
        <v>2</v>
      </c>
      <c r="P59" s="37">
        <f>TRUNC((P56+P55+P46+P44+P41+P40+P38+P37+P36+P35+P34+P33+P32+P31+P11+P29+P28+P27+P26+P25+P23+P22+P19+P18+P16+P15+P14+P12+P10+P9+P8+P7+P6+P5+P48+P24+P52+P42+P54+P43+P50+P47+P51+P49+P53)/44,2)</f>
        <v>0.15</v>
      </c>
      <c r="R59" s="69" t="s">
        <v>41</v>
      </c>
      <c r="S59" s="52">
        <f>COUNTIF(S5:S56,"&gt;10%")</f>
        <v>1</v>
      </c>
      <c r="X59" s="37">
        <f>TRUNC((X56+X55+X46+X44+X41+X40+X38+X37+X36+X35+X34+X33+X32+X31+X11+X29+X28+X27+X26+X25+X23+X22+X19+X18+X16+X15+X14+X12+X10+X9+X8+X7+X6+X5+X48+X24+X52+X42+X54+X43+X50+X47+X51+X49+X53)/45,2)</f>
        <v>0.11</v>
      </c>
      <c r="Z59" s="69" t="s">
        <v>41</v>
      </c>
      <c r="AA59" s="52">
        <f>COUNTIF(AA5:AA56,"&gt;10%")</f>
        <v>1</v>
      </c>
      <c r="AB59" s="52"/>
      <c r="AF59" s="37">
        <f>TRUNC((AF56+AF55+AF46+AF44+AF41+AF40+AF38+AF37+AF36+AF35+AF34+AF33+AF32+AF31+AF11+AF29+AF28+AF27+AF26+AF25+AF23+AF22+AF19+AF18+AF16+AF15+AF14+AF12+AF10+AF9+AF8+AF7+AF6+AF5+AF48+AF24+AF52+AF42+AF54+AF43+AF50+AF47+AF51+AF49+AF53)/44,2)</f>
        <v>0.14000000000000001</v>
      </c>
      <c r="AH59" s="69" t="s">
        <v>41</v>
      </c>
      <c r="AI59" s="52">
        <f>COUNTIF(AI5:AI56,"&gt;10%")</f>
        <v>3</v>
      </c>
      <c r="AJ59" s="52"/>
      <c r="AN59" s="37">
        <f>TRUNC((AN56+AN55+AN46+AN44+AN41+AN40+AN38+AN37+AN36+AN35+AN34+AN33+AN32+AN31+AN11+AN29+AN28+AN27+AN26+AN25+AN23+AN22+AN19+AN18+AN16+AN15+AN14+AN12+AN10+AN9+AN8+AN7+AN6+AN5+AN48+AN24+AN52+AN42+AN54+AN43+AN50+AN47+AN51+AN49+AN53)/45,2)</f>
        <v>0.13</v>
      </c>
      <c r="AP59" s="69" t="s">
        <v>41</v>
      </c>
      <c r="AQ59" s="52">
        <f>COUNTIF(AQ5:AQ56,"&gt;10%")</f>
        <v>1</v>
      </c>
      <c r="AV59" s="37">
        <f>TRUNC((AV56+AV55+AV46+AV44+AV41+AV40+AV38+AV37+AV36+AV35+AV34+AV33+AV32+AV31+AV11+AV29+AV28+AV27+AV26+AV25+AV23+AV22+AV19+AV18+AV16+AV15+AV14+AV12+AV10+AV9+AV8+AV7+AV6+AV5+AV48+AV24+AV52+AV42+AV54+AV43+AV50+AV47+AV51+AV49+AV53)/45,2)</f>
        <v>0.14000000000000001</v>
      </c>
      <c r="AX59" s="69" t="s">
        <v>41</v>
      </c>
      <c r="AY59" s="52">
        <f>COUNTIF(AY5:AY56,"&gt;10%")</f>
        <v>2</v>
      </c>
    </row>
    <row r="60" spans="2:53" x14ac:dyDescent="0.15">
      <c r="J60" s="54"/>
      <c r="K60" s="53"/>
      <c r="R60" s="54"/>
      <c r="S60" s="53"/>
      <c r="Z60" s="54"/>
      <c r="AA60" s="53"/>
      <c r="AB60" s="53"/>
      <c r="AH60" s="54"/>
      <c r="AI60" s="53"/>
      <c r="AJ60" s="53"/>
      <c r="AP60" s="54"/>
      <c r="AQ60" s="53"/>
      <c r="AY60" s="53"/>
    </row>
    <row r="61" spans="2:53" ht="13" thickBot="1" x14ac:dyDescent="0.2">
      <c r="B61" s="18"/>
    </row>
    <row r="62" spans="2:53" ht="14" thickTop="1" thickBot="1" x14ac:dyDescent="0.2">
      <c r="B62" s="18" t="s">
        <v>40</v>
      </c>
      <c r="C62" s="2" t="s">
        <v>39</v>
      </c>
      <c r="E62" s="63"/>
      <c r="F62" s="36">
        <f>IF(ISERROR(VLOOKUP($B62,[1]Hedef!$A$4:$ES$45409,62,0)),0,VLOOKUP($B62,[1]Hedef!$A$4:$ES$45409,62,0))</f>
        <v>25275.42</v>
      </c>
      <c r="G62" s="36" t="str">
        <f>IF((E62-F62)&lt;0, "-", (E62-F62))</f>
        <v>-</v>
      </c>
      <c r="H62" s="34" t="e">
        <f>IF((F62/E62)&gt;1,"100.0%",(F62/E62))</f>
        <v>#DIV/0!</v>
      </c>
      <c r="M62" s="63"/>
      <c r="N62" s="36">
        <f>IF(ISERROR(VLOOKUP($B62,[1]Hedef!$A$4:$ES$45409,66,0)),0,VLOOKUP($B62,[1]Hedef!$A$4:$ES$45409,66,0))</f>
        <v>16616.25</v>
      </c>
      <c r="O62" s="36" t="str">
        <f>IF((M62-N62)&lt;0, "-", (M62-N62))</f>
        <v>-</v>
      </c>
      <c r="P62" s="34" t="e">
        <f>IF((N62/M62)&gt;1,"100.0%",(N62/M62))</f>
        <v>#DIV/0!</v>
      </c>
      <c r="U62" s="63"/>
      <c r="V62" s="36">
        <f>IF(ISERROR(VLOOKUP($B62,[1]Hedef!$A$4:$ES$45409,60,0)),0,VLOOKUP($B62,[1]Hedef!$A$4:$ES$45409,60,0))</f>
        <v>13392.92</v>
      </c>
      <c r="W62" s="36" t="str">
        <f>IF((U62-V62)&lt;0, "-", (U62-V62))</f>
        <v>-</v>
      </c>
      <c r="X62" s="34" t="e">
        <f>IF((V62/U62)&gt;1,"100.0%",(V62/U62))</f>
        <v>#DIV/0!</v>
      </c>
      <c r="AC62" s="63"/>
      <c r="AD62" s="36">
        <f>IF(ISERROR(VLOOKUP($B62,[1]Hedef!$A$4:$ES$45409,68,0)),0,VLOOKUP($B62,[1]Hedef!$A$4:$ES$45409,68,0))</f>
        <v>27173.360000000001</v>
      </c>
      <c r="AE62" s="36" t="str">
        <f>IF((AC62-AD62)&lt;0, "-", (AC62-AD62))</f>
        <v>-</v>
      </c>
      <c r="AF62" s="34" t="e">
        <f>IF((AD62/AC62)&gt;1,"100.0%",(AD62/AC62))</f>
        <v>#DIV/0!</v>
      </c>
      <c r="AK62" s="63"/>
      <c r="AL62" s="36">
        <f>IF(ISERROR(VLOOKUP($B62,[1]Hedef!$A$4:$ES$45409,64,0)),0,VLOOKUP($B62,[1]Hedef!$A$4:$ES$45409,64,0))</f>
        <v>15316.72</v>
      </c>
      <c r="AM62" s="36" t="str">
        <f>IF((AK62-AL62)&lt;0, "-", (AK62-AL62))</f>
        <v>-</v>
      </c>
      <c r="AN62" s="34" t="e">
        <f>IF((AL62/AK62)&gt;1,"100.0%",(AL62/AK62))</f>
        <v>#DIV/0!</v>
      </c>
      <c r="AS62" s="63">
        <v>0</v>
      </c>
      <c r="AT62" s="36">
        <f>IF(ISERROR(VLOOKUP($B62,[1]Hedef!$A$4:$ES$45409,72,0)),0,VLOOKUP($B62,[1]Hedef!$A$4:$ES$45409,72,0))</f>
        <v>98170.63</v>
      </c>
      <c r="AU62" s="36" t="str">
        <f>IF((AS62-AT62)&lt;0, "-", (AS62-AT62))</f>
        <v>-</v>
      </c>
      <c r="AV62" s="34" t="e">
        <f>IF((AT62/AS62)&gt;1,"100.0%",(AT62/AS62))</f>
        <v>#DIV/0!</v>
      </c>
      <c r="AZ62" s="87" t="e">
        <f>AT62-#REF!</f>
        <v>#REF!</v>
      </c>
    </row>
    <row r="63" spans="2:53" ht="14" thickTop="1" thickBot="1" x14ac:dyDescent="0.2"/>
    <row r="64" spans="2:53" ht="14" thickTop="1" thickBot="1" x14ac:dyDescent="0.2">
      <c r="B64" s="55" t="s">
        <v>42</v>
      </c>
      <c r="C64" s="2" t="s">
        <v>43</v>
      </c>
      <c r="F64" s="36">
        <f>IF(ISERROR(VLOOKUP($B64,[1]Hedef!$A$4:$ES$45409,62,0)),0,VLOOKUP($B64,[1]Hedef!$A$4:$ES$45409,62,0))</f>
        <v>2026.18</v>
      </c>
      <c r="G64" s="58">
        <f>F64/F62</f>
        <v>8.0164048708191604E-2</v>
      </c>
      <c r="H64" s="13"/>
      <c r="N64" s="36">
        <f>IF(ISERROR(VLOOKUP($B64,[1]Hedef!$A$4:$ES$45409,66,0)),0,VLOOKUP($B64,[1]Hedef!$A$4:$ES$45409,66,0))</f>
        <v>23.4</v>
      </c>
      <c r="O64" s="58">
        <f>N64/N62</f>
        <v>1.4082599864590384E-3</v>
      </c>
      <c r="P64" s="13"/>
      <c r="V64" s="36">
        <f>IF(ISERROR(VLOOKUP($B64,[1]Hedef!$A$4:$ES$45409,60,0)),0,VLOOKUP($B64,[1]Hedef!$A$4:$ES$45409,60,0))</f>
        <v>0</v>
      </c>
      <c r="W64" s="58">
        <f>V64/V62</f>
        <v>0</v>
      </c>
      <c r="X64" s="13"/>
      <c r="AD64" s="36">
        <f>IF(ISERROR(VLOOKUP($B64,[1]Hedef!$A$4:$ES$45409,68,0)),0,VLOOKUP($B64,[1]Hedef!$A$4:$ES$45409,68,0))</f>
        <v>115.83</v>
      </c>
      <c r="AE64" s="58">
        <f>AD64/AD62</f>
        <v>4.2626307530610865E-3</v>
      </c>
      <c r="AF64" s="13"/>
      <c r="AL64" s="36">
        <f>IF(ISERROR(VLOOKUP($B64,[1]Hedef!$A$4:$ES$45409,64,0)),0,VLOOKUP($B64,[1]Hedef!$A$4:$ES$45409,64,0))</f>
        <v>40.68</v>
      </c>
      <c r="AM64" s="58">
        <f>AL64/AL62</f>
        <v>2.6559211110472741E-3</v>
      </c>
      <c r="AN64" s="13"/>
      <c r="AT64" s="36">
        <f>IF(ISERROR(VLOOKUP($B64,[1]Hedef!$A$4:$ES$45409,72,0)),0,VLOOKUP($B64,[1]Hedef!$A$4:$ES$45409,72,0))</f>
        <v>2206.09</v>
      </c>
      <c r="AU64" s="58">
        <f>AT64/AT62</f>
        <v>2.2471995952353573E-2</v>
      </c>
      <c r="AV64" s="13"/>
    </row>
    <row r="65" spans="3:3" ht="13" thickTop="1" x14ac:dyDescent="0.15"/>
    <row r="68" spans="3:3" x14ac:dyDescent="0.15">
      <c r="C68" s="150"/>
    </row>
    <row r="69" spans="3:3" x14ac:dyDescent="0.15">
      <c r="C69" s="150"/>
    </row>
    <row r="70" spans="3:3" x14ac:dyDescent="0.15">
      <c r="C70" s="150"/>
    </row>
  </sheetData>
  <autoFilter ref="A4:BE57" xr:uid="{00000000-0009-0000-0000-000007000000}">
    <filterColumn colId="51" showButton="0"/>
  </autoFilter>
  <mergeCells count="8">
    <mergeCell ref="AK2:AN3"/>
    <mergeCell ref="AS2:AV3"/>
    <mergeCell ref="AZ4:BA4"/>
    <mergeCell ref="C2:C4"/>
    <mergeCell ref="E2:H3"/>
    <mergeCell ref="M2:P3"/>
    <mergeCell ref="U2:X3"/>
    <mergeCell ref="AC2:AF3"/>
  </mergeCells>
  <conditionalFormatting sqref="H5:H12 P5:P12 X5:X12 AF5:AF12 AN5:AN12 AV5:AV12 H14:H16 P14:P16 X14:X16 AF14:AF16 AN14:AN16 AV14:AV16 H18:H19 P18:P19 X18:X19 AF18:AF19 AN18:AN19 AV18:AV19 H22:H29 P22:P29 X22:X29 AF22:AF29 AN22:AN29 AV22:AV29 H31:H38 P31:P38 X31:X38 AF31:AF38 AN31:AN38 AV31:AV38 H40:H44 P40:P44 X40:X44 AF40:AF44 AN40:AN44 AV40:AV44 H46:H56 P46:P56 X46:X56 AF46:AF56">
    <cfRule type="cellIs" dxfId="29" priority="122" operator="greaterThanOrEqual">
      <formula>1.2</formula>
    </cfRule>
    <cfRule type="cellIs" dxfId="28" priority="123" operator="greaterThanOrEqual">
      <formula>120</formula>
    </cfRule>
  </conditionalFormatting>
  <conditionalFormatting sqref="AN46:AN56">
    <cfRule type="cellIs" dxfId="27" priority="29" operator="greaterThanOrEqual">
      <formula>1.2</formula>
    </cfRule>
    <cfRule type="cellIs" dxfId="26" priority="30" operator="greaterThanOrEqual">
      <formula>120</formula>
    </cfRule>
  </conditionalFormatting>
  <conditionalFormatting sqref="AV46:AV56">
    <cfRule type="cellIs" dxfId="25" priority="27" operator="greaterThanOrEqual">
      <formula>1.2</formula>
    </cfRule>
    <cfRule type="cellIs" dxfId="24" priority="28" operator="greaterThanOrEqual">
      <formula>120</formula>
    </cfRule>
  </conditionalFormatting>
  <conditionalFormatting sqref="AV66:AV1048576">
    <cfRule type="cellIs" dxfId="23" priority="11938" operator="greaterThanOrEqual">
      <formula>100</formula>
    </cfRule>
    <cfRule type="cellIs" dxfId="22" priority="11939" operator="equal">
      <formula>1</formula>
    </cfRule>
    <cfRule type="cellIs" dxfId="21" priority="11940" operator="equal">
      <formula>1</formula>
    </cfRule>
    <cfRule type="cellIs" dxfId="20" priority="11941" operator="equal">
      <formula>100</formula>
    </cfRule>
  </conditionalFormatting>
  <pageMargins left="0.7" right="0.7" top="0.75" bottom="0.75" header="0.3" footer="0.3"/>
  <pageSetup orientation="portrait" r:id="rId1"/>
  <ignoredErrors>
    <ignoredError sqref="K59:L59 Q59 AO59 AW59 N59:O59 V59:W59 AL59:AM59 Y59 S59:T59 AA59 AQ59:AR59 AT59:AU59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BY70"/>
  <sheetViews>
    <sheetView zoomScaleNormal="100" workbookViewId="0">
      <pane xSplit="3" ySplit="4" topLeftCell="D27" activePane="bottomRight" state="frozen"/>
      <selection activeCell="C53" sqref="C53"/>
      <selection pane="topRight" activeCell="C53" sqref="C53"/>
      <selection pane="bottomLeft" activeCell="C53" sqref="C53"/>
      <selection pane="bottomRight" activeCell="AX53" sqref="AX53"/>
    </sheetView>
  </sheetViews>
  <sheetFormatPr baseColWidth="10" defaultColWidth="9.1640625" defaultRowHeight="12" x14ac:dyDescent="0.15"/>
  <cols>
    <col min="1" max="1" width="1.33203125" style="4" customWidth="1"/>
    <col min="2" max="2" width="3.1640625" style="19" customWidth="1"/>
    <col min="3" max="3" width="37.5" style="4" customWidth="1"/>
    <col min="4" max="4" width="1.33203125" style="4" customWidth="1"/>
    <col min="5" max="5" width="8.83203125" style="13" customWidth="1"/>
    <col min="6" max="6" width="8.5" style="4" customWidth="1"/>
    <col min="7" max="7" width="7.33203125" style="4" customWidth="1"/>
    <col min="8" max="8" width="8.83203125" style="4" customWidth="1"/>
    <col min="9" max="9" width="1.33203125" style="4" customWidth="1"/>
    <col min="10" max="10" width="9.33203125" style="13" customWidth="1"/>
    <col min="11" max="11" width="5.1640625" style="4" customWidth="1"/>
    <col min="12" max="12" width="1.33203125" style="4" customWidth="1"/>
    <col min="13" max="13" width="8.83203125" style="13" customWidth="1"/>
    <col min="14" max="14" width="7.5" style="4" customWidth="1"/>
    <col min="15" max="15" width="7.33203125" style="4" customWidth="1"/>
    <col min="16" max="16" width="7.6640625" style="4" customWidth="1"/>
    <col min="17" max="17" width="1.33203125" style="4" customWidth="1"/>
    <col min="18" max="18" width="9.33203125" style="13" customWidth="1"/>
    <col min="19" max="19" width="5.1640625" style="4" customWidth="1"/>
    <col min="20" max="20" width="1.33203125" style="4" customWidth="1"/>
    <col min="21" max="21" width="8.83203125" style="13" customWidth="1"/>
    <col min="22" max="23" width="8.83203125" style="4" customWidth="1"/>
    <col min="24" max="24" width="8" style="4" customWidth="1"/>
    <col min="25" max="25" width="1.33203125" style="4" customWidth="1"/>
    <col min="26" max="26" width="9.33203125" style="13" customWidth="1"/>
    <col min="27" max="27" width="5.1640625" style="4" customWidth="1"/>
    <col min="28" max="28" width="1.33203125" style="4" customWidth="1"/>
    <col min="29" max="29" width="8.83203125" style="13" customWidth="1"/>
    <col min="30" max="31" width="8.83203125" style="4" customWidth="1"/>
    <col min="32" max="32" width="8" style="4" customWidth="1"/>
    <col min="33" max="33" width="1.33203125" style="4" customWidth="1"/>
    <col min="34" max="34" width="9.33203125" style="13" customWidth="1"/>
    <col min="35" max="35" width="5.1640625" style="4" customWidth="1"/>
    <col min="36" max="36" width="1.33203125" style="4" customWidth="1"/>
    <col min="37" max="37" width="8.83203125" style="13" customWidth="1"/>
    <col min="38" max="38" width="8.5" style="4" customWidth="1"/>
    <col min="39" max="39" width="7.5" style="4" customWidth="1"/>
    <col min="40" max="40" width="8" style="4" customWidth="1"/>
    <col min="41" max="41" width="1.33203125" style="4" customWidth="1"/>
    <col min="42" max="42" width="9.33203125" style="13" customWidth="1"/>
    <col min="43" max="43" width="5.1640625" style="4" customWidth="1"/>
    <col min="44" max="44" width="1.33203125" style="4" customWidth="1"/>
    <col min="45" max="45" width="8.83203125" style="13" customWidth="1"/>
    <col min="46" max="46" width="8.5" style="4" customWidth="1"/>
    <col min="47" max="47" width="7.5" style="4" customWidth="1"/>
    <col min="48" max="48" width="8" style="4" customWidth="1"/>
    <col min="49" max="49" width="1.33203125" style="4" customWidth="1"/>
    <col min="50" max="50" width="8.6640625" style="13" customWidth="1"/>
    <col min="51" max="51" width="5.1640625" style="4" customWidth="1"/>
    <col min="52" max="52" width="1.33203125" style="4" customWidth="1"/>
    <col min="53" max="53" width="8.83203125" style="13" customWidth="1"/>
    <col min="54" max="54" width="8.5" style="4" customWidth="1"/>
    <col min="55" max="55" width="7.5" style="4" customWidth="1"/>
    <col min="56" max="56" width="8" style="4" customWidth="1"/>
    <col min="57" max="57" width="1.33203125" style="4" customWidth="1"/>
    <col min="58" max="58" width="8.6640625" style="13" customWidth="1"/>
    <col min="59" max="59" width="5.1640625" style="4" customWidth="1"/>
    <col min="60" max="60" width="1.33203125" style="4" customWidth="1"/>
    <col min="61" max="61" width="8.83203125" style="13" customWidth="1"/>
    <col min="62" max="62" width="9.5" style="4" customWidth="1"/>
    <col min="63" max="63" width="9.33203125" style="4" customWidth="1"/>
    <col min="64" max="64" width="8.33203125" style="4" customWidth="1"/>
    <col min="65" max="65" width="1.33203125" style="4" customWidth="1"/>
    <col min="66" max="66" width="8.6640625" style="13" customWidth="1"/>
    <col min="67" max="67" width="5.1640625" style="4" customWidth="1"/>
    <col min="68" max="68" width="1.33203125" style="4" customWidth="1"/>
    <col min="69" max="69" width="8.83203125" style="13" customWidth="1"/>
    <col min="70" max="70" width="9.5" style="4" customWidth="1"/>
    <col min="71" max="71" width="9.33203125" style="4" customWidth="1"/>
    <col min="72" max="72" width="8.33203125" style="4" customWidth="1"/>
    <col min="73" max="73" width="1.33203125" style="4" customWidth="1"/>
    <col min="74" max="74" width="9.33203125" style="25" customWidth="1"/>
    <col min="75" max="75" width="5.1640625" style="4" customWidth="1"/>
    <col min="76" max="76" width="8.33203125" style="13" customWidth="1"/>
    <col min="77" max="77" width="8.33203125" style="4" customWidth="1"/>
    <col min="78" max="16384" width="9.1640625" style="4"/>
  </cols>
  <sheetData>
    <row r="1" spans="2:77" ht="13" thickBot="1" x14ac:dyDescent="0.2">
      <c r="B1" s="17"/>
      <c r="C1" s="3" t="str">
        <f>'GENEL HEDEF'!C1</f>
        <v>01.05.2023 - 04.05.2023</v>
      </c>
    </row>
    <row r="2" spans="2:77" ht="5.25" customHeight="1" thickTop="1" thickBot="1" x14ac:dyDescent="0.2">
      <c r="B2" s="17"/>
      <c r="C2" s="211" t="s">
        <v>0</v>
      </c>
      <c r="E2" s="203" t="s">
        <v>180</v>
      </c>
      <c r="F2" s="204"/>
      <c r="G2" s="204"/>
      <c r="H2" s="205"/>
      <c r="M2" s="203" t="s">
        <v>59</v>
      </c>
      <c r="N2" s="204"/>
      <c r="O2" s="204"/>
      <c r="P2" s="205"/>
      <c r="U2" s="203" t="s">
        <v>72</v>
      </c>
      <c r="V2" s="204"/>
      <c r="W2" s="204"/>
      <c r="X2" s="205"/>
      <c r="AC2" s="203" t="s">
        <v>173</v>
      </c>
      <c r="AD2" s="204"/>
      <c r="AE2" s="204"/>
      <c r="AF2" s="205"/>
      <c r="AK2" s="203" t="s">
        <v>139</v>
      </c>
      <c r="AL2" s="204"/>
      <c r="AM2" s="204"/>
      <c r="AN2" s="205"/>
      <c r="AS2" s="203" t="s">
        <v>182</v>
      </c>
      <c r="AT2" s="204"/>
      <c r="AU2" s="204"/>
      <c r="AV2" s="205"/>
      <c r="BA2" s="203" t="s">
        <v>181</v>
      </c>
      <c r="BB2" s="204"/>
      <c r="BC2" s="204"/>
      <c r="BD2" s="205"/>
      <c r="BI2" s="228" t="s">
        <v>178</v>
      </c>
      <c r="BJ2" s="229"/>
      <c r="BK2" s="229"/>
      <c r="BL2" s="230"/>
      <c r="BQ2" s="228" t="s">
        <v>73</v>
      </c>
      <c r="BR2" s="229"/>
      <c r="BS2" s="229"/>
      <c r="BT2" s="230"/>
    </row>
    <row r="3" spans="2:77" ht="12" customHeight="1" thickBot="1" x14ac:dyDescent="0.2">
      <c r="B3" s="17"/>
      <c r="C3" s="212"/>
      <c r="E3" s="206"/>
      <c r="F3" s="207"/>
      <c r="G3" s="207"/>
      <c r="H3" s="208"/>
      <c r="M3" s="206"/>
      <c r="N3" s="207"/>
      <c r="O3" s="207"/>
      <c r="P3" s="208"/>
      <c r="U3" s="206"/>
      <c r="V3" s="207"/>
      <c r="W3" s="207"/>
      <c r="X3" s="208"/>
      <c r="AC3" s="206"/>
      <c r="AD3" s="207"/>
      <c r="AE3" s="207"/>
      <c r="AF3" s="208"/>
      <c r="AK3" s="206"/>
      <c r="AL3" s="207"/>
      <c r="AM3" s="207"/>
      <c r="AN3" s="208"/>
      <c r="AS3" s="206"/>
      <c r="AT3" s="207"/>
      <c r="AU3" s="207"/>
      <c r="AV3" s="208"/>
      <c r="BA3" s="206"/>
      <c r="BB3" s="207"/>
      <c r="BC3" s="207"/>
      <c r="BD3" s="208"/>
      <c r="BI3" s="231"/>
      <c r="BJ3" s="232"/>
      <c r="BK3" s="232"/>
      <c r="BL3" s="233"/>
      <c r="BQ3" s="231"/>
      <c r="BR3" s="232"/>
      <c r="BS3" s="232"/>
      <c r="BT3" s="233"/>
    </row>
    <row r="4" spans="2:77" ht="12.75" customHeight="1" thickTop="1" thickBot="1" x14ac:dyDescent="0.2">
      <c r="B4" s="17"/>
      <c r="C4" s="213"/>
      <c r="E4" s="5" t="s">
        <v>34</v>
      </c>
      <c r="F4" s="6" t="s">
        <v>34</v>
      </c>
      <c r="G4" s="6" t="s">
        <v>35</v>
      </c>
      <c r="H4" s="7" t="s">
        <v>36</v>
      </c>
      <c r="J4" s="30">
        <v>2022</v>
      </c>
      <c r="K4" s="10"/>
      <c r="M4" s="5" t="s">
        <v>34</v>
      </c>
      <c r="N4" s="6" t="s">
        <v>34</v>
      </c>
      <c r="O4" s="6" t="s">
        <v>35</v>
      </c>
      <c r="P4" s="7" t="s">
        <v>36</v>
      </c>
      <c r="R4" s="30">
        <v>2022</v>
      </c>
      <c r="S4" s="10"/>
      <c r="U4" s="5" t="s">
        <v>34</v>
      </c>
      <c r="V4" s="6" t="s">
        <v>34</v>
      </c>
      <c r="W4" s="6" t="s">
        <v>35</v>
      </c>
      <c r="X4" s="7" t="s">
        <v>36</v>
      </c>
      <c r="Z4" s="30">
        <v>2022</v>
      </c>
      <c r="AA4" s="10"/>
      <c r="AB4" s="73"/>
      <c r="AC4" s="5" t="s">
        <v>34</v>
      </c>
      <c r="AD4" s="6" t="s">
        <v>34</v>
      </c>
      <c r="AE4" s="6" t="s">
        <v>35</v>
      </c>
      <c r="AF4" s="7" t="s">
        <v>36</v>
      </c>
      <c r="AH4" s="30">
        <v>2022</v>
      </c>
      <c r="AI4" s="10"/>
      <c r="AK4" s="191" t="s">
        <v>34</v>
      </c>
      <c r="AL4" s="167" t="s">
        <v>34</v>
      </c>
      <c r="AM4" s="167" t="s">
        <v>35</v>
      </c>
      <c r="AN4" s="168" t="s">
        <v>36</v>
      </c>
      <c r="AP4" s="30">
        <v>2022</v>
      </c>
      <c r="AQ4" s="10"/>
      <c r="AR4" s="73"/>
      <c r="AS4" s="5" t="s">
        <v>34</v>
      </c>
      <c r="AT4" s="6" t="s">
        <v>34</v>
      </c>
      <c r="AU4" s="6" t="s">
        <v>35</v>
      </c>
      <c r="AV4" s="7" t="s">
        <v>36</v>
      </c>
      <c r="AX4" s="30">
        <v>2022</v>
      </c>
      <c r="AY4" s="10"/>
      <c r="BA4" s="5" t="s">
        <v>34</v>
      </c>
      <c r="BB4" s="6" t="s">
        <v>34</v>
      </c>
      <c r="BC4" s="6" t="s">
        <v>35</v>
      </c>
      <c r="BD4" s="7" t="s">
        <v>36</v>
      </c>
      <c r="BF4" s="30">
        <v>2022</v>
      </c>
      <c r="BG4" s="10"/>
      <c r="BI4" s="5" t="s">
        <v>33</v>
      </c>
      <c r="BJ4" s="6" t="s">
        <v>34</v>
      </c>
      <c r="BK4" s="6" t="s">
        <v>35</v>
      </c>
      <c r="BL4" s="7" t="s">
        <v>36</v>
      </c>
      <c r="BN4" s="30">
        <v>2022</v>
      </c>
      <c r="BO4" s="10"/>
      <c r="BQ4" s="5" t="s">
        <v>33</v>
      </c>
      <c r="BR4" s="6" t="s">
        <v>34</v>
      </c>
      <c r="BS4" s="6" t="s">
        <v>35</v>
      </c>
      <c r="BT4" s="7" t="s">
        <v>36</v>
      </c>
      <c r="BV4" s="30">
        <v>2022</v>
      </c>
      <c r="BW4" s="10"/>
      <c r="BX4" s="209" t="s">
        <v>37</v>
      </c>
      <c r="BY4" s="210"/>
    </row>
    <row r="5" spans="2:77" ht="13" thickTop="1" x14ac:dyDescent="0.15">
      <c r="B5" s="31">
        <v>10000</v>
      </c>
      <c r="C5" s="88" t="s">
        <v>1</v>
      </c>
      <c r="E5" s="197"/>
      <c r="F5" s="176">
        <f>IF(ISERROR(VLOOKUP($B5,[1]Hedef!$A$4:$ES$45409,75,0)),0,VLOOKUP($B5,[1]Hedef!$A$4:$ES$45409,75,0))</f>
        <v>0</v>
      </c>
      <c r="G5" s="177">
        <f t="shared" ref="G5:G12" si="0">IF((E5-F5)&lt;0, "-", (E5-F5))</f>
        <v>0</v>
      </c>
      <c r="H5" s="178" t="e">
        <f>TRUNC(IF((F5/E5)&gt;1.2,"120%",(F5/E5)),2)</f>
        <v>#DIV/0!</v>
      </c>
      <c r="J5" s="32">
        <v>1.3649999999999999E-2</v>
      </c>
      <c r="K5" s="11">
        <f t="shared" ref="K5:K12" si="1">IF(ISERROR((F5-J5)/J5),0,(F5-J5)/J5)</f>
        <v>-1</v>
      </c>
      <c r="M5" s="185"/>
      <c r="N5" s="176">
        <f>IF(ISERROR(VLOOKUP($B5,[1]Hedef!$A$4:$ES$45409,79,0)),0,VLOOKUP($B5,[1]Hedef!$A$4:$ES$45409,79,0))</f>
        <v>5.0959999999999998E-2</v>
      </c>
      <c r="O5" s="177" t="str">
        <f t="shared" ref="O5:O12" si="2">IF((M5-N5)&lt;0, "-", (M5-N5))</f>
        <v>-</v>
      </c>
      <c r="P5" s="178" t="e">
        <f t="shared" ref="P5:P12" si="3">TRUNC(IF((N5/M5)&gt;1.2,"120%",(N5/M5)),2)</f>
        <v>#DIV/0!</v>
      </c>
      <c r="R5" s="32">
        <v>9.040999999999999E-2</v>
      </c>
      <c r="S5" s="11">
        <f>IF(ISERROR((N5-R5)/R5),0,(N5-R5)/R5)</f>
        <v>-0.43634553699811962</v>
      </c>
      <c r="U5" s="185"/>
      <c r="V5" s="176">
        <f>IF(ISERROR(VLOOKUP($B5,[1]Hedef!$A$4:$ES$45409,77,0)),0,VLOOKUP($B5,[1]Hedef!$A$4:$ES$45409,77,0))</f>
        <v>0</v>
      </c>
      <c r="W5" s="177">
        <f t="shared" ref="W5:W12" si="4">IF((U5-V5)&lt;0, "-", (U5-V5))</f>
        <v>0</v>
      </c>
      <c r="X5" s="178" t="e">
        <f t="shared" ref="X5:X12" si="5">TRUNC(IF((V5/U5)&gt;1.2,"120%",(V5/U5)),2)</f>
        <v>#DIV/0!</v>
      </c>
      <c r="Z5" s="32">
        <v>4.6679999999999999E-2</v>
      </c>
      <c r="AA5" s="11">
        <f>IF(ISERROR((V5-Z5)/Z5),0,(V5-Z5)/Z5)</f>
        <v>-1</v>
      </c>
      <c r="AB5" s="72"/>
      <c r="AC5" s="185"/>
      <c r="AD5" s="176">
        <f>IF(ISERROR(VLOOKUP($B5,[1]Hedef!$A$4:$ES$45409,81,0)),0,VLOOKUP($B5,[1]Hedef!$A$4:$ES$45409,81,0))</f>
        <v>0</v>
      </c>
      <c r="AE5" s="177">
        <f t="shared" ref="AE5:AE12" si="6">IF((AC5-AD5)&lt;0, "-", (AC5-AD5))</f>
        <v>0</v>
      </c>
      <c r="AF5" s="178" t="e">
        <f t="shared" ref="AF5:AF12" si="7">TRUNC(IF((AD5/AC5)&gt;1.2,"120%",(AD5/AC5)),2)</f>
        <v>#DIV/0!</v>
      </c>
      <c r="AH5" s="32">
        <v>4.2874999999999996E-2</v>
      </c>
      <c r="AI5" s="11">
        <f t="shared" ref="AI5:AI12" si="8">IF(ISERROR((AD5-AH5)/AH5),0,(AD5-AH5)/AH5)</f>
        <v>-1</v>
      </c>
      <c r="AK5" s="192"/>
      <c r="AL5" s="169">
        <f>IF(ISERROR(VLOOKUP($B5,[1]Hedef!$A$4:$ES$45409,73,0)),0,VLOOKUP($B5,[1]Hedef!$A$4:$ES$45409,73,0))</f>
        <v>0</v>
      </c>
      <c r="AM5" s="170">
        <f t="shared" ref="AM5:AM12" si="9">IF((AK5-AL5)&lt;0, "-", (AK5-AL5))</f>
        <v>0</v>
      </c>
      <c r="AN5" s="171" t="e">
        <f t="shared" ref="AN5:AN12" si="10">TRUNC(IF((AL5/AK5)&gt;1.2,"120%",(AL5/AK5)),2)</f>
        <v>#DIV/0!</v>
      </c>
      <c r="AO5" s="172"/>
      <c r="AP5" s="32">
        <v>0.16250999999999999</v>
      </c>
      <c r="AQ5" s="11">
        <f>IF(ISERROR((AL5-AP5)/AP5),0,(AL5-AP5)/AP5)</f>
        <v>-1</v>
      </c>
      <c r="AR5" s="72"/>
      <c r="AS5" s="199"/>
      <c r="AT5" s="23">
        <f>IF(ISERROR(VLOOKUP($B5,[1]Hedef!$A$4:$ES$45409,83,0)),0,VLOOKUP($B5,[1]Hedef!$A$4:$ES$45409,83,0))</f>
        <v>0</v>
      </c>
      <c r="AU5" s="21">
        <f t="shared" ref="AU5:AU12" si="11">IF((AS5-AT5)&lt;0, "-", (AS5-AT5))</f>
        <v>0</v>
      </c>
      <c r="AV5" s="80" t="e">
        <f t="shared" ref="AV5:AV12" si="12">TRUNC(IF((AT5/AS5)&gt;1.2,"120%",(AT5/AS5)),2)</f>
        <v>#DIV/0!</v>
      </c>
      <c r="AX5" s="32">
        <v>0.16845499999999999</v>
      </c>
      <c r="AY5" s="11">
        <f t="shared" ref="AY5:AY12" si="13">IF(ISERROR((AT5-AX5)/AX5),0,(AT5-AX5)/AX5)</f>
        <v>-1</v>
      </c>
      <c r="BA5" s="200"/>
      <c r="BB5" s="176">
        <f>IF(ISERROR(VLOOKUP($B5,[1]Hedef!$A$4:$ES$45409,85,0)),0,VLOOKUP($B5,[1]Hedef!$A$4:$ES$45409,85,0))</f>
        <v>0</v>
      </c>
      <c r="BC5" s="177">
        <f t="shared" ref="BC5:BC12" si="14">IF((BA5-BB5)&lt;0, "-", (BA5-BB5))</f>
        <v>0</v>
      </c>
      <c r="BD5" s="178" t="e">
        <f t="shared" ref="BD5:BD12" si="15">TRUNC(IF((BB5/BA5)&gt;1.2,"120%",(BB5/BA5)),2)</f>
        <v>#DIV/0!</v>
      </c>
      <c r="BF5" s="32"/>
      <c r="BG5" s="11">
        <f t="shared" ref="BG5:BG12" si="16">IF(ISERROR((BB5-BF5)/BF5),0,(BB5-BF5)/BF5)</f>
        <v>0</v>
      </c>
      <c r="BI5" s="22">
        <f>+BA5+AS5</f>
        <v>0</v>
      </c>
      <c r="BJ5" s="23">
        <f>+BB5+AT5</f>
        <v>0</v>
      </c>
      <c r="BK5" s="21">
        <f t="shared" ref="BK5:BK12" si="17">IF((BI5-BJ5)&lt;0, "-", (BI5-BJ5))</f>
        <v>0</v>
      </c>
      <c r="BL5" s="80" t="e">
        <f t="shared" ref="BL5:BL12" si="18">TRUNC(IF((BJ5/BI5)&gt;1.2,"120%",(BJ5/BI5)),2)</f>
        <v>#DIV/0!</v>
      </c>
      <c r="BN5" s="32">
        <f>+BF5+AX5</f>
        <v>0.16845499999999999</v>
      </c>
      <c r="BO5" s="11">
        <f t="shared" ref="BO5:BO12" si="19">IF(ISERROR((BJ5-BN5)/BN5),0,(BJ5-BN5)/BN5)</f>
        <v>-1</v>
      </c>
      <c r="BQ5" s="22">
        <f>+AK5+AC5+M5+E5+U5+AS5+BA5</f>
        <v>0</v>
      </c>
      <c r="BR5" s="23">
        <f>IF(ISERROR(VLOOKUP($B5,[1]Hedef!$A$4:$ES$45409,87,0)),0,VLOOKUP($B5,[1]Hedef!$A$4:$ES$45409,87,0))</f>
        <v>5.0959999999999998E-2</v>
      </c>
      <c r="BS5" s="21" t="str">
        <f t="shared" ref="BS5:BS12" si="20">IF((BQ5-BR5)&lt;0, "-", (BQ5-BR5))</f>
        <v>-</v>
      </c>
      <c r="BT5" s="80" t="e">
        <f t="shared" ref="BT5:BT12" si="21">TRUNC(IF((BR5/BQ5)&gt;1.2,"120%",(BR5/BQ5)),2)</f>
        <v>#DIV/0!</v>
      </c>
      <c r="BV5" s="32">
        <f>+AX5+AP5+AH5+Z5+R5+J5</f>
        <v>0.52457999999999994</v>
      </c>
      <c r="BW5" s="11">
        <f>IF(ISERROR((BR5-BV5)/BV5),0,(BR5-BV5)/BV5)</f>
        <v>-0.90285561782759538</v>
      </c>
      <c r="BX5" s="127">
        <f>BQ5-'GENEL HEDEF'!CF5</f>
        <v>-0.53</v>
      </c>
      <c r="BY5" s="15">
        <f>BR5-AL5-AD5-V5-N5-F5-AT5-BB5</f>
        <v>0</v>
      </c>
    </row>
    <row r="6" spans="2:77" x14ac:dyDescent="0.15">
      <c r="B6" s="18">
        <v>2</v>
      </c>
      <c r="C6" s="1" t="s">
        <v>2</v>
      </c>
      <c r="E6" s="186"/>
      <c r="F6" s="23">
        <f>IF(ISERROR(VLOOKUP($B6,[1]Hedef!$A$4:$ES$45409,75,0)),0,VLOOKUP($B6,[1]Hedef!$A$4:$ES$45409,75,0))</f>
        <v>0</v>
      </c>
      <c r="G6" s="23">
        <f t="shared" si="0"/>
        <v>0</v>
      </c>
      <c r="H6" s="179" t="e">
        <f t="shared" ref="H6:H12" si="22">TRUNC(IF((F6/E6)&gt;1.2,"120%",(F6/E6)),2)</f>
        <v>#DIV/0!</v>
      </c>
      <c r="J6" s="32">
        <v>0.29274999999999995</v>
      </c>
      <c r="K6" s="11">
        <f t="shared" si="1"/>
        <v>-1</v>
      </c>
      <c r="M6" s="186"/>
      <c r="N6" s="23">
        <f>IF(ISERROR(VLOOKUP($B6,[1]Hedef!$A$4:$ES$45409,79,0)),0,VLOOKUP($B6,[1]Hedef!$A$4:$ES$45409,79,0))</f>
        <v>1.5E-3</v>
      </c>
      <c r="O6" s="23" t="str">
        <f t="shared" si="2"/>
        <v>-</v>
      </c>
      <c r="P6" s="179" t="e">
        <f t="shared" si="3"/>
        <v>#DIV/0!</v>
      </c>
      <c r="R6" s="32">
        <v>0.68625000000000003</v>
      </c>
      <c r="S6" s="11">
        <f>IF(ISERROR((N6-R6)/R6),0,(N6-R6)/R6)</f>
        <v>-0.99781420765027329</v>
      </c>
      <c r="U6" s="186"/>
      <c r="V6" s="23">
        <f>IF(ISERROR(VLOOKUP($B6,[1]Hedef!$A$4:$ES$45409,77,0)),0,VLOOKUP($B6,[1]Hedef!$A$4:$ES$45409,77,0))</f>
        <v>4.2250000000000003E-2</v>
      </c>
      <c r="W6" s="23" t="str">
        <f t="shared" si="4"/>
        <v>-</v>
      </c>
      <c r="X6" s="179" t="e">
        <f t="shared" si="5"/>
        <v>#DIV/0!</v>
      </c>
      <c r="Z6" s="32">
        <v>0.99749999999999994</v>
      </c>
      <c r="AA6" s="11">
        <f>IF(ISERROR((V6-Z6)/Z6),0,(V6-Z6)/Z6)</f>
        <v>-0.95764411027568919</v>
      </c>
      <c r="AB6" s="72"/>
      <c r="AC6" s="186"/>
      <c r="AD6" s="23">
        <f>IF(ISERROR(VLOOKUP($B6,[1]Hedef!$A$4:$ES$45409,81,0)),0,VLOOKUP($B6,[1]Hedef!$A$4:$ES$45409,81,0))</f>
        <v>-7.5000000000000002E-4</v>
      </c>
      <c r="AE6" s="23">
        <f t="shared" si="6"/>
        <v>7.5000000000000002E-4</v>
      </c>
      <c r="AF6" s="179" t="e">
        <f t="shared" si="7"/>
        <v>#DIV/0!</v>
      </c>
      <c r="AH6" s="32">
        <v>0.37075000000000002</v>
      </c>
      <c r="AI6" s="11">
        <f t="shared" si="8"/>
        <v>-1.0020229265003371</v>
      </c>
      <c r="AK6" s="186"/>
      <c r="AL6" s="23">
        <f>IF(ISERROR(VLOOKUP($B6,[1]Hedef!$A$4:$ES$45409,73,0)),0,VLOOKUP($B6,[1]Hedef!$A$4:$ES$45409,73,0))</f>
        <v>1.2999999999999999E-2</v>
      </c>
      <c r="AM6" s="23" t="str">
        <f t="shared" si="9"/>
        <v>-</v>
      </c>
      <c r="AN6" s="80" t="e">
        <f t="shared" si="10"/>
        <v>#DIV/0!</v>
      </c>
      <c r="AO6" s="173"/>
      <c r="AP6" s="32">
        <v>0.61149999999999993</v>
      </c>
      <c r="AQ6" s="11">
        <f>IF(ISERROR((AL6-AP6)/AP6),0,(AL6-AP6)/AP6)</f>
        <v>-0.97874080130825836</v>
      </c>
      <c r="AR6" s="72"/>
      <c r="AS6" s="189"/>
      <c r="AT6" s="23">
        <f>IF(ISERROR(VLOOKUP($B6,[1]Hedef!$A$4:$ES$45409,83,0)),0,VLOOKUP($B6,[1]Hedef!$A$4:$ES$45409,83,0))</f>
        <v>0</v>
      </c>
      <c r="AU6" s="23">
        <f t="shared" si="11"/>
        <v>0</v>
      </c>
      <c r="AV6" s="80" t="e">
        <f t="shared" si="12"/>
        <v>#DIV/0!</v>
      </c>
      <c r="AX6" s="32">
        <v>1.0567500000000001</v>
      </c>
      <c r="AY6" s="11">
        <f t="shared" si="13"/>
        <v>-1</v>
      </c>
      <c r="BA6" s="198"/>
      <c r="BB6" s="23">
        <f>IF(ISERROR(VLOOKUP($B6,[1]Hedef!$A$4:$ES$45409,85,0)),0,VLOOKUP($B6,[1]Hedef!$A$4:$ES$45409,85,0))</f>
        <v>0.26</v>
      </c>
      <c r="BC6" s="23" t="str">
        <f t="shared" si="14"/>
        <v>-</v>
      </c>
      <c r="BD6" s="179" t="e">
        <f t="shared" si="15"/>
        <v>#DIV/0!</v>
      </c>
      <c r="BF6" s="32"/>
      <c r="BG6" s="11">
        <f t="shared" si="16"/>
        <v>0</v>
      </c>
      <c r="BI6" s="22">
        <f t="shared" ref="BI6:BI19" si="23">+BA6+AS6</f>
        <v>0</v>
      </c>
      <c r="BJ6" s="23">
        <f t="shared" ref="BJ6:BJ19" si="24">+BB6+AT6</f>
        <v>0.26</v>
      </c>
      <c r="BK6" s="23" t="str">
        <f t="shared" si="17"/>
        <v>-</v>
      </c>
      <c r="BL6" s="80" t="e">
        <f t="shared" si="18"/>
        <v>#DIV/0!</v>
      </c>
      <c r="BN6" s="32">
        <f t="shared" ref="BN6:BN19" si="25">+BF6+AX6</f>
        <v>1.0567500000000001</v>
      </c>
      <c r="BO6" s="11">
        <f t="shared" si="19"/>
        <v>-0.7539626212443814</v>
      </c>
      <c r="BQ6" s="22">
        <f t="shared" ref="BQ6:BQ19" si="26">+AK6+AC6+M6+E6+U6+AS6+BA6</f>
        <v>0</v>
      </c>
      <c r="BR6" s="23">
        <f>IF(ISERROR(VLOOKUP($B6,[1]Hedef!$A$4:$ES$45409,87,0)),0,VLOOKUP($B6,[1]Hedef!$A$4:$ES$45409,87,0))</f>
        <v>0.316</v>
      </c>
      <c r="BS6" s="23" t="str">
        <f t="shared" si="20"/>
        <v>-</v>
      </c>
      <c r="BT6" s="80" t="e">
        <f t="shared" si="21"/>
        <v>#DIV/0!</v>
      </c>
      <c r="BV6" s="32">
        <f t="shared" ref="BV6:BV12" si="27">+AX6+AP6+AH6+Z6+R6+J6</f>
        <v>4.0155000000000003</v>
      </c>
      <c r="BW6" s="11">
        <f>IF(ISERROR((BR6-BV6)/BV6),0,(BR6-BV6)/BV6)</f>
        <v>-0.92130494334453994</v>
      </c>
      <c r="BX6" s="127">
        <f>BQ6-'GENEL HEDEF'!CF6</f>
        <v>-3.8</v>
      </c>
      <c r="BY6" s="15">
        <f t="shared" ref="BY6:BY19" si="28">BR6-AL6-AD6-V6-N6-F6-AT6-BB6</f>
        <v>0</v>
      </c>
    </row>
    <row r="7" spans="2:77" x14ac:dyDescent="0.15">
      <c r="B7" s="18">
        <v>3</v>
      </c>
      <c r="C7" s="1" t="s">
        <v>65</v>
      </c>
      <c r="E7" s="186"/>
      <c r="F7" s="23">
        <f>IF(ISERROR(VLOOKUP($B7,[1]Hedef!$A$4:$ES$45409,75,0)),0,VLOOKUP($B7,[1]Hedef!$A$4:$ES$45409,75,0))</f>
        <v>0</v>
      </c>
      <c r="G7" s="23">
        <f t="shared" si="0"/>
        <v>0</v>
      </c>
      <c r="H7" s="179" t="e">
        <f t="shared" si="22"/>
        <v>#DIV/0!</v>
      </c>
      <c r="J7" s="32">
        <v>0.12820000000000001</v>
      </c>
      <c r="K7" s="11">
        <f t="shared" si="1"/>
        <v>-1</v>
      </c>
      <c r="M7" s="189"/>
      <c r="N7" s="23">
        <f>IF(ISERROR(VLOOKUP($B7,[1]Hedef!$A$4:$ES$45409,79,0)),0,VLOOKUP($B7,[1]Hedef!$A$4:$ES$45409,79,0))</f>
        <v>1.9900000000000001E-2</v>
      </c>
      <c r="O7" s="23" t="str">
        <f t="shared" si="2"/>
        <v>-</v>
      </c>
      <c r="P7" s="179" t="e">
        <f t="shared" si="3"/>
        <v>#DIV/0!</v>
      </c>
      <c r="R7" s="32">
        <v>0.11979999999999999</v>
      </c>
      <c r="S7" s="11">
        <f>IF(ISERROR((N7-R7)/R7),0,(N7-R7)/R7)</f>
        <v>-0.833889816360601</v>
      </c>
      <c r="U7" s="186"/>
      <c r="V7" s="23">
        <f>IF(ISERROR(VLOOKUP($B7,[1]Hedef!$A$4:$ES$45409,77,0)),0,VLOOKUP($B7,[1]Hedef!$A$4:$ES$45409,77,0))</f>
        <v>0</v>
      </c>
      <c r="W7" s="23">
        <f t="shared" si="4"/>
        <v>0</v>
      </c>
      <c r="X7" s="179" t="e">
        <f t="shared" si="5"/>
        <v>#DIV/0!</v>
      </c>
      <c r="Z7" s="32">
        <v>0.19600000000000001</v>
      </c>
      <c r="AA7" s="11">
        <f>IF(ISERROR((V7-Z7)/Z7),0,(V7-Z7)/Z7)</f>
        <v>-1</v>
      </c>
      <c r="AB7" s="72"/>
      <c r="AC7" s="186"/>
      <c r="AD7" s="23">
        <f>IF(ISERROR(VLOOKUP($B7,[1]Hedef!$A$4:$ES$45409,81,0)),0,VLOOKUP($B7,[1]Hedef!$A$4:$ES$45409,81,0))</f>
        <v>0</v>
      </c>
      <c r="AE7" s="23">
        <f t="shared" si="6"/>
        <v>0</v>
      </c>
      <c r="AF7" s="179" t="e">
        <f t="shared" si="7"/>
        <v>#DIV/0!</v>
      </c>
      <c r="AH7" s="32">
        <v>0.16970000000000002</v>
      </c>
      <c r="AI7" s="11">
        <f t="shared" si="8"/>
        <v>-1</v>
      </c>
      <c r="AK7" s="186"/>
      <c r="AL7" s="23">
        <f>IF(ISERROR(VLOOKUP($B7,[1]Hedef!$A$4:$ES$45409,73,0)),0,VLOOKUP($B7,[1]Hedef!$A$4:$ES$45409,73,0))</f>
        <v>5.0000000000000001E-3</v>
      </c>
      <c r="AM7" s="23" t="str">
        <f t="shared" si="9"/>
        <v>-</v>
      </c>
      <c r="AN7" s="80" t="e">
        <f t="shared" si="10"/>
        <v>#DIV/0!</v>
      </c>
      <c r="AO7" s="173"/>
      <c r="AP7" s="32">
        <v>6.5000000000000002E-2</v>
      </c>
      <c r="AQ7" s="11">
        <f>IF(ISERROR((AL7-AP7)/AP7),0,(AL7-AP7)/AP7)</f>
        <v>-0.92307692307692313</v>
      </c>
      <c r="AR7" s="72"/>
      <c r="AS7" s="187"/>
      <c r="AT7" s="23">
        <f>IF(ISERROR(VLOOKUP($B7,[1]Hedef!$A$4:$ES$45409,83,0)),0,VLOOKUP($B7,[1]Hedef!$A$4:$ES$45409,83,0))</f>
        <v>4.8000000000000001E-2</v>
      </c>
      <c r="AU7" s="23" t="str">
        <f t="shared" si="11"/>
        <v>-</v>
      </c>
      <c r="AV7" s="80" t="e">
        <f t="shared" si="12"/>
        <v>#DIV/0!</v>
      </c>
      <c r="AX7" s="32">
        <v>0.52400000000000002</v>
      </c>
      <c r="AY7" s="11">
        <f t="shared" si="13"/>
        <v>-0.90839694656488557</v>
      </c>
      <c r="BA7" s="186"/>
      <c r="BB7" s="23">
        <f>IF(ISERROR(VLOOKUP($B7,[1]Hedef!$A$4:$ES$45409,85,0)),0,VLOOKUP($B7,[1]Hedef!$A$4:$ES$45409,85,0))</f>
        <v>5.5E-2</v>
      </c>
      <c r="BC7" s="23" t="str">
        <f t="shared" si="14"/>
        <v>-</v>
      </c>
      <c r="BD7" s="179" t="e">
        <f t="shared" si="15"/>
        <v>#DIV/0!</v>
      </c>
      <c r="BF7" s="32"/>
      <c r="BG7" s="11">
        <f t="shared" si="16"/>
        <v>0</v>
      </c>
      <c r="BI7" s="22">
        <f t="shared" si="23"/>
        <v>0</v>
      </c>
      <c r="BJ7" s="23">
        <f t="shared" si="24"/>
        <v>0.10300000000000001</v>
      </c>
      <c r="BK7" s="23" t="str">
        <f t="shared" si="17"/>
        <v>-</v>
      </c>
      <c r="BL7" s="80" t="e">
        <f t="shared" si="18"/>
        <v>#DIV/0!</v>
      </c>
      <c r="BN7" s="32">
        <f t="shared" si="25"/>
        <v>0.52400000000000002</v>
      </c>
      <c r="BO7" s="11">
        <f t="shared" si="19"/>
        <v>-0.80343511450381688</v>
      </c>
      <c r="BQ7" s="22">
        <f t="shared" si="26"/>
        <v>0</v>
      </c>
      <c r="BR7" s="23">
        <f>IF(ISERROR(VLOOKUP($B7,[1]Hedef!$A$4:$ES$45409,87,0)),0,VLOOKUP($B7,[1]Hedef!$A$4:$ES$45409,87,0))</f>
        <v>0.12790000000000001</v>
      </c>
      <c r="BS7" s="23" t="str">
        <f t="shared" si="20"/>
        <v>-</v>
      </c>
      <c r="BT7" s="80" t="e">
        <f t="shared" si="21"/>
        <v>#DIV/0!</v>
      </c>
      <c r="BV7" s="32">
        <f t="shared" si="27"/>
        <v>1.2026999999999999</v>
      </c>
      <c r="BW7" s="11">
        <f>IF(ISERROR((BR7-BV7)/BV7),0,(BR7-BV7)/BV7)</f>
        <v>-0.89365594079986688</v>
      </c>
      <c r="BX7" s="127">
        <f>BQ7-'GENEL HEDEF'!CF7</f>
        <v>-6.37</v>
      </c>
      <c r="BY7" s="15">
        <f t="shared" si="28"/>
        <v>0</v>
      </c>
    </row>
    <row r="8" spans="2:77" x14ac:dyDescent="0.15">
      <c r="B8" s="18">
        <v>4</v>
      </c>
      <c r="C8" s="1" t="s">
        <v>3</v>
      </c>
      <c r="E8" s="186"/>
      <c r="F8" s="23">
        <f>IF(ISERROR(VLOOKUP($B8,[1]Hedef!$A$4:$ES$45409,75,0)),0,VLOOKUP($B8,[1]Hedef!$A$4:$ES$45409,75,0))</f>
        <v>6.6000000000000003E-2</v>
      </c>
      <c r="G8" s="23" t="str">
        <f t="shared" si="0"/>
        <v>-</v>
      </c>
      <c r="H8" s="179" t="e">
        <f t="shared" si="22"/>
        <v>#DIV/0!</v>
      </c>
      <c r="J8" s="32">
        <v>1.877</v>
      </c>
      <c r="K8" s="11">
        <f t="shared" si="1"/>
        <v>-0.96483750665956314</v>
      </c>
      <c r="M8" s="186"/>
      <c r="N8" s="23">
        <f>IF(ISERROR(VLOOKUP($B8,[1]Hedef!$A$4:$ES$45409,79,0)),0,VLOOKUP($B8,[1]Hedef!$A$4:$ES$45409,79,0))</f>
        <v>1.7499999999999998E-2</v>
      </c>
      <c r="O8" s="23" t="str">
        <f t="shared" si="2"/>
        <v>-</v>
      </c>
      <c r="P8" s="179" t="e">
        <f t="shared" si="3"/>
        <v>#DIV/0!</v>
      </c>
      <c r="R8" s="32">
        <v>3.9819999999999998</v>
      </c>
      <c r="S8" s="11">
        <f t="shared" ref="S8:S16" si="29">IF(ISERROR((N8-R8)/R8),0,(N8-R8)/R8)</f>
        <v>-0.99560522350577596</v>
      </c>
      <c r="U8" s="186"/>
      <c r="V8" s="23">
        <f>IF(ISERROR(VLOOKUP($B8,[1]Hedef!$A$4:$ES$45409,77,0)),0,VLOOKUP($B8,[1]Hedef!$A$4:$ES$45409,77,0))</f>
        <v>0.20800000000000002</v>
      </c>
      <c r="W8" s="23" t="str">
        <f t="shared" si="4"/>
        <v>-</v>
      </c>
      <c r="X8" s="179" t="e">
        <f t="shared" si="5"/>
        <v>#DIV/0!</v>
      </c>
      <c r="Z8" s="32">
        <v>4.6179999999999994</v>
      </c>
      <c r="AA8" s="11">
        <f t="shared" ref="AA8:AA16" si="30">IF(ISERROR((V8-Z8)/Z8),0,(V8-Z8)/Z8)</f>
        <v>-0.95495885664789948</v>
      </c>
      <c r="AB8" s="72"/>
      <c r="AC8" s="186"/>
      <c r="AD8" s="23">
        <f>IF(ISERROR(VLOOKUP($B8,[1]Hedef!$A$4:$ES$45409,81,0)),0,VLOOKUP($B8,[1]Hedef!$A$4:$ES$45409,81,0))</f>
        <v>0</v>
      </c>
      <c r="AE8" s="23">
        <f t="shared" si="6"/>
        <v>0</v>
      </c>
      <c r="AF8" s="179" t="e">
        <f t="shared" si="7"/>
        <v>#DIV/0!</v>
      </c>
      <c r="AH8" s="32">
        <v>1.2220000000000002</v>
      </c>
      <c r="AI8" s="11">
        <f t="shared" si="8"/>
        <v>-1</v>
      </c>
      <c r="AK8" s="186"/>
      <c r="AL8" s="23">
        <f>IF(ISERROR(VLOOKUP($B8,[1]Hedef!$A$4:$ES$45409,73,0)),0,VLOOKUP($B8,[1]Hedef!$A$4:$ES$45409,73,0))</f>
        <v>0.16199999999999998</v>
      </c>
      <c r="AM8" s="23" t="str">
        <f t="shared" si="9"/>
        <v>-</v>
      </c>
      <c r="AN8" s="80" t="e">
        <f t="shared" si="10"/>
        <v>#DIV/0!</v>
      </c>
      <c r="AO8" s="173"/>
      <c r="AP8" s="32">
        <v>2.4570000000000003</v>
      </c>
      <c r="AQ8" s="11">
        <f t="shared" ref="AQ8:AQ16" si="31">IF(ISERROR((AL8-AP8)/AP8),0,(AL8-AP8)/AP8)</f>
        <v>-0.93406593406593408</v>
      </c>
      <c r="AR8" s="72"/>
      <c r="AS8" s="187"/>
      <c r="AT8" s="23">
        <f>IF(ISERROR(VLOOKUP($B8,[1]Hedef!$A$4:$ES$45409,83,0)),0,VLOOKUP($B8,[1]Hedef!$A$4:$ES$45409,83,0))</f>
        <v>7.7500000000000013E-2</v>
      </c>
      <c r="AU8" s="23" t="str">
        <f t="shared" si="11"/>
        <v>-</v>
      </c>
      <c r="AV8" s="80" t="e">
        <f t="shared" si="12"/>
        <v>#DIV/0!</v>
      </c>
      <c r="AX8" s="32">
        <v>21.329000000000001</v>
      </c>
      <c r="AY8" s="11">
        <f t="shared" si="13"/>
        <v>-0.99636644943504149</v>
      </c>
      <c r="BA8" s="187"/>
      <c r="BB8" s="23">
        <f>IF(ISERROR(VLOOKUP($B8,[1]Hedef!$A$4:$ES$45409,85,0)),0,VLOOKUP($B8,[1]Hedef!$A$4:$ES$45409,85,0))</f>
        <v>5.5E-2</v>
      </c>
      <c r="BC8" s="23" t="str">
        <f t="shared" si="14"/>
        <v>-</v>
      </c>
      <c r="BD8" s="179" t="e">
        <f t="shared" si="15"/>
        <v>#DIV/0!</v>
      </c>
      <c r="BF8" s="32"/>
      <c r="BG8" s="11">
        <f t="shared" si="16"/>
        <v>0</v>
      </c>
      <c r="BI8" s="22">
        <f t="shared" si="23"/>
        <v>0</v>
      </c>
      <c r="BJ8" s="23">
        <f t="shared" si="24"/>
        <v>0.13250000000000001</v>
      </c>
      <c r="BK8" s="23" t="str">
        <f t="shared" si="17"/>
        <v>-</v>
      </c>
      <c r="BL8" s="80" t="e">
        <f t="shared" si="18"/>
        <v>#DIV/0!</v>
      </c>
      <c r="BN8" s="32">
        <f t="shared" si="25"/>
        <v>21.329000000000001</v>
      </c>
      <c r="BO8" s="11">
        <f t="shared" si="19"/>
        <v>-0.99378780064700645</v>
      </c>
      <c r="BQ8" s="22">
        <f t="shared" si="26"/>
        <v>0</v>
      </c>
      <c r="BR8" s="23">
        <f>IF(ISERROR(VLOOKUP($B8,[1]Hedef!$A$4:$ES$45409,87,0)),0,VLOOKUP($B8,[1]Hedef!$A$4:$ES$45409,87,0))</f>
        <v>0.58600000000000008</v>
      </c>
      <c r="BS8" s="23" t="str">
        <f t="shared" si="20"/>
        <v>-</v>
      </c>
      <c r="BT8" s="80" t="e">
        <f t="shared" si="21"/>
        <v>#DIV/0!</v>
      </c>
      <c r="BV8" s="32">
        <f t="shared" si="27"/>
        <v>35.485000000000007</v>
      </c>
      <c r="BW8" s="11">
        <f t="shared" ref="BW8:BW16" si="32">IF(ISERROR((BR8-BV8)/BV8),0,(BR8-BV8)/BV8)</f>
        <v>-0.98348597999154574</v>
      </c>
      <c r="BX8" s="127">
        <f>BQ8-'GENEL HEDEF'!CF8</f>
        <v>-33.700000000000003</v>
      </c>
      <c r="BY8" s="15">
        <f t="shared" si="28"/>
        <v>7.6327832942979512E-17</v>
      </c>
    </row>
    <row r="9" spans="2:77" x14ac:dyDescent="0.15">
      <c r="B9" s="18">
        <v>5</v>
      </c>
      <c r="C9" s="1" t="s">
        <v>4</v>
      </c>
      <c r="E9" s="186"/>
      <c r="F9" s="23">
        <f>IF(ISERROR(VLOOKUP($B9,[1]Hedef!$A$4:$ES$45409,75,0)),0,VLOOKUP($B9,[1]Hedef!$A$4:$ES$45409,75,0))</f>
        <v>0</v>
      </c>
      <c r="G9" s="23">
        <f t="shared" si="0"/>
        <v>0</v>
      </c>
      <c r="H9" s="179" t="e">
        <f t="shared" si="22"/>
        <v>#DIV/0!</v>
      </c>
      <c r="J9" s="32">
        <v>2.0999999999999998E-2</v>
      </c>
      <c r="K9" s="11">
        <f t="shared" si="1"/>
        <v>-1</v>
      </c>
      <c r="M9" s="186"/>
      <c r="N9" s="23">
        <f>IF(ISERROR(VLOOKUP($B9,[1]Hedef!$A$4:$ES$45409,79,0)),0,VLOOKUP($B9,[1]Hedef!$A$4:$ES$45409,79,0))</f>
        <v>9.6000000000000002E-2</v>
      </c>
      <c r="O9" s="23" t="str">
        <f t="shared" si="2"/>
        <v>-</v>
      </c>
      <c r="P9" s="179" t="e">
        <f t="shared" si="3"/>
        <v>#DIV/0!</v>
      </c>
      <c r="R9" s="32">
        <v>0.55901200000000006</v>
      </c>
      <c r="S9" s="11">
        <f t="shared" si="29"/>
        <v>-0.82826844504232477</v>
      </c>
      <c r="U9" s="187"/>
      <c r="V9" s="23">
        <f>IF(ISERROR(VLOOKUP($B9,[1]Hedef!$A$4:$ES$45409,77,0)),0,VLOOKUP($B9,[1]Hedef!$A$4:$ES$45409,77,0))</f>
        <v>2.1999999999999999E-2</v>
      </c>
      <c r="W9" s="23" t="str">
        <f t="shared" si="4"/>
        <v>-</v>
      </c>
      <c r="X9" s="179" t="e">
        <f t="shared" si="5"/>
        <v>#DIV/0!</v>
      </c>
      <c r="Z9" s="32">
        <v>0.317</v>
      </c>
      <c r="AA9" s="11">
        <f t="shared" si="30"/>
        <v>-0.93059936908517349</v>
      </c>
      <c r="AB9" s="72"/>
      <c r="AC9" s="186"/>
      <c r="AD9" s="23">
        <f>IF(ISERROR(VLOOKUP($B9,[1]Hedef!$A$4:$ES$45409,81,0)),0,VLOOKUP($B9,[1]Hedef!$A$4:$ES$45409,81,0))</f>
        <v>-1.4E-2</v>
      </c>
      <c r="AE9" s="23">
        <f t="shared" si="6"/>
        <v>1.4E-2</v>
      </c>
      <c r="AF9" s="179" t="e">
        <f t="shared" si="7"/>
        <v>#DIV/0!</v>
      </c>
      <c r="AH9" s="32">
        <v>7.0999999999999994E-2</v>
      </c>
      <c r="AI9" s="11">
        <f t="shared" si="8"/>
        <v>-1.1971830985915493</v>
      </c>
      <c r="AK9" s="186"/>
      <c r="AL9" s="23">
        <f>IF(ISERROR(VLOOKUP($B9,[1]Hedef!$A$4:$ES$45409,73,0)),0,VLOOKUP($B9,[1]Hedef!$A$4:$ES$45409,73,0))</f>
        <v>2E-3</v>
      </c>
      <c r="AM9" s="23" t="str">
        <f t="shared" si="9"/>
        <v>-</v>
      </c>
      <c r="AN9" s="80" t="e">
        <f t="shared" si="10"/>
        <v>#DIV/0!</v>
      </c>
      <c r="AO9" s="173"/>
      <c r="AP9" s="32">
        <v>0.15799999999999997</v>
      </c>
      <c r="AQ9" s="11">
        <f t="shared" si="31"/>
        <v>-0.98734177215189867</v>
      </c>
      <c r="AR9" s="72"/>
      <c r="AS9" s="187"/>
      <c r="AT9" s="23">
        <f>IF(ISERROR(VLOOKUP($B9,[1]Hedef!$A$4:$ES$45409,83,0)),0,VLOOKUP($B9,[1]Hedef!$A$4:$ES$45409,83,0))</f>
        <v>0.10400000000000001</v>
      </c>
      <c r="AU9" s="23" t="str">
        <f t="shared" si="11"/>
        <v>-</v>
      </c>
      <c r="AV9" s="80" t="e">
        <f t="shared" si="12"/>
        <v>#DIV/0!</v>
      </c>
      <c r="AX9" s="32">
        <v>1.4655</v>
      </c>
      <c r="AY9" s="11">
        <f t="shared" si="13"/>
        <v>-0.92903445922893202</v>
      </c>
      <c r="BA9" s="187"/>
      <c r="BB9" s="23">
        <f>IF(ISERROR(VLOOKUP($B9,[1]Hedef!$A$4:$ES$45409,85,0)),0,VLOOKUP($B9,[1]Hedef!$A$4:$ES$45409,85,0))</f>
        <v>0</v>
      </c>
      <c r="BC9" s="23">
        <f t="shared" si="14"/>
        <v>0</v>
      </c>
      <c r="BD9" s="179" t="e">
        <f t="shared" si="15"/>
        <v>#DIV/0!</v>
      </c>
      <c r="BF9" s="32"/>
      <c r="BG9" s="11">
        <f t="shared" si="16"/>
        <v>0</v>
      </c>
      <c r="BI9" s="22">
        <f t="shared" si="23"/>
        <v>0</v>
      </c>
      <c r="BJ9" s="23">
        <f t="shared" si="24"/>
        <v>0.10400000000000001</v>
      </c>
      <c r="BK9" s="23" t="str">
        <f t="shared" si="17"/>
        <v>-</v>
      </c>
      <c r="BL9" s="80" t="e">
        <f t="shared" si="18"/>
        <v>#DIV/0!</v>
      </c>
      <c r="BN9" s="32">
        <f t="shared" si="25"/>
        <v>1.4655</v>
      </c>
      <c r="BO9" s="11">
        <f t="shared" si="19"/>
        <v>-0.92903445922893202</v>
      </c>
      <c r="BQ9" s="22">
        <f t="shared" si="26"/>
        <v>0</v>
      </c>
      <c r="BR9" s="23">
        <f>IF(ISERROR(VLOOKUP($B9,[1]Hedef!$A$4:$ES$45409,87,0)),0,VLOOKUP($B9,[1]Hedef!$A$4:$ES$45409,87,0))</f>
        <v>0.21</v>
      </c>
      <c r="BS9" s="23" t="str">
        <f t="shared" si="20"/>
        <v>-</v>
      </c>
      <c r="BT9" s="80" t="e">
        <f t="shared" si="21"/>
        <v>#DIV/0!</v>
      </c>
      <c r="BV9" s="32">
        <f t="shared" si="27"/>
        <v>2.5915119999999998</v>
      </c>
      <c r="BW9" s="11">
        <f t="shared" si="32"/>
        <v>-0.91896622512263115</v>
      </c>
      <c r="BX9" s="127">
        <f>BQ9-'GENEL HEDEF'!CF9</f>
        <v>-2.4500000000000002</v>
      </c>
      <c r="BY9" s="15">
        <f t="shared" si="28"/>
        <v>0</v>
      </c>
    </row>
    <row r="10" spans="2:77" x14ac:dyDescent="0.15">
      <c r="B10" s="18">
        <v>6</v>
      </c>
      <c r="C10" s="1" t="s">
        <v>5</v>
      </c>
      <c r="E10" s="198"/>
      <c r="F10" s="23">
        <f>IF(ISERROR(VLOOKUP($B10,[1]Hedef!$A$4:$ES$45409,75,0)),0,VLOOKUP($B10,[1]Hedef!$A$4:$ES$45409,75,0))</f>
        <v>3.5000000000000001E-3</v>
      </c>
      <c r="G10" s="23" t="str">
        <f t="shared" si="0"/>
        <v>-</v>
      </c>
      <c r="H10" s="179" t="e">
        <f t="shared" si="22"/>
        <v>#DIV/0!</v>
      </c>
      <c r="J10" s="32">
        <v>3.15E-2</v>
      </c>
      <c r="K10" s="11">
        <f t="shared" si="1"/>
        <v>-0.88888888888888895</v>
      </c>
      <c r="M10" s="186"/>
      <c r="N10" s="23">
        <f>IF(ISERROR(VLOOKUP($B10,[1]Hedef!$A$4:$ES$45409,79,0)),0,VLOOKUP($B10,[1]Hedef!$A$4:$ES$45409,79,0))</f>
        <v>3.0000000000000001E-3</v>
      </c>
      <c r="O10" s="23" t="str">
        <f t="shared" si="2"/>
        <v>-</v>
      </c>
      <c r="P10" s="179" t="e">
        <f t="shared" si="3"/>
        <v>#DIV/0!</v>
      </c>
      <c r="R10" s="32">
        <v>0.11349999999999999</v>
      </c>
      <c r="S10" s="11">
        <f t="shared" si="29"/>
        <v>-0.97356828193832601</v>
      </c>
      <c r="U10" s="186"/>
      <c r="V10" s="23">
        <f>IF(ISERROR(VLOOKUP($B10,[1]Hedef!$A$4:$ES$45409,77,0)),0,VLOOKUP($B10,[1]Hedef!$A$4:$ES$45409,77,0))</f>
        <v>5.7499999999999999E-3</v>
      </c>
      <c r="W10" s="23" t="str">
        <f t="shared" si="4"/>
        <v>-</v>
      </c>
      <c r="X10" s="179" t="e">
        <f t="shared" si="5"/>
        <v>#DIV/0!</v>
      </c>
      <c r="Z10" s="32">
        <v>0.11299999999999999</v>
      </c>
      <c r="AA10" s="11">
        <f t="shared" si="30"/>
        <v>-0.94911504424778759</v>
      </c>
      <c r="AB10" s="72"/>
      <c r="AC10" s="189"/>
      <c r="AD10" s="23">
        <f>IF(ISERROR(VLOOKUP($B10,[1]Hedef!$A$4:$ES$45409,81,0)),0,VLOOKUP($B10,[1]Hedef!$A$4:$ES$45409,81,0))</f>
        <v>2.5000000000000001E-3</v>
      </c>
      <c r="AE10" s="23" t="str">
        <f t="shared" si="6"/>
        <v>-</v>
      </c>
      <c r="AF10" s="179" t="e">
        <f t="shared" si="7"/>
        <v>#DIV/0!</v>
      </c>
      <c r="AH10" s="32">
        <v>2.9749999999999999E-2</v>
      </c>
      <c r="AI10" s="11">
        <f t="shared" si="8"/>
        <v>-0.91596638655462193</v>
      </c>
      <c r="AK10" s="186"/>
      <c r="AL10" s="23">
        <f>IF(ISERROR(VLOOKUP($B10,[1]Hedef!$A$4:$ES$45409,73,0)),0,VLOOKUP($B10,[1]Hedef!$A$4:$ES$45409,73,0))</f>
        <v>2.2500000000000003E-3</v>
      </c>
      <c r="AM10" s="23" t="str">
        <f t="shared" si="9"/>
        <v>-</v>
      </c>
      <c r="AN10" s="80" t="e">
        <f t="shared" si="10"/>
        <v>#DIV/0!</v>
      </c>
      <c r="AO10" s="173"/>
      <c r="AP10" s="32">
        <v>4.4250000000000005E-2</v>
      </c>
      <c r="AQ10" s="11">
        <f t="shared" si="31"/>
        <v>-0.94915254237288127</v>
      </c>
      <c r="AR10" s="72"/>
      <c r="AS10" s="187"/>
      <c r="AT10" s="23">
        <f>IF(ISERROR(VLOOKUP($B10,[1]Hedef!$A$4:$ES$45409,83,0)),0,VLOOKUP($B10,[1]Hedef!$A$4:$ES$45409,83,0))</f>
        <v>1.2E-2</v>
      </c>
      <c r="AU10" s="23" t="str">
        <f t="shared" si="11"/>
        <v>-</v>
      </c>
      <c r="AV10" s="80" t="e">
        <f t="shared" si="12"/>
        <v>#DIV/0!</v>
      </c>
      <c r="AX10" s="32">
        <v>0.19600000000000001</v>
      </c>
      <c r="AY10" s="11">
        <f t="shared" si="13"/>
        <v>-0.93877551020408156</v>
      </c>
      <c r="BA10" s="187"/>
      <c r="BB10" s="23">
        <f>IF(ISERROR(VLOOKUP($B10,[1]Hedef!$A$4:$ES$45409,85,0)),0,VLOOKUP($B10,[1]Hedef!$A$4:$ES$45409,85,0))</f>
        <v>0</v>
      </c>
      <c r="BC10" s="23">
        <f t="shared" si="14"/>
        <v>0</v>
      </c>
      <c r="BD10" s="179" t="e">
        <f t="shared" si="15"/>
        <v>#DIV/0!</v>
      </c>
      <c r="BF10" s="32"/>
      <c r="BG10" s="11">
        <f t="shared" si="16"/>
        <v>0</v>
      </c>
      <c r="BI10" s="22">
        <f t="shared" si="23"/>
        <v>0</v>
      </c>
      <c r="BJ10" s="23">
        <f t="shared" si="24"/>
        <v>1.2E-2</v>
      </c>
      <c r="BK10" s="23" t="str">
        <f t="shared" si="17"/>
        <v>-</v>
      </c>
      <c r="BL10" s="80" t="e">
        <f t="shared" si="18"/>
        <v>#DIV/0!</v>
      </c>
      <c r="BN10" s="32">
        <f t="shared" si="25"/>
        <v>0.19600000000000001</v>
      </c>
      <c r="BO10" s="11">
        <f t="shared" si="19"/>
        <v>-0.93877551020408156</v>
      </c>
      <c r="BQ10" s="22">
        <f t="shared" si="26"/>
        <v>0</v>
      </c>
      <c r="BR10" s="23">
        <f>IF(ISERROR(VLOOKUP($B10,[1]Hedef!$A$4:$ES$45409,87,0)),0,VLOOKUP($B10,[1]Hedef!$A$4:$ES$45409,87,0))</f>
        <v>2.8999999999999998E-2</v>
      </c>
      <c r="BS10" s="23" t="str">
        <f t="shared" si="20"/>
        <v>-</v>
      </c>
      <c r="BT10" s="80" t="e">
        <f t="shared" si="21"/>
        <v>#DIV/0!</v>
      </c>
      <c r="BV10" s="32">
        <f t="shared" si="27"/>
        <v>0.52800000000000002</v>
      </c>
      <c r="BW10" s="11">
        <f t="shared" si="32"/>
        <v>-0.94507575757575757</v>
      </c>
      <c r="BX10" s="127">
        <f>BQ10-'GENEL HEDEF'!CF10</f>
        <v>-0.56999999999999995</v>
      </c>
      <c r="BY10" s="15">
        <f t="shared" si="28"/>
        <v>-3.4694469519536142E-18</v>
      </c>
    </row>
    <row r="11" spans="2:77" x14ac:dyDescent="0.15">
      <c r="B11" s="31">
        <v>54</v>
      </c>
      <c r="C11" s="1" t="s">
        <v>151</v>
      </c>
      <c r="E11" s="187"/>
      <c r="F11" s="23">
        <f>IF(ISERROR(VLOOKUP($B11,[1]Hedef!$A$4:$ES$45409,75,0)),0,VLOOKUP($B11,[1]Hedef!$A$4:$ES$45409,75,0))</f>
        <v>3.3499999999999997E-3</v>
      </c>
      <c r="G11" s="23" t="str">
        <f t="shared" ref="G11" si="33">IF((E11-F11)&lt;0, "-", (E11-F11))</f>
        <v>-</v>
      </c>
      <c r="H11" s="179" t="e">
        <f t="shared" si="22"/>
        <v>#DIV/0!</v>
      </c>
      <c r="J11" s="32">
        <v>1.6409999999999998E-2</v>
      </c>
      <c r="K11" s="11">
        <f t="shared" ref="K11" si="34">IF(ISERROR((F11-J11)/J11),0,(F11-J11)/J11)</f>
        <v>-0.79585618525289459</v>
      </c>
      <c r="M11" s="187"/>
      <c r="N11" s="23">
        <f>IF(ISERROR(VLOOKUP($B11,[1]Hedef!$A$4:$ES$45409,79,0)),0,VLOOKUP($B11,[1]Hedef!$A$4:$ES$45409,79,0))</f>
        <v>2.0999999999999999E-3</v>
      </c>
      <c r="O11" s="23" t="str">
        <f t="shared" ref="O11" si="35">IF((M11-N11)&lt;0, "-", (M11-N11))</f>
        <v>-</v>
      </c>
      <c r="P11" s="179" t="e">
        <f t="shared" si="3"/>
        <v>#DIV/0!</v>
      </c>
      <c r="R11" s="32">
        <v>7.3410000000000003E-2</v>
      </c>
      <c r="S11" s="11">
        <f t="shared" ref="S11" si="36">IF(ISERROR((N11-R11)/R11),0,(N11-R11)/R11)</f>
        <v>-0.97139354311401716</v>
      </c>
      <c r="U11" s="187"/>
      <c r="V11" s="23">
        <f>IF(ISERROR(VLOOKUP($B11,[1]Hedef!$A$4:$ES$45409,77,0)),0,VLOOKUP($B11,[1]Hedef!$A$4:$ES$45409,77,0))</f>
        <v>0</v>
      </c>
      <c r="W11" s="23">
        <f t="shared" ref="W11" si="37">IF((U11-V11)&lt;0, "-", (U11-V11))</f>
        <v>0</v>
      </c>
      <c r="X11" s="179" t="e">
        <f t="shared" si="5"/>
        <v>#DIV/0!</v>
      </c>
      <c r="Z11" s="32">
        <v>3.737E-2</v>
      </c>
      <c r="AA11" s="11">
        <f t="shared" ref="AA11" si="38">IF(ISERROR((V11-Z11)/Z11),0,(V11-Z11)/Z11)</f>
        <v>-1</v>
      </c>
      <c r="AB11" s="72"/>
      <c r="AC11" s="187"/>
      <c r="AD11" s="23">
        <f>IF(ISERROR(VLOOKUP($B11,[1]Hedef!$A$4:$ES$45409,81,0)),0,VLOOKUP($B11,[1]Hedef!$A$4:$ES$45409,81,0))</f>
        <v>4.1999999999999997E-3</v>
      </c>
      <c r="AE11" s="23" t="str">
        <f t="shared" ref="AE11" si="39">IF((AC11-AD11)&lt;0, "-", (AC11-AD11))</f>
        <v>-</v>
      </c>
      <c r="AF11" s="179" t="e">
        <f t="shared" si="7"/>
        <v>#DIV/0!</v>
      </c>
      <c r="AH11" s="32">
        <v>7.4999999999999997E-3</v>
      </c>
      <c r="AI11" s="11">
        <f t="shared" ref="AI11" si="40">IF(ISERROR((AD11-AH11)/AH11),0,(AD11-AH11)/AH11)</f>
        <v>-0.44</v>
      </c>
      <c r="AK11" s="189"/>
      <c r="AL11" s="23">
        <f>IF(ISERROR(VLOOKUP($B11,[1]Hedef!$A$4:$ES$45409,73,0)),0,VLOOKUP($B11,[1]Hedef!$A$4:$ES$45409,73,0))</f>
        <v>0</v>
      </c>
      <c r="AM11" s="23">
        <f t="shared" ref="AM11" si="41">IF((AK11-AL11)&lt;0, "-", (AK11-AL11))</f>
        <v>0</v>
      </c>
      <c r="AN11" s="80" t="e">
        <f t="shared" si="10"/>
        <v>#DIV/0!</v>
      </c>
      <c r="AO11" s="173"/>
      <c r="AP11" s="32">
        <v>1.8090000000000002E-2</v>
      </c>
      <c r="AQ11" s="11">
        <f t="shared" ref="AQ11" si="42">IF(ISERROR((AL11-AP11)/AP11),0,(AL11-AP11)/AP11)</f>
        <v>-1</v>
      </c>
      <c r="AR11" s="72"/>
      <c r="AS11" s="190"/>
      <c r="AT11" s="23">
        <f>IF(ISERROR(VLOOKUP($B11,[1]Hedef!$A$4:$ES$45409,83,0)),0,VLOOKUP($B11,[1]Hedef!$A$4:$ES$45409,83,0))</f>
        <v>8.3999999999999995E-3</v>
      </c>
      <c r="AU11" s="23" t="str">
        <f t="shared" ref="AU11" si="43">IF((AS11-AT11)&lt;0, "-", (AS11-AT11))</f>
        <v>-</v>
      </c>
      <c r="AV11" s="80" t="e">
        <f t="shared" si="12"/>
        <v>#DIV/0!</v>
      </c>
      <c r="AX11" s="32">
        <v>6.1900000000000004E-2</v>
      </c>
      <c r="AY11" s="11">
        <f t="shared" ref="AY11" si="44">IF(ISERROR((AT11-AX11)/AX11),0,(AT11-AX11)/AX11)</f>
        <v>-0.86429725363489507</v>
      </c>
      <c r="BA11" s="198"/>
      <c r="BB11" s="23">
        <f>IF(ISERROR(VLOOKUP($B11,[1]Hedef!$A$4:$ES$45409,85,0)),0,VLOOKUP($B11,[1]Hedef!$A$4:$ES$45409,85,0))</f>
        <v>0</v>
      </c>
      <c r="BC11" s="23">
        <f t="shared" si="14"/>
        <v>0</v>
      </c>
      <c r="BD11" s="179"/>
      <c r="BF11" s="32"/>
      <c r="BG11" s="11">
        <f t="shared" si="16"/>
        <v>0</v>
      </c>
      <c r="BI11" s="22">
        <f t="shared" si="23"/>
        <v>0</v>
      </c>
      <c r="BJ11" s="23">
        <f t="shared" si="24"/>
        <v>8.3999999999999995E-3</v>
      </c>
      <c r="BK11" s="23" t="str">
        <f t="shared" si="17"/>
        <v>-</v>
      </c>
      <c r="BL11" s="80" t="e">
        <f t="shared" si="18"/>
        <v>#DIV/0!</v>
      </c>
      <c r="BN11" s="32">
        <f t="shared" si="25"/>
        <v>6.1900000000000004E-2</v>
      </c>
      <c r="BO11" s="11">
        <f t="shared" si="19"/>
        <v>-0.86429725363489507</v>
      </c>
      <c r="BQ11" s="22">
        <f t="shared" si="26"/>
        <v>0</v>
      </c>
      <c r="BR11" s="23">
        <f>IF(ISERROR(VLOOKUP($B11,[1]Hedef!$A$4:$ES$45409,87,0)),0,VLOOKUP($B11,[1]Hedef!$A$4:$ES$45409,87,0))</f>
        <v>1.805E-2</v>
      </c>
      <c r="BS11" s="23" t="str">
        <f t="shared" ref="BS11" si="45">IF((BQ11-BR11)&lt;0, "-", (BQ11-BR11))</f>
        <v>-</v>
      </c>
      <c r="BT11" s="80" t="e">
        <f t="shared" si="21"/>
        <v>#DIV/0!</v>
      </c>
      <c r="BV11" s="32">
        <f t="shared" si="27"/>
        <v>0.21468000000000001</v>
      </c>
      <c r="BW11" s="11">
        <f t="shared" ref="BW11" si="46">IF(ISERROR((BR11-BV11)/BV11),0,(BR11-BV11)/BV11)</f>
        <v>-0.9159213713433948</v>
      </c>
      <c r="BX11" s="127">
        <f>BQ11-'GENEL HEDEF'!CF11</f>
        <v>-0.26</v>
      </c>
      <c r="BY11" s="15">
        <f t="shared" si="28"/>
        <v>1.7347234759768071E-18</v>
      </c>
    </row>
    <row r="12" spans="2:77" ht="13" thickBot="1" x14ac:dyDescent="0.2">
      <c r="B12" s="18">
        <v>7</v>
      </c>
      <c r="C12" s="1" t="s">
        <v>6</v>
      </c>
      <c r="E12" s="186"/>
      <c r="F12" s="23">
        <f>IF(ISERROR(VLOOKUP($B12,[1]Hedef!$A$4:$ES$45409,75,0)),0,VLOOKUP($B12,[1]Hedef!$A$4:$ES$45409,75,0))</f>
        <v>2.4644000000000003E-2</v>
      </c>
      <c r="G12" s="23" t="str">
        <f t="shared" si="0"/>
        <v>-</v>
      </c>
      <c r="H12" s="179" t="e">
        <f t="shared" si="22"/>
        <v>#DIV/0!</v>
      </c>
      <c r="J12" s="32">
        <v>0.58511599999999997</v>
      </c>
      <c r="K12" s="11">
        <f t="shared" si="1"/>
        <v>-0.95788185590549568</v>
      </c>
      <c r="M12" s="186"/>
      <c r="N12" s="23">
        <f>IF(ISERROR(VLOOKUP($B12,[1]Hedef!$A$4:$ES$45409,79,0)),0,VLOOKUP($B12,[1]Hedef!$A$4:$ES$45409,79,0))</f>
        <v>3.3119999999999998E-3</v>
      </c>
      <c r="O12" s="23" t="str">
        <f t="shared" si="2"/>
        <v>-</v>
      </c>
      <c r="P12" s="179" t="e">
        <f t="shared" si="3"/>
        <v>#DIV/0!</v>
      </c>
      <c r="R12" s="32">
        <v>0.64069600000000004</v>
      </c>
      <c r="S12" s="11">
        <f t="shared" si="29"/>
        <v>-0.99483062169890246</v>
      </c>
      <c r="U12" s="186"/>
      <c r="V12" s="23">
        <f>IF(ISERROR(VLOOKUP($B12,[1]Hedef!$A$4:$ES$45409,77,0)),0,VLOOKUP($B12,[1]Hedef!$A$4:$ES$45409,77,0))</f>
        <v>8.7392000000000011E-2</v>
      </c>
      <c r="W12" s="23" t="str">
        <f t="shared" si="4"/>
        <v>-</v>
      </c>
      <c r="X12" s="179" t="e">
        <f t="shared" si="5"/>
        <v>#DIV/0!</v>
      </c>
      <c r="Z12" s="32">
        <v>1.4216840000000002</v>
      </c>
      <c r="AA12" s="11">
        <f t="shared" si="30"/>
        <v>-0.93852923715818715</v>
      </c>
      <c r="AB12" s="72"/>
      <c r="AC12" s="186"/>
      <c r="AD12" s="23">
        <f>IF(ISERROR(VLOOKUP($B12,[1]Hedef!$A$4:$ES$45409,81,0)),0,VLOOKUP($B12,[1]Hedef!$A$4:$ES$45409,81,0))</f>
        <v>0.14139199999999999</v>
      </c>
      <c r="AE12" s="23" t="str">
        <f t="shared" si="6"/>
        <v>-</v>
      </c>
      <c r="AF12" s="179" t="e">
        <f t="shared" si="7"/>
        <v>#DIV/0!</v>
      </c>
      <c r="AH12" s="32">
        <v>1.4207079999999999</v>
      </c>
      <c r="AI12" s="11">
        <f t="shared" si="8"/>
        <v>-0.90047778994698424</v>
      </c>
      <c r="AK12" s="186"/>
      <c r="AL12" s="23">
        <f>IF(ISERROR(VLOOKUP($B12,[1]Hedef!$A$4:$ES$45409,73,0)),0,VLOOKUP($B12,[1]Hedef!$A$4:$ES$45409,73,0))</f>
        <v>6.3755999999999993E-2</v>
      </c>
      <c r="AM12" s="23" t="str">
        <f t="shared" si="9"/>
        <v>-</v>
      </c>
      <c r="AN12" s="80" t="e">
        <f t="shared" si="10"/>
        <v>#DIV/0!</v>
      </c>
      <c r="AO12" s="173"/>
      <c r="AP12" s="32">
        <v>1.604088</v>
      </c>
      <c r="AQ12" s="11">
        <f t="shared" si="31"/>
        <v>-0.96025405089995064</v>
      </c>
      <c r="AR12" s="72"/>
      <c r="AS12" s="186"/>
      <c r="AT12" s="23">
        <f>IF(ISERROR(VLOOKUP($B12,[1]Hedef!$A$4:$ES$45409,83,0)),0,VLOOKUP($B12,[1]Hedef!$A$4:$ES$45409,83,0))</f>
        <v>8.7124000000000007E-2</v>
      </c>
      <c r="AU12" s="23" t="str">
        <f t="shared" si="11"/>
        <v>-</v>
      </c>
      <c r="AV12" s="80" t="e">
        <f t="shared" si="12"/>
        <v>#DIV/0!</v>
      </c>
      <c r="AX12" s="32">
        <v>3.6449840000000004</v>
      </c>
      <c r="AY12" s="11">
        <f t="shared" si="13"/>
        <v>-0.97609756311687512</v>
      </c>
      <c r="BA12" s="186"/>
      <c r="BB12" s="23">
        <f>IF(ISERROR(VLOOKUP($B12,[1]Hedef!$A$4:$ES$45409,85,0)),0,VLOOKUP($B12,[1]Hedef!$A$4:$ES$45409,85,0))</f>
        <v>0.503224</v>
      </c>
      <c r="BC12" s="23" t="str">
        <f t="shared" si="14"/>
        <v>-</v>
      </c>
      <c r="BD12" s="179" t="e">
        <f t="shared" si="15"/>
        <v>#DIV/0!</v>
      </c>
      <c r="BF12" s="32"/>
      <c r="BG12" s="11">
        <f t="shared" si="16"/>
        <v>0</v>
      </c>
      <c r="BI12" s="22">
        <f t="shared" si="23"/>
        <v>0</v>
      </c>
      <c r="BJ12" s="23">
        <f t="shared" si="24"/>
        <v>0.59034799999999998</v>
      </c>
      <c r="BK12" s="23" t="str">
        <f t="shared" si="17"/>
        <v>-</v>
      </c>
      <c r="BL12" s="80" t="e">
        <f t="shared" si="18"/>
        <v>#DIV/0!</v>
      </c>
      <c r="BN12" s="32">
        <f t="shared" si="25"/>
        <v>3.6449840000000004</v>
      </c>
      <c r="BO12" s="11">
        <f t="shared" si="19"/>
        <v>-0.83803824653276937</v>
      </c>
      <c r="BQ12" s="22">
        <f t="shared" si="26"/>
        <v>0</v>
      </c>
      <c r="BR12" s="23">
        <f>IF(ISERROR(VLOOKUP($B12,[1]Hedef!$A$4:$ES$45409,87,0)),0,VLOOKUP($B12,[1]Hedef!$A$4:$ES$45409,87,0))</f>
        <v>0.91084399999999999</v>
      </c>
      <c r="BS12" s="23" t="str">
        <f t="shared" si="20"/>
        <v>-</v>
      </c>
      <c r="BT12" s="80" t="e">
        <f t="shared" si="21"/>
        <v>#DIV/0!</v>
      </c>
      <c r="BV12" s="32">
        <f t="shared" si="27"/>
        <v>9.3172759999999997</v>
      </c>
      <c r="BW12" s="11">
        <f t="shared" si="32"/>
        <v>-0.9022413847137295</v>
      </c>
      <c r="BX12" s="127">
        <f>BQ12-'GENEL HEDEF'!CF12</f>
        <v>-10.82</v>
      </c>
      <c r="BY12" s="15">
        <f t="shared" si="28"/>
        <v>0</v>
      </c>
    </row>
    <row r="13" spans="2:77" ht="14" thickTop="1" thickBot="1" x14ac:dyDescent="0.2">
      <c r="B13" s="18"/>
      <c r="C13" s="2" t="s">
        <v>7</v>
      </c>
      <c r="D13" s="181">
        <f t="shared" ref="D13" si="47">SUM(D5:D12)</f>
        <v>0</v>
      </c>
      <c r="E13" s="67">
        <f>SUM(E5:E12)</f>
        <v>0</v>
      </c>
      <c r="F13" s="67">
        <f>SUM(F5:F12)</f>
        <v>9.7494000000000011E-2</v>
      </c>
      <c r="G13" s="67">
        <f>SUM(G5:G12)</f>
        <v>0</v>
      </c>
      <c r="H13" s="180" t="e">
        <f>TRUNC(IF((F13/E13)&gt;1.2,"120%",(F13/E13)),2)</f>
        <v>#DIV/0!</v>
      </c>
      <c r="I13" s="78"/>
      <c r="J13" s="67"/>
      <c r="K13" s="48"/>
      <c r="L13" s="78"/>
      <c r="M13" s="67">
        <f>SUM(M5:M12)</f>
        <v>0</v>
      </c>
      <c r="N13" s="67">
        <f>SUM(N5:N12)</f>
        <v>0.19427200000000003</v>
      </c>
      <c r="O13" s="67">
        <f>SUM(O5:O12)</f>
        <v>0</v>
      </c>
      <c r="P13" s="180" t="e">
        <f>TRUNC(IF((N13/M13)&gt;1.2,"120%",(N13/M13)),2)</f>
        <v>#DIV/0!</v>
      </c>
      <c r="Q13" s="78"/>
      <c r="R13" s="67"/>
      <c r="S13" s="48"/>
      <c r="T13" s="78"/>
      <c r="U13" s="67">
        <f>SUM(U5:U12)</f>
        <v>0</v>
      </c>
      <c r="V13" s="67">
        <f>SUM(V5:V12)</f>
        <v>0.36539200000000005</v>
      </c>
      <c r="W13" s="67">
        <f>SUM(W5:W12)</f>
        <v>0</v>
      </c>
      <c r="X13" s="180" t="e">
        <f>TRUNC(IF((V13/U13)&gt;1.2,"120%",(V13/U13)),2)</f>
        <v>#DIV/0!</v>
      </c>
      <c r="Y13" s="78"/>
      <c r="Z13" s="67"/>
      <c r="AA13" s="48"/>
      <c r="AB13" s="114"/>
      <c r="AC13" s="67">
        <f>SUM(AC5:AC12)</f>
        <v>0</v>
      </c>
      <c r="AD13" s="67">
        <f>SUM(AD5:AD12)</f>
        <v>0.13334199999999999</v>
      </c>
      <c r="AE13" s="67">
        <f>SUM(AE5:AE12)</f>
        <v>1.4750000000000001E-2</v>
      </c>
      <c r="AF13" s="180" t="e">
        <f>TRUNC(IF((AD13/AC13)&gt;1.2,"120%",(AD13/AC13)),2)</f>
        <v>#DIV/0!</v>
      </c>
      <c r="AG13" s="78"/>
      <c r="AH13" s="67"/>
      <c r="AI13" s="48"/>
      <c r="AJ13" s="78"/>
      <c r="AK13" s="67">
        <f>SUM(AK5:AK12)</f>
        <v>0</v>
      </c>
      <c r="AL13" s="67">
        <f>SUM(AL5:AL12)</f>
        <v>0.24800599999999995</v>
      </c>
      <c r="AM13" s="67">
        <f>SUM(AM5:AM12)</f>
        <v>0</v>
      </c>
      <c r="AN13" s="39" t="e">
        <f>TRUNC(IF((AL13/AK13)&gt;1.2,"120%",(AL13/AK13)),2)</f>
        <v>#DIV/0!</v>
      </c>
      <c r="AO13" s="174"/>
      <c r="AP13" s="67"/>
      <c r="AQ13" s="48"/>
      <c r="AR13" s="74"/>
      <c r="AS13" s="67">
        <f>SUM(AS5:AS12)</f>
        <v>0</v>
      </c>
      <c r="AT13" s="67">
        <f>SUM(AT5:AT12)</f>
        <v>0.33702399999999999</v>
      </c>
      <c r="AU13" s="67">
        <f>SUM(AU5:AU12)</f>
        <v>0</v>
      </c>
      <c r="AV13" s="39" t="e">
        <f>TRUNC(IF((AT13/AS13)&gt;1.2,"120%",(AT13/AS13)),2)</f>
        <v>#DIV/0!</v>
      </c>
      <c r="AX13" s="67"/>
      <c r="AY13" s="48"/>
      <c r="AZ13" s="78"/>
      <c r="BA13" s="67">
        <f>SUM(BA5:BA12)</f>
        <v>0</v>
      </c>
      <c r="BB13" s="67">
        <f>SUM(BB5:BB12)</f>
        <v>0.873224</v>
      </c>
      <c r="BC13" s="67">
        <f>SUM(BC5:BC12)</f>
        <v>0</v>
      </c>
      <c r="BD13" s="180" t="e">
        <f>TRUNC(IF((BB13/BA13)&gt;1.2,"120%",(BB13/BA13)),2)</f>
        <v>#DIV/0!</v>
      </c>
      <c r="BF13" s="67"/>
      <c r="BG13" s="48"/>
      <c r="BH13" s="78"/>
      <c r="BI13" s="67">
        <f>SUM(BI5:BI12)</f>
        <v>0</v>
      </c>
      <c r="BJ13" s="67">
        <f>SUM(BJ5:BJ12)</f>
        <v>1.210248</v>
      </c>
      <c r="BK13" s="67">
        <f>SUM(BK5:BK12)</f>
        <v>0</v>
      </c>
      <c r="BL13" s="39" t="e">
        <f>TRUNC(IF((BJ13/BI13)&gt;1.2,"120%",(BJ13/BI13)),2)</f>
        <v>#DIV/0!</v>
      </c>
      <c r="BN13" s="67"/>
      <c r="BO13" s="48"/>
      <c r="BP13" s="78"/>
      <c r="BQ13" s="67">
        <f>SUM(BQ5:BQ12)</f>
        <v>0</v>
      </c>
      <c r="BR13" s="67">
        <f>SUM(BR5:BR12)</f>
        <v>2.2487539999999999</v>
      </c>
      <c r="BS13" s="67">
        <f>SUM(BS5:BS12)</f>
        <v>0</v>
      </c>
      <c r="BT13" s="39" t="e">
        <f>TRUNC(IF((BR13/BQ13)&gt;1.2,"120%",(BR13/BQ13)),2)</f>
        <v>#DIV/0!</v>
      </c>
      <c r="BV13" s="67"/>
      <c r="BW13" s="48"/>
      <c r="BX13" s="67"/>
      <c r="BY13" s="89"/>
    </row>
    <row r="14" spans="2:77" ht="13" thickTop="1" x14ac:dyDescent="0.15">
      <c r="B14" s="18">
        <v>4000</v>
      </c>
      <c r="C14" s="1" t="s">
        <v>8</v>
      </c>
      <c r="E14" s="187"/>
      <c r="F14" s="23">
        <f>IF(ISERROR(VLOOKUP($B14,[1]Hedef!$A$4:$ES$45409,75,0)),0,VLOOKUP($B14,[1]Hedef!$A$4:$ES$45409,75,0))</f>
        <v>8.0000000000000004E-4</v>
      </c>
      <c r="G14" s="23" t="str">
        <f>IF((E14-F14)&lt;0, "-", (E14-F14))</f>
        <v>-</v>
      </c>
      <c r="H14" s="179" t="e">
        <f t="shared" ref="H14:H16" si="48">TRUNC(IF((F14/E14)&gt;1.2,"120%",(F14/E14)),2)</f>
        <v>#DIV/0!</v>
      </c>
      <c r="J14" s="32">
        <v>2.07E-2</v>
      </c>
      <c r="K14" s="11">
        <f>IF(ISERROR((F14-J14)/J14),0,(F14-J14)/J14)</f>
        <v>-0.96135265700483097</v>
      </c>
      <c r="M14" s="187"/>
      <c r="N14" s="23">
        <f>IF(ISERROR(VLOOKUP($B14,[1]Hedef!$A$4:$ES$45409,79,0)),0,VLOOKUP($B14,[1]Hedef!$A$4:$ES$45409,79,0))</f>
        <v>5.8999999999999999E-3</v>
      </c>
      <c r="O14" s="23" t="str">
        <f>IF((M14-N14)&lt;0, "-", (M14-N14))</f>
        <v>-</v>
      </c>
      <c r="P14" s="179" t="e">
        <f t="shared" ref="P14:P16" si="49">TRUNC(IF((N14/M14)&gt;1.2,"120%",(N14/M14)),2)</f>
        <v>#DIV/0!</v>
      </c>
      <c r="R14" s="32">
        <v>6.2300000000000001E-2</v>
      </c>
      <c r="S14" s="11">
        <f t="shared" si="29"/>
        <v>-0.90529695024077039</v>
      </c>
      <c r="U14" s="186"/>
      <c r="V14" s="23">
        <f>IF(ISERROR(VLOOKUP($B14,[1]Hedef!$A$4:$ES$45409,77,0)),0,VLOOKUP($B14,[1]Hedef!$A$4:$ES$45409,77,0))</f>
        <v>0</v>
      </c>
      <c r="W14" s="23">
        <f>IF((U14-V14)&lt;0, "-", (U14-V14))</f>
        <v>0</v>
      </c>
      <c r="X14" s="179" t="e">
        <f t="shared" ref="X14:X16" si="50">TRUNC(IF((V14/U14)&gt;1.2,"120%",(V14/U14)),2)</f>
        <v>#DIV/0!</v>
      </c>
      <c r="Z14" s="32">
        <v>6.2950000000000006E-2</v>
      </c>
      <c r="AA14" s="11">
        <f t="shared" si="30"/>
        <v>-1</v>
      </c>
      <c r="AB14" s="72"/>
      <c r="AC14" s="186"/>
      <c r="AD14" s="23">
        <f>IF(ISERROR(VLOOKUP($B14,[1]Hedef!$A$4:$ES$45409,81,0)),0,VLOOKUP($B14,[1]Hedef!$A$4:$ES$45409,81,0))</f>
        <v>5.9999999999999995E-4</v>
      </c>
      <c r="AE14" s="23" t="str">
        <f>IF((AC14-AD14)&lt;0, "-", (AC14-AD14))</f>
        <v>-</v>
      </c>
      <c r="AF14" s="179" t="e">
        <f t="shared" ref="AF14:AF16" si="51">TRUNC(IF((AD14/AC14)&gt;1.2,"120%",(AD14/AC14)),2)</f>
        <v>#DIV/0!</v>
      </c>
      <c r="AH14" s="32">
        <v>2.6000000000000002E-2</v>
      </c>
      <c r="AI14" s="11">
        <f>IF(ISERROR((AD14-AH14)/AH14),0,(AD14-AH14)/AH14)</f>
        <v>-0.97692307692307689</v>
      </c>
      <c r="AK14" s="186"/>
      <c r="AL14" s="23">
        <f>IF(ISERROR(VLOOKUP($B14,[1]Hedef!$A$4:$ES$45409,73,0)),0,VLOOKUP($B14,[1]Hedef!$A$4:$ES$45409,73,0))</f>
        <v>2E-3</v>
      </c>
      <c r="AM14" s="23" t="str">
        <f>IF((AK14-AL14)&lt;0, "-", (AK14-AL14))</f>
        <v>-</v>
      </c>
      <c r="AN14" s="80" t="e">
        <f t="shared" ref="AN14:AN16" si="52">TRUNC(IF((AL14/AK14)&gt;1.2,"120%",(AL14/AK14)),2)</f>
        <v>#DIV/0!</v>
      </c>
      <c r="AO14" s="173"/>
      <c r="AP14" s="32">
        <v>2.12E-2</v>
      </c>
      <c r="AQ14" s="11">
        <f t="shared" si="31"/>
        <v>-0.9056603773584907</v>
      </c>
      <c r="AR14" s="72"/>
      <c r="AS14" s="186"/>
      <c r="AT14" s="23">
        <f>IF(ISERROR(VLOOKUP($B14,[1]Hedef!$A$4:$ES$45409,83,0)),0,VLOOKUP($B14,[1]Hedef!$A$4:$ES$45409,83,0))</f>
        <v>2.7499999999999998E-3</v>
      </c>
      <c r="AU14" s="23" t="str">
        <f>IF((AS14-AT14)&lt;0, "-", (AS14-AT14))</f>
        <v>-</v>
      </c>
      <c r="AV14" s="80" t="e">
        <f t="shared" ref="AV14:AV16" si="53">TRUNC(IF((AT14/AS14)&gt;1.2,"120%",(AT14/AS14)),2)</f>
        <v>#DIV/0!</v>
      </c>
      <c r="AX14" s="32">
        <v>4.6300000000000001E-2</v>
      </c>
      <c r="AY14" s="11">
        <f>IF(ISERROR((AT14-AX14)/AX14),0,(AT14-AX14)/AX14)</f>
        <v>-0.94060475161987034</v>
      </c>
      <c r="BA14" s="186"/>
      <c r="BB14" s="23">
        <f>IF(ISERROR(VLOOKUP($B14,[1]Hedef!$A$4:$ES$45409,85,0)),0,VLOOKUP($B14,[1]Hedef!$A$4:$ES$45409,85,0))</f>
        <v>0</v>
      </c>
      <c r="BC14" s="23">
        <f>IF((BA14-BB14)&lt;0, "-", (BA14-BB14))</f>
        <v>0</v>
      </c>
      <c r="BD14" s="179"/>
      <c r="BF14" s="32"/>
      <c r="BG14" s="11">
        <f>IF(ISERROR((BB14-BF14)/BF14),0,(BB14-BF14)/BF14)</f>
        <v>0</v>
      </c>
      <c r="BI14" s="22">
        <f t="shared" si="23"/>
        <v>0</v>
      </c>
      <c r="BJ14" s="23">
        <f t="shared" si="24"/>
        <v>2.7499999999999998E-3</v>
      </c>
      <c r="BK14" s="23" t="str">
        <f>IF((BI14-BJ14)&lt;0, "-", (BI14-BJ14))</f>
        <v>-</v>
      </c>
      <c r="BL14" s="80" t="e">
        <f t="shared" ref="BL14:BL16" si="54">TRUNC(IF((BJ14/BI14)&gt;1.2,"120%",(BJ14/BI14)),2)</f>
        <v>#DIV/0!</v>
      </c>
      <c r="BN14" s="32">
        <f t="shared" si="25"/>
        <v>4.6300000000000001E-2</v>
      </c>
      <c r="BO14" s="11">
        <f>IF(ISERROR((BJ14-BN14)/BN14),0,(BJ14-BN14)/BN14)</f>
        <v>-0.94060475161987034</v>
      </c>
      <c r="BQ14" s="22">
        <f t="shared" si="26"/>
        <v>0</v>
      </c>
      <c r="BR14" s="23">
        <f>IF(ISERROR(VLOOKUP($B14,[1]Hedef!$A$4:$ES$45409,87,0)),0,VLOOKUP($B14,[1]Hedef!$A$4:$ES$45409,87,0))</f>
        <v>1.2050000000000002E-2</v>
      </c>
      <c r="BS14" s="23" t="str">
        <f>IF((BQ14-BR14)&lt;0, "-", (BQ14-BR14))</f>
        <v>-</v>
      </c>
      <c r="BT14" s="80" t="e">
        <f t="shared" ref="BT14:BT16" si="55">TRUNC(IF((BR14/BQ14)&gt;1.2,"120%",(BR14/BQ14)),2)</f>
        <v>#DIV/0!</v>
      </c>
      <c r="BV14" s="32">
        <f t="shared" ref="BV14:BV16" si="56">+AX14+AP14+AH14+Z14+R14+J14</f>
        <v>0.23945</v>
      </c>
      <c r="BW14" s="11">
        <f t="shared" si="32"/>
        <v>-0.94967634161620373</v>
      </c>
      <c r="BX14" s="127">
        <f>BQ14-'GENEL HEDEF'!CF14</f>
        <v>-0.25</v>
      </c>
      <c r="BY14" s="15">
        <f t="shared" si="28"/>
        <v>2.1684043449710089E-18</v>
      </c>
    </row>
    <row r="15" spans="2:77" x14ac:dyDescent="0.15">
      <c r="B15" s="18">
        <v>3000</v>
      </c>
      <c r="C15" s="1" t="s">
        <v>9</v>
      </c>
      <c r="E15" s="186"/>
      <c r="F15" s="23">
        <f>IF(ISERROR(VLOOKUP($B15,[1]Hedef!$A$4:$ES$45409,75,0)),0,VLOOKUP($B15,[1]Hedef!$A$4:$ES$45409,75,0))</f>
        <v>1.4E-3</v>
      </c>
      <c r="G15" s="23" t="str">
        <f>IF((E15-F15)&lt;0, "-", (E15-F15))</f>
        <v>-</v>
      </c>
      <c r="H15" s="179" t="e">
        <f t="shared" si="48"/>
        <v>#DIV/0!</v>
      </c>
      <c r="J15" s="32">
        <v>1.15E-2</v>
      </c>
      <c r="K15" s="11">
        <f>IF(ISERROR((F15-J15)/J15),0,(F15-J15)/J15)</f>
        <v>-0.87826086956521732</v>
      </c>
      <c r="M15" s="186"/>
      <c r="N15" s="23">
        <f>IF(ISERROR(VLOOKUP($B15,[1]Hedef!$A$4:$ES$45409,79,0)),0,VLOOKUP($B15,[1]Hedef!$A$4:$ES$45409,79,0))</f>
        <v>3.5999999999999999E-3</v>
      </c>
      <c r="O15" s="23" t="str">
        <f>IF((M15-N15)&lt;0, "-", (M15-N15))</f>
        <v>-</v>
      </c>
      <c r="P15" s="179" t="e">
        <f t="shared" si="49"/>
        <v>#DIV/0!</v>
      </c>
      <c r="R15" s="32">
        <v>0.1021</v>
      </c>
      <c r="S15" s="11">
        <f t="shared" si="29"/>
        <v>-0.96474045053868751</v>
      </c>
      <c r="U15" s="186"/>
      <c r="V15" s="23">
        <f>IF(ISERROR(VLOOKUP($B15,[1]Hedef!$A$4:$ES$45409,77,0)),0,VLOOKUP($B15,[1]Hedef!$A$4:$ES$45409,77,0))</f>
        <v>2.7000000000000001E-3</v>
      </c>
      <c r="W15" s="23" t="str">
        <f>IF((U15-V15)&lt;0, "-", (U15-V15))</f>
        <v>-</v>
      </c>
      <c r="X15" s="179" t="e">
        <f t="shared" si="50"/>
        <v>#DIV/0!</v>
      </c>
      <c r="Z15" s="32">
        <v>6.4899999999999999E-2</v>
      </c>
      <c r="AA15" s="11">
        <f t="shared" si="30"/>
        <v>-0.95839753466872113</v>
      </c>
      <c r="AB15" s="72"/>
      <c r="AC15" s="186"/>
      <c r="AD15" s="23">
        <f>IF(ISERROR(VLOOKUP($B15,[1]Hedef!$A$4:$ES$45409,81,0)),0,VLOOKUP($B15,[1]Hedef!$A$4:$ES$45409,81,0))</f>
        <v>5.0000000000000001E-3</v>
      </c>
      <c r="AE15" s="23" t="str">
        <f>IF((AC15-AD15)&lt;0, "-", (AC15-AD15))</f>
        <v>-</v>
      </c>
      <c r="AF15" s="179" t="e">
        <f t="shared" si="51"/>
        <v>#DIV/0!</v>
      </c>
      <c r="AH15" s="32">
        <v>2.81E-2</v>
      </c>
      <c r="AI15" s="11">
        <f>IF(ISERROR((AD15-AH15)/AH15),0,(AD15-AH15)/AH15)</f>
        <v>-0.8220640569395018</v>
      </c>
      <c r="AK15" s="186"/>
      <c r="AL15" s="23">
        <f>IF(ISERROR(VLOOKUP($B15,[1]Hedef!$A$4:$ES$45409,73,0)),0,VLOOKUP($B15,[1]Hedef!$A$4:$ES$45409,73,0))</f>
        <v>1.6000000000000001E-3</v>
      </c>
      <c r="AM15" s="23" t="str">
        <f>IF((AK15-AL15)&lt;0, "-", (AK15-AL15))</f>
        <v>-</v>
      </c>
      <c r="AN15" s="80" t="e">
        <f t="shared" si="52"/>
        <v>#DIV/0!</v>
      </c>
      <c r="AO15" s="173"/>
      <c r="AP15" s="32">
        <v>2.6850000000000002E-2</v>
      </c>
      <c r="AQ15" s="11">
        <f t="shared" si="31"/>
        <v>-0.94040968342644315</v>
      </c>
      <c r="AR15" s="72"/>
      <c r="AS15" s="186"/>
      <c r="AT15" s="23">
        <f>IF(ISERROR(VLOOKUP($B15,[1]Hedef!$A$4:$ES$45409,83,0)),0,VLOOKUP($B15,[1]Hedef!$A$4:$ES$45409,83,0))</f>
        <v>1.23E-2</v>
      </c>
      <c r="AU15" s="23" t="str">
        <f>IF((AS15-AT15)&lt;0, "-", (AS15-AT15))</f>
        <v>-</v>
      </c>
      <c r="AV15" s="80" t="e">
        <f t="shared" si="53"/>
        <v>#DIV/0!</v>
      </c>
      <c r="AX15" s="32">
        <v>0.15485000000000002</v>
      </c>
      <c r="AY15" s="11">
        <f>IF(ISERROR((AT15-AX15)/AX15),0,(AT15-AX15)/AX15)</f>
        <v>-0.92056829189538258</v>
      </c>
      <c r="BA15" s="186"/>
      <c r="BB15" s="23">
        <f>IF(ISERROR(VLOOKUP($B15,[1]Hedef!$A$4:$ES$45409,85,0)),0,VLOOKUP($B15,[1]Hedef!$A$4:$ES$45409,85,0))</f>
        <v>0</v>
      </c>
      <c r="BC15" s="23">
        <f>IF((BA15-BB15)&lt;0, "-", (BA15-BB15))</f>
        <v>0</v>
      </c>
      <c r="BD15" s="179"/>
      <c r="BF15" s="32"/>
      <c r="BG15" s="11">
        <f>IF(ISERROR((BB15-BF15)/BF15),0,(BB15-BF15)/BF15)</f>
        <v>0</v>
      </c>
      <c r="BI15" s="22">
        <f t="shared" si="23"/>
        <v>0</v>
      </c>
      <c r="BJ15" s="23">
        <f t="shared" si="24"/>
        <v>1.23E-2</v>
      </c>
      <c r="BK15" s="23" t="str">
        <f>IF((BI15-BJ15)&lt;0, "-", (BI15-BJ15))</f>
        <v>-</v>
      </c>
      <c r="BL15" s="80" t="e">
        <f t="shared" si="54"/>
        <v>#DIV/0!</v>
      </c>
      <c r="BN15" s="32">
        <f t="shared" si="25"/>
        <v>0.15485000000000002</v>
      </c>
      <c r="BO15" s="11">
        <f>IF(ISERROR((BJ15-BN15)/BN15),0,(BJ15-BN15)/BN15)</f>
        <v>-0.92056829189538258</v>
      </c>
      <c r="BQ15" s="22">
        <f t="shared" si="26"/>
        <v>0</v>
      </c>
      <c r="BR15" s="23">
        <f>IF(ISERROR(VLOOKUP($B15,[1]Hedef!$A$4:$ES$45409,87,0)),0,VLOOKUP($B15,[1]Hedef!$A$4:$ES$45409,87,0))</f>
        <v>2.6599999999999999E-2</v>
      </c>
      <c r="BS15" s="23" t="str">
        <f>IF((BQ15-BR15)&lt;0, "-", (BQ15-BR15))</f>
        <v>-</v>
      </c>
      <c r="BT15" s="80" t="e">
        <f t="shared" si="55"/>
        <v>#DIV/0!</v>
      </c>
      <c r="BV15" s="32">
        <f t="shared" si="56"/>
        <v>0.38830000000000003</v>
      </c>
      <c r="BW15" s="11">
        <f t="shared" si="32"/>
        <v>-0.93149626577388611</v>
      </c>
      <c r="BX15" s="127">
        <f>BQ15-'GENEL HEDEF'!CF15</f>
        <v>-0.42</v>
      </c>
      <c r="BY15" s="15">
        <f t="shared" si="28"/>
        <v>-3.4694469519536142E-18</v>
      </c>
    </row>
    <row r="16" spans="2:77" ht="13" thickBot="1" x14ac:dyDescent="0.2">
      <c r="B16" s="18">
        <v>5000</v>
      </c>
      <c r="C16" s="1" t="s">
        <v>10</v>
      </c>
      <c r="E16" s="189"/>
      <c r="F16" s="23">
        <f>IF(ISERROR(VLOOKUP($B16,[1]Hedef!$A$4:$ES$45409,75,0)),0,VLOOKUP($B16,[1]Hedef!$A$4:$ES$45409,75,0))</f>
        <v>5.0000000000000001E-4</v>
      </c>
      <c r="G16" s="23" t="str">
        <f>IF((E16-F16)&lt;0, "-", (E16-F16))</f>
        <v>-</v>
      </c>
      <c r="H16" s="179" t="e">
        <f t="shared" si="48"/>
        <v>#DIV/0!</v>
      </c>
      <c r="J16" s="32">
        <v>4.7000000000000002E-3</v>
      </c>
      <c r="K16" s="11">
        <f>IF(ISERROR((F16-J16)/J16),0,(F16-J16)/J16)</f>
        <v>-0.89361702127659581</v>
      </c>
      <c r="M16" s="189"/>
      <c r="N16" s="23">
        <f>IF(ISERROR(VLOOKUP($B16,[1]Hedef!$A$4:$ES$45409,79,0)),0,VLOOKUP($B16,[1]Hedef!$A$4:$ES$45409,79,0))</f>
        <v>1E-3</v>
      </c>
      <c r="O16" s="23" t="str">
        <f>IF((M16-N16)&lt;0, "-", (M16-N16))</f>
        <v>-</v>
      </c>
      <c r="P16" s="179" t="e">
        <f t="shared" si="49"/>
        <v>#DIV/0!</v>
      </c>
      <c r="R16" s="32">
        <v>3.9700000000000006E-2</v>
      </c>
      <c r="S16" s="11">
        <f t="shared" si="29"/>
        <v>-0.97481108312342568</v>
      </c>
      <c r="U16" s="199"/>
      <c r="V16" s="23">
        <f>IF(ISERROR(VLOOKUP($B16,[1]Hedef!$A$4:$ES$45409,77,0)),0,VLOOKUP($B16,[1]Hedef!$A$4:$ES$45409,77,0))</f>
        <v>1E-3</v>
      </c>
      <c r="W16" s="23" t="str">
        <f>IF((U16-V16)&lt;0, "-", (U16-V16))</f>
        <v>-</v>
      </c>
      <c r="X16" s="179" t="e">
        <f t="shared" si="50"/>
        <v>#DIV/0!</v>
      </c>
      <c r="Z16" s="32">
        <v>1.7025000000000002E-2</v>
      </c>
      <c r="AA16" s="11">
        <f t="shared" si="30"/>
        <v>-0.94126284875183552</v>
      </c>
      <c r="AB16" s="72"/>
      <c r="AC16" s="189"/>
      <c r="AD16" s="23">
        <f>IF(ISERROR(VLOOKUP($B16,[1]Hedef!$A$4:$ES$45409,81,0)),0,VLOOKUP($B16,[1]Hedef!$A$4:$ES$45409,81,0))</f>
        <v>2.2499999999999998E-3</v>
      </c>
      <c r="AE16" s="23" t="str">
        <f>IF((AC16-AD16)&lt;0, "-", (AC16-AD16))</f>
        <v>-</v>
      </c>
      <c r="AF16" s="179" t="e">
        <f t="shared" si="51"/>
        <v>#DIV/0!</v>
      </c>
      <c r="AH16" s="32">
        <v>2.7000000000000001E-3</v>
      </c>
      <c r="AI16" s="11">
        <f>IF(ISERROR((AD16-AH16)/AH16),0,(AD16-AH16)/AH16)</f>
        <v>-0.16666666666666677</v>
      </c>
      <c r="AK16" s="198"/>
      <c r="AL16" s="23">
        <f>IF(ISERROR(VLOOKUP($B16,[1]Hedef!$A$4:$ES$45409,73,0)),0,VLOOKUP($B16,[1]Hedef!$A$4:$ES$45409,73,0))</f>
        <v>0</v>
      </c>
      <c r="AM16" s="23">
        <f>IF((AK16-AL16)&lt;0, "-", (AK16-AL16))</f>
        <v>0</v>
      </c>
      <c r="AN16" s="80" t="e">
        <f t="shared" si="52"/>
        <v>#DIV/0!</v>
      </c>
      <c r="AO16" s="173"/>
      <c r="AP16" s="32">
        <v>2.8999999999999998E-3</v>
      </c>
      <c r="AQ16" s="11">
        <f t="shared" si="31"/>
        <v>-1</v>
      </c>
      <c r="AR16" s="72"/>
      <c r="AS16" s="189"/>
      <c r="AT16" s="23">
        <f>IF(ISERROR(VLOOKUP($B16,[1]Hedef!$A$4:$ES$45409,83,0)),0,VLOOKUP($B16,[1]Hedef!$A$4:$ES$45409,83,0))</f>
        <v>2.0000000000000001E-4</v>
      </c>
      <c r="AU16" s="23" t="str">
        <f>IF((AS16-AT16)&lt;0, "-", (AS16-AT16))</f>
        <v>-</v>
      </c>
      <c r="AV16" s="80" t="e">
        <f t="shared" si="53"/>
        <v>#DIV/0!</v>
      </c>
      <c r="AX16" s="32">
        <v>6.5975000000000006E-2</v>
      </c>
      <c r="AY16" s="11">
        <f>IF(ISERROR((AT16-AX16)/AX16),0,(AT16-AX16)/AX16)</f>
        <v>-0.99696854869268658</v>
      </c>
      <c r="BA16" s="186"/>
      <c r="BB16" s="23">
        <f>IF(ISERROR(VLOOKUP($B16,[1]Hedef!$A$4:$ES$45409,85,0)),0,VLOOKUP($B16,[1]Hedef!$A$4:$ES$45409,85,0))</f>
        <v>0</v>
      </c>
      <c r="BC16" s="23">
        <f>IF((BA16-BB16)&lt;0, "-", (BA16-BB16))</f>
        <v>0</v>
      </c>
      <c r="BD16" s="179"/>
      <c r="BF16" s="32"/>
      <c r="BG16" s="11">
        <f>IF(ISERROR((BB16-BF16)/BF16),0,(BB16-BF16)/BF16)</f>
        <v>0</v>
      </c>
      <c r="BI16" s="22">
        <f t="shared" si="23"/>
        <v>0</v>
      </c>
      <c r="BJ16" s="23">
        <f t="shared" si="24"/>
        <v>2.0000000000000001E-4</v>
      </c>
      <c r="BK16" s="23" t="str">
        <f>IF((BI16-BJ16)&lt;0, "-", (BI16-BJ16))</f>
        <v>-</v>
      </c>
      <c r="BL16" s="80" t="e">
        <f t="shared" si="54"/>
        <v>#DIV/0!</v>
      </c>
      <c r="BN16" s="32">
        <f t="shared" si="25"/>
        <v>6.5975000000000006E-2</v>
      </c>
      <c r="BO16" s="11">
        <f>IF(ISERROR((BJ16-BN16)/BN16),0,(BJ16-BN16)/BN16)</f>
        <v>-0.99696854869268658</v>
      </c>
      <c r="BQ16" s="22">
        <f t="shared" si="26"/>
        <v>0</v>
      </c>
      <c r="BR16" s="23">
        <f>IF(ISERROR(VLOOKUP($B16,[1]Hedef!$A$4:$ES$45409,87,0)),0,VLOOKUP($B16,[1]Hedef!$A$4:$ES$45409,87,0))</f>
        <v>4.9499999999999995E-3</v>
      </c>
      <c r="BS16" s="23" t="str">
        <f>IF((BQ16-BR16)&lt;0, "-", (BQ16-BR16))</f>
        <v>-</v>
      </c>
      <c r="BT16" s="80" t="e">
        <f t="shared" si="55"/>
        <v>#DIV/0!</v>
      </c>
      <c r="BV16" s="32">
        <f t="shared" si="56"/>
        <v>0.13300000000000001</v>
      </c>
      <c r="BW16" s="11">
        <f t="shared" si="32"/>
        <v>-0.96278195488721796</v>
      </c>
      <c r="BX16" s="127">
        <f>BQ16-'GENEL HEDEF'!CF16</f>
        <v>-0.15</v>
      </c>
      <c r="BY16" s="15">
        <f t="shared" si="28"/>
        <v>-3.5236570605778894E-19</v>
      </c>
    </row>
    <row r="17" spans="2:77" ht="14" thickTop="1" thickBot="1" x14ac:dyDescent="0.2">
      <c r="B17" s="18" t="s">
        <v>55</v>
      </c>
      <c r="C17" s="2" t="s">
        <v>11</v>
      </c>
      <c r="E17" s="67">
        <f>SUM(E14:E16)</f>
        <v>0</v>
      </c>
      <c r="F17" s="67">
        <f>SUM(F14:F16)</f>
        <v>2.7000000000000001E-3</v>
      </c>
      <c r="G17" s="67">
        <f>SUM(G14:G16)</f>
        <v>0</v>
      </c>
      <c r="H17" s="180" t="e">
        <f>TRUNC(IF((F17/E17)&gt;1.2,"120%",(F17/E17)),2)</f>
        <v>#DIV/0!</v>
      </c>
      <c r="I17" s="78"/>
      <c r="J17" s="67"/>
      <c r="K17" s="48"/>
      <c r="L17" s="78"/>
      <c r="M17" s="67">
        <f>SUM(M14:M16)</f>
        <v>0</v>
      </c>
      <c r="N17" s="67">
        <f>SUM(N14:N16)</f>
        <v>1.0499999999999999E-2</v>
      </c>
      <c r="O17" s="67">
        <f>SUM(O14:O16)</f>
        <v>0</v>
      </c>
      <c r="P17" s="180" t="e">
        <f>TRUNC(IF((N17/M17)&gt;1.2,"120%",(N17/M17)),2)</f>
        <v>#DIV/0!</v>
      </c>
      <c r="Q17" s="78"/>
      <c r="R17" s="67"/>
      <c r="S17" s="48"/>
      <c r="T17" s="78"/>
      <c r="U17" s="67">
        <f>SUM(U14:U16)</f>
        <v>0</v>
      </c>
      <c r="V17" s="67">
        <f>SUM(V14:V16)</f>
        <v>3.7000000000000002E-3</v>
      </c>
      <c r="W17" s="67">
        <f>SUM(W14:W16)</f>
        <v>0</v>
      </c>
      <c r="X17" s="180" t="e">
        <f>TRUNC(IF((V17/U17)&gt;1.2,"120%",(V17/U17)),2)</f>
        <v>#DIV/0!</v>
      </c>
      <c r="Y17" s="78"/>
      <c r="Z17" s="67"/>
      <c r="AA17" s="48"/>
      <c r="AB17" s="114"/>
      <c r="AC17" s="67">
        <f>SUM(AC14:AC16)</f>
        <v>0</v>
      </c>
      <c r="AD17" s="67">
        <f>SUM(AD14:AD16)</f>
        <v>7.8499999999999993E-3</v>
      </c>
      <c r="AE17" s="67">
        <f>SUM(AE14:AE16)</f>
        <v>0</v>
      </c>
      <c r="AF17" s="180" t="e">
        <f>TRUNC(IF((AD17/AC17)&gt;1.2,"120%",(AD17/AC17)),2)</f>
        <v>#DIV/0!</v>
      </c>
      <c r="AG17" s="78"/>
      <c r="AH17" s="67"/>
      <c r="AI17" s="48"/>
      <c r="AJ17" s="78"/>
      <c r="AK17" s="67">
        <f>SUM(AK14:AK16)</f>
        <v>0</v>
      </c>
      <c r="AL17" s="67">
        <f>SUM(AL14:AL16)</f>
        <v>3.5999999999999999E-3</v>
      </c>
      <c r="AM17" s="67">
        <f>SUM(AM14:AM16)</f>
        <v>0</v>
      </c>
      <c r="AN17" s="39" t="e">
        <f>TRUNC(IF((AL17/AK17)&gt;1.2,"120%",(AL17/AK17)),2)</f>
        <v>#DIV/0!</v>
      </c>
      <c r="AO17" s="174"/>
      <c r="AP17" s="67"/>
      <c r="AQ17" s="48"/>
      <c r="AR17" s="74"/>
      <c r="AS17" s="67">
        <f>SUM(AS14:AS16)</f>
        <v>0</v>
      </c>
      <c r="AT17" s="67">
        <f>SUM(AT14:AT16)</f>
        <v>1.5250000000000001E-2</v>
      </c>
      <c r="AU17" s="67">
        <f>SUM(AU14:AU16)</f>
        <v>0</v>
      </c>
      <c r="AV17" s="39" t="e">
        <f>TRUNC(IF((AT17/AS17)&gt;1.2,"120%",(AT17/AS17)),2)</f>
        <v>#DIV/0!</v>
      </c>
      <c r="AX17" s="67"/>
      <c r="AY17" s="48"/>
      <c r="AZ17" s="78"/>
      <c r="BA17" s="67">
        <f>SUM(BA14:BA16)</f>
        <v>0</v>
      </c>
      <c r="BB17" s="67">
        <f>SUM(BB14:BB16)</f>
        <v>0</v>
      </c>
      <c r="BC17" s="67">
        <f>SUM(BC14:BC16)</f>
        <v>0</v>
      </c>
      <c r="BD17" s="180" t="e">
        <f>TRUNC(IF((BB17/BA17)&gt;1.2,"120%",(BB17/BA17)),2)</f>
        <v>#DIV/0!</v>
      </c>
      <c r="BF17" s="67"/>
      <c r="BG17" s="48"/>
      <c r="BH17" s="78"/>
      <c r="BI17" s="67">
        <f>SUM(BI14:BI16)</f>
        <v>0</v>
      </c>
      <c r="BJ17" s="67">
        <f>SUM(BJ14:BJ16)</f>
        <v>1.5250000000000001E-2</v>
      </c>
      <c r="BK17" s="67">
        <f>SUM(BK14:BK16)</f>
        <v>0</v>
      </c>
      <c r="BL17" s="39" t="e">
        <f>TRUNC(IF((BJ17/BI17)&gt;1.2,"120%",(BJ17/BI17)),2)</f>
        <v>#DIV/0!</v>
      </c>
      <c r="BN17" s="67"/>
      <c r="BO17" s="48"/>
      <c r="BP17" s="78"/>
      <c r="BQ17" s="67">
        <f>SUM(BQ14:BQ16)</f>
        <v>0</v>
      </c>
      <c r="BR17" s="67">
        <f>SUM(BR14:BR16)</f>
        <v>4.36E-2</v>
      </c>
      <c r="BS17" s="67">
        <f>SUM(BS14:BS16)</f>
        <v>0</v>
      </c>
      <c r="BT17" s="39" t="e">
        <f>TRUNC(IF((BR17/BQ17)&gt;1.2,"120%",(BR17/BQ17)),2)</f>
        <v>#DIV/0!</v>
      </c>
      <c r="BV17" s="67"/>
      <c r="BW17" s="48"/>
      <c r="BX17" s="67"/>
      <c r="BY17" s="89"/>
    </row>
    <row r="18" spans="2:77" ht="13" thickTop="1" x14ac:dyDescent="0.15">
      <c r="B18" s="18">
        <v>1000</v>
      </c>
      <c r="C18" s="1" t="s">
        <v>105</v>
      </c>
      <c r="E18" s="198"/>
      <c r="F18" s="23">
        <f>IF(ISERROR(VLOOKUP($B18,[1]Hedef!$A$4:$ES$45409,75,0)),0,VLOOKUP($B18,[1]Hedef!$A$4:$ES$45409,75,0))</f>
        <v>7.9380000000000006E-3</v>
      </c>
      <c r="G18" s="23" t="str">
        <f>IF((E18-F18)&lt;0, "-", (E18-F18))</f>
        <v>-</v>
      </c>
      <c r="H18" s="179" t="e">
        <f t="shared" ref="H18:H21" si="57">TRUNC(IF((F18/E18)&gt;1.2,"120%",(F18/E18)),2)</f>
        <v>#DIV/0!</v>
      </c>
      <c r="J18" s="32">
        <v>0.41502</v>
      </c>
      <c r="K18" s="11">
        <f>IF(ISERROR((F18-J18)/J18),0,(F18-J18)/J18)</f>
        <v>-0.98087321092959379</v>
      </c>
      <c r="M18" s="186"/>
      <c r="N18" s="23">
        <f>IF(ISERROR(VLOOKUP($B18,[1]Hedef!$A$4:$ES$45409,79,0)),0,VLOOKUP($B18,[1]Hedef!$A$4:$ES$45409,79,0))</f>
        <v>3.3295999999999999E-2</v>
      </c>
      <c r="O18" s="23" t="str">
        <f>IF((M18-N18)&lt;0, "-", (M18-N18))</f>
        <v>-</v>
      </c>
      <c r="P18" s="179" t="e">
        <f t="shared" ref="P18:P21" si="58">TRUNC(IF((N18/M18)&gt;1.2,"120%",(N18/M18)),2)</f>
        <v>#DIV/0!</v>
      </c>
      <c r="R18" s="32">
        <v>0.42974840000000003</v>
      </c>
      <c r="S18" s="11">
        <f>IF(ISERROR((N18-R18)/R18),0,(N18-R18)/R18)</f>
        <v>-0.92252210828475456</v>
      </c>
      <c r="U18" s="186"/>
      <c r="V18" s="23">
        <f>IF(ISERROR(VLOOKUP($B18,[1]Hedef!$A$4:$ES$45409,77,0)),0,VLOOKUP($B18,[1]Hedef!$A$4:$ES$45409,77,0))</f>
        <v>8.9999999999999993E-3</v>
      </c>
      <c r="W18" s="23" t="str">
        <f>IF((U18-V18)&lt;0, "-", (U18-V18))</f>
        <v>-</v>
      </c>
      <c r="X18" s="179" t="e">
        <f t="shared" ref="X18:X21" si="59">TRUNC(IF((V18/U18)&gt;1.2,"120%",(V18/U18)),2)</f>
        <v>#DIV/0!</v>
      </c>
      <c r="Z18" s="32">
        <v>0.18337719999999996</v>
      </c>
      <c r="AA18" s="11">
        <f>IF(ISERROR((V18-Z18)/Z18),0,(V18-Z18)/Z18)</f>
        <v>-0.95092083421494056</v>
      </c>
      <c r="AB18" s="72"/>
      <c r="AC18" s="187"/>
      <c r="AD18" s="23">
        <f>IF(ISERROR(VLOOKUP($B18,[1]Hedef!$A$4:$ES$45409,81,0)),0,VLOOKUP($B18,[1]Hedef!$A$4:$ES$45409,81,0))</f>
        <v>7.2639999999999996E-3</v>
      </c>
      <c r="AE18" s="23" t="str">
        <f>IF((AC18-AD18)&lt;0, "-", (AC18-AD18))</f>
        <v>-</v>
      </c>
      <c r="AF18" s="179" t="e">
        <f t="shared" ref="AF18:AF21" si="60">TRUNC(IF((AD18/AC18)&gt;1.2,"120%",(AD18/AC18)),2)</f>
        <v>#DIV/0!</v>
      </c>
      <c r="AH18" s="32">
        <v>0.13645199999999999</v>
      </c>
      <c r="AI18" s="11">
        <f>IF(ISERROR((AD18-AH18)/AH18),0,(AD18-AH18)/AH18)</f>
        <v>-0.94676516284114565</v>
      </c>
      <c r="AK18" s="186"/>
      <c r="AL18" s="23">
        <f>IF(ISERROR(VLOOKUP($B18,[1]Hedef!$A$4:$ES$45409,73,0)),0,VLOOKUP($B18,[1]Hedef!$A$4:$ES$45409,73,0))</f>
        <v>4.9880000000000002E-3</v>
      </c>
      <c r="AM18" s="23" t="str">
        <f>IF((AK18-AL18)&lt;0, "-", (AK18-AL18))</f>
        <v>-</v>
      </c>
      <c r="AN18" s="80" t="e">
        <f t="shared" ref="AN18:AN21" si="61">TRUNC(IF((AL18/AK18)&gt;1.2,"120%",(AL18/AK18)),2)</f>
        <v>#DIV/0!</v>
      </c>
      <c r="AO18" s="173"/>
      <c r="AP18" s="32">
        <v>4.4244400000000003E-2</v>
      </c>
      <c r="AQ18" s="11">
        <f>IF(ISERROR((AL18-AP18)/AP18),0,(AL18-AP18)/AP18)</f>
        <v>-0.88726256882226906</v>
      </c>
      <c r="AR18" s="72"/>
      <c r="AS18" s="186"/>
      <c r="AT18" s="23">
        <f>IF(ISERROR(VLOOKUP($B18,[1]Hedef!$A$4:$ES$45409,83,0)),0,VLOOKUP($B18,[1]Hedef!$A$4:$ES$45409,83,0))</f>
        <v>9.9979999999999999E-3</v>
      </c>
      <c r="AU18" s="23" t="str">
        <f>IF((AS18-AT18)&lt;0, "-", (AS18-AT18))</f>
        <v>-</v>
      </c>
      <c r="AV18" s="80" t="e">
        <f t="shared" ref="AV18:AV21" si="62">TRUNC(IF((AT18/AS18)&gt;1.2,"120%",(AT18/AS18)),2)</f>
        <v>#DIV/0!</v>
      </c>
      <c r="AX18" s="32">
        <v>0.16546319999999998</v>
      </c>
      <c r="AY18" s="11">
        <f>IF(ISERROR((AT18-AX18)/AX18),0,(AT18-AX18)/AX18)</f>
        <v>-0.93957568812884074</v>
      </c>
      <c r="BA18" s="186"/>
      <c r="BB18" s="23">
        <f>IF(ISERROR(VLOOKUP($B18,[1]Hedef!$A$4:$ES$45409,85,0)),0,VLOOKUP($B18,[1]Hedef!$A$4:$ES$45409,85,0))</f>
        <v>2.0000000000000001E-4</v>
      </c>
      <c r="BC18" s="23" t="str">
        <f>IF((BA18-BB18)&lt;0, "-", (BA18-BB18))</f>
        <v>-</v>
      </c>
      <c r="BD18" s="179"/>
      <c r="BF18" s="32"/>
      <c r="BG18" s="11">
        <f>IF(ISERROR((BB18-BF18)/BF18),0,(BB18-BF18)/BF18)</f>
        <v>0</v>
      </c>
      <c r="BI18" s="22">
        <f t="shared" si="23"/>
        <v>0</v>
      </c>
      <c r="BJ18" s="23">
        <f t="shared" si="24"/>
        <v>1.0198E-2</v>
      </c>
      <c r="BK18" s="23" t="str">
        <f>IF((BI18-BJ18)&lt;0, "-", (BI18-BJ18))</f>
        <v>-</v>
      </c>
      <c r="BL18" s="80" t="e">
        <f t="shared" ref="BL18:BL29" si="63">TRUNC(IF((BJ18/BI18)&gt;1.2,"120%",(BJ18/BI18)),2)</f>
        <v>#DIV/0!</v>
      </c>
      <c r="BN18" s="32">
        <f t="shared" si="25"/>
        <v>0.16546319999999998</v>
      </c>
      <c r="BO18" s="11">
        <f>IF(ISERROR((BJ18-BN18)/BN18),0,(BJ18-BN18)/BN18)</f>
        <v>-0.93836696014582088</v>
      </c>
      <c r="BQ18" s="22">
        <f t="shared" si="26"/>
        <v>0</v>
      </c>
      <c r="BR18" s="23">
        <f>IF(ISERROR(VLOOKUP($B18,[1]Hedef!$A$4:$ES$45409,87,0)),0,VLOOKUP($B18,[1]Hedef!$A$4:$ES$45409,87,0))</f>
        <v>7.2683999999999999E-2</v>
      </c>
      <c r="BS18" s="23" t="str">
        <f>IF((BQ18-BR18)&lt;0, "-", (BQ18-BR18))</f>
        <v>-</v>
      </c>
      <c r="BT18" s="80" t="e">
        <f t="shared" ref="BT18:BT21" si="64">TRUNC(IF((BR18/BQ18)&gt;1.2,"120%",(BR18/BQ18)),2)</f>
        <v>#DIV/0!</v>
      </c>
      <c r="BV18" s="32">
        <f t="shared" ref="BV18:BV19" si="65">+AX18+AP18+AH18+Z18+R18+J18</f>
        <v>1.3743052</v>
      </c>
      <c r="BW18" s="11">
        <f>IF(ISERROR((BR18-BV18)/BV18),0,(BR18-BV18)/BV18)</f>
        <v>-0.94711218439688649</v>
      </c>
      <c r="BX18" s="127">
        <f>BQ18-'GENEL HEDEF'!CF18</f>
        <v>-1.42</v>
      </c>
      <c r="BY18" s="15">
        <f t="shared" si="28"/>
        <v>-8.1586213479534209E-18</v>
      </c>
    </row>
    <row r="19" spans="2:77" ht="13" thickBot="1" x14ac:dyDescent="0.2">
      <c r="B19" s="18">
        <v>2000</v>
      </c>
      <c r="C19" s="1" t="s">
        <v>12</v>
      </c>
      <c r="E19" s="186"/>
      <c r="F19" s="23">
        <f>IF(ISERROR(VLOOKUP($B19,[1]Hedef!$A$4:$ES$45409,75,0)),0,VLOOKUP($B19,[1]Hedef!$A$4:$ES$45409,75,0))</f>
        <v>5.4349999999999997E-3</v>
      </c>
      <c r="G19" s="23" t="str">
        <f>IF((E19-F19)&lt;0, "-", (E19-F19))</f>
        <v>-</v>
      </c>
      <c r="H19" s="179" t="e">
        <f t="shared" si="57"/>
        <v>#DIV/0!</v>
      </c>
      <c r="J19" s="32">
        <v>2.0768999999999996E-2</v>
      </c>
      <c r="K19" s="11">
        <f>IF(ISERROR((F19-J19)/J19),0,(F19-J19)/J19)</f>
        <v>-0.73831190716933892</v>
      </c>
      <c r="M19" s="186"/>
      <c r="N19" s="23">
        <f>IF(ISERROR(VLOOKUP($B19,[1]Hedef!$A$4:$ES$45409,79,0)),0,VLOOKUP($B19,[1]Hedef!$A$4:$ES$45409,79,0))</f>
        <v>1.9200000000000002E-2</v>
      </c>
      <c r="O19" s="23" t="str">
        <f>IF((M19-N19)&lt;0, "-", (M19-N19))</f>
        <v>-</v>
      </c>
      <c r="P19" s="179" t="e">
        <f t="shared" si="58"/>
        <v>#DIV/0!</v>
      </c>
      <c r="R19" s="32">
        <v>9.6765999999999991E-2</v>
      </c>
      <c r="S19" s="11">
        <f>IF(ISERROR((N19-R19)/R19),0,(N19-R19)/R19)</f>
        <v>-0.80158320071099354</v>
      </c>
      <c r="U19" s="187"/>
      <c r="V19" s="23">
        <f>IF(ISERROR(VLOOKUP($B19,[1]Hedef!$A$4:$ES$45409,77,0)),0,VLOOKUP($B19,[1]Hedef!$A$4:$ES$45409,77,0))</f>
        <v>5.2499999999999995E-3</v>
      </c>
      <c r="W19" s="23" t="str">
        <f>IF((U19-V19)&lt;0, "-", (U19-V19))</f>
        <v>-</v>
      </c>
      <c r="X19" s="179" t="e">
        <f t="shared" si="59"/>
        <v>#DIV/0!</v>
      </c>
      <c r="Z19" s="32">
        <v>6.0808999999999995E-2</v>
      </c>
      <c r="AA19" s="11">
        <f>IF(ISERROR((V19-Z19)/Z19),0,(V19-Z19)/Z19)</f>
        <v>-0.9136640957752965</v>
      </c>
      <c r="AB19" s="72"/>
      <c r="AC19" s="186"/>
      <c r="AD19" s="23">
        <f>IF(ISERROR(VLOOKUP($B19,[1]Hedef!$A$4:$ES$45409,81,0)),0,VLOOKUP($B19,[1]Hedef!$A$4:$ES$45409,81,0))</f>
        <v>2.8200000000000005E-3</v>
      </c>
      <c r="AE19" s="23" t="str">
        <f>IF((AC19-AD19)&lt;0, "-", (AC19-AD19))</f>
        <v>-</v>
      </c>
      <c r="AF19" s="179" t="e">
        <f t="shared" si="60"/>
        <v>#DIV/0!</v>
      </c>
      <c r="AH19" s="32">
        <v>1.205E-2</v>
      </c>
      <c r="AI19" s="11">
        <f>IF(ISERROR((AD19-AH19)/AH19),0,(AD19-AH19)/AH19)</f>
        <v>-0.76597510373443978</v>
      </c>
      <c r="AK19" s="186"/>
      <c r="AL19" s="23">
        <f>IF(ISERROR(VLOOKUP($B19,[1]Hedef!$A$4:$ES$45409,73,0)),0,VLOOKUP($B19,[1]Hedef!$A$4:$ES$45409,73,0))</f>
        <v>3.65E-3</v>
      </c>
      <c r="AM19" s="23" t="str">
        <f>IF((AK19-AL19)&lt;0, "-", (AK19-AL19))</f>
        <v>-</v>
      </c>
      <c r="AN19" s="80" t="e">
        <f t="shared" si="61"/>
        <v>#DIV/0!</v>
      </c>
      <c r="AO19" s="173"/>
      <c r="AP19" s="32">
        <v>1.5344999999999999E-2</v>
      </c>
      <c r="AQ19" s="11">
        <f>IF(ISERROR((AL19-AP19)/AP19),0,(AL19-AP19)/AP19)</f>
        <v>-0.76213750407298786</v>
      </c>
      <c r="AR19" s="72"/>
      <c r="AS19" s="186"/>
      <c r="AT19" s="23">
        <f>IF(ISERROR(VLOOKUP($B19,[1]Hedef!$A$4:$ES$45409,83,0)),0,VLOOKUP($B19,[1]Hedef!$A$4:$ES$45409,83,0))</f>
        <v>6.1250000000000002E-3</v>
      </c>
      <c r="AU19" s="23" t="str">
        <f>IF((AS19-AT19)&lt;0, "-", (AS19-AT19))</f>
        <v>-</v>
      </c>
      <c r="AV19" s="80" t="e">
        <f t="shared" si="62"/>
        <v>#DIV/0!</v>
      </c>
      <c r="AX19" s="32">
        <v>0.15447900000000001</v>
      </c>
      <c r="AY19" s="11">
        <f>IF(ISERROR((AT19-AX19)/AX19),0,(AT19-AX19)/AX19)</f>
        <v>-0.96035059781588439</v>
      </c>
      <c r="BA19" s="186"/>
      <c r="BB19" s="23">
        <f>IF(ISERROR(VLOOKUP($B19,[1]Hedef!$A$4:$ES$45409,85,0)),0,VLOOKUP($B19,[1]Hedef!$A$4:$ES$45409,85,0))</f>
        <v>2.0000000000000001E-4</v>
      </c>
      <c r="BC19" s="23" t="str">
        <f>IF((BA19-BB19)&lt;0, "-", (BA19-BB19))</f>
        <v>-</v>
      </c>
      <c r="BD19" s="179"/>
      <c r="BF19" s="32"/>
      <c r="BG19" s="11">
        <f>IF(ISERROR((BB19-BF19)/BF19),0,(BB19-BF19)/BF19)</f>
        <v>0</v>
      </c>
      <c r="BI19" s="22">
        <f t="shared" si="23"/>
        <v>0</v>
      </c>
      <c r="BJ19" s="23">
        <f t="shared" si="24"/>
        <v>6.3249999999999999E-3</v>
      </c>
      <c r="BK19" s="23" t="str">
        <f>IF((BI19-BJ19)&lt;0, "-", (BI19-BJ19))</f>
        <v>-</v>
      </c>
      <c r="BL19" s="80" t="e">
        <f t="shared" si="63"/>
        <v>#DIV/0!</v>
      </c>
      <c r="BN19" s="32">
        <f t="shared" si="25"/>
        <v>0.15447900000000001</v>
      </c>
      <c r="BO19" s="11">
        <f>IF(ISERROR((BJ19-BN19)/BN19),0,(BJ19-BN19)/BN19)</f>
        <v>-0.95905592345885204</v>
      </c>
      <c r="BQ19" s="22">
        <f t="shared" si="26"/>
        <v>0</v>
      </c>
      <c r="BR19" s="23">
        <f>IF(ISERROR(VLOOKUP($B19,[1]Hedef!$A$4:$ES$45409,87,0)),0,VLOOKUP($B19,[1]Hedef!$A$4:$ES$45409,87,0))</f>
        <v>4.2679999999999996E-2</v>
      </c>
      <c r="BS19" s="23" t="str">
        <f>IF((BQ19-BR19)&lt;0, "-", (BQ19-BR19))</f>
        <v>-</v>
      </c>
      <c r="BT19" s="80" t="e">
        <f t="shared" si="64"/>
        <v>#DIV/0!</v>
      </c>
      <c r="BV19" s="32">
        <f t="shared" si="65"/>
        <v>0.36021799999999998</v>
      </c>
      <c r="BW19" s="11">
        <f>IF(ISERROR((BR19-BV19)/BV19),0,(BR19-BV19)/BV19)</f>
        <v>-0.88151619297203365</v>
      </c>
      <c r="BX19" s="127">
        <f>BQ19-'GENEL HEDEF'!CF19</f>
        <v>-0.46</v>
      </c>
      <c r="BY19" s="15">
        <f t="shared" si="28"/>
        <v>-7.2912596099650173E-18</v>
      </c>
    </row>
    <row r="20" spans="2:77" ht="14" thickTop="1" thickBot="1" x14ac:dyDescent="0.2">
      <c r="B20" s="18" t="s">
        <v>56</v>
      </c>
      <c r="C20" s="2" t="s">
        <v>13</v>
      </c>
      <c r="E20" s="67">
        <f>SUM(E18:E19)</f>
        <v>0</v>
      </c>
      <c r="F20" s="67">
        <f>SUM(F18:F19)</f>
        <v>1.3372999999999999E-2</v>
      </c>
      <c r="G20" s="67">
        <f>SUM(G18:G19)</f>
        <v>0</v>
      </c>
      <c r="H20" s="180" t="e">
        <f t="shared" si="57"/>
        <v>#DIV/0!</v>
      </c>
      <c r="I20" s="78"/>
      <c r="J20" s="67"/>
      <c r="K20" s="48"/>
      <c r="L20" s="78"/>
      <c r="M20" s="67">
        <f>SUM(M18:M19)</f>
        <v>0</v>
      </c>
      <c r="N20" s="67">
        <f>SUM(N18:N19)</f>
        <v>5.2496000000000001E-2</v>
      </c>
      <c r="O20" s="67">
        <f>SUM(O18:O19)</f>
        <v>0</v>
      </c>
      <c r="P20" s="180" t="e">
        <f t="shared" si="58"/>
        <v>#DIV/0!</v>
      </c>
      <c r="Q20" s="78"/>
      <c r="R20" s="48"/>
      <c r="S20" s="48"/>
      <c r="T20" s="78"/>
      <c r="U20" s="67">
        <f>SUM(U18:U19)</f>
        <v>0</v>
      </c>
      <c r="V20" s="67">
        <f>SUM(V18:V19)</f>
        <v>1.4249999999999999E-2</v>
      </c>
      <c r="W20" s="67">
        <f>SUM(W18:W19)</f>
        <v>0</v>
      </c>
      <c r="X20" s="180" t="e">
        <f t="shared" si="59"/>
        <v>#DIV/0!</v>
      </c>
      <c r="Y20" s="78"/>
      <c r="Z20" s="67"/>
      <c r="AA20" s="48"/>
      <c r="AB20" s="114"/>
      <c r="AC20" s="67">
        <f>SUM(AC18:AC19)</f>
        <v>0</v>
      </c>
      <c r="AD20" s="67">
        <f>SUM(AD18:AD19)</f>
        <v>1.0083999999999999E-2</v>
      </c>
      <c r="AE20" s="67">
        <f>SUM(AE18:AE19)</f>
        <v>0</v>
      </c>
      <c r="AF20" s="180" t="e">
        <f t="shared" si="60"/>
        <v>#DIV/0!</v>
      </c>
      <c r="AG20" s="78"/>
      <c r="AH20" s="67"/>
      <c r="AI20" s="48"/>
      <c r="AJ20" s="78"/>
      <c r="AK20" s="67">
        <f>SUM(AK18:AK19)</f>
        <v>0</v>
      </c>
      <c r="AL20" s="67">
        <f>SUM(AL18:AL19)</f>
        <v>8.6379999999999998E-3</v>
      </c>
      <c r="AM20" s="67">
        <f>SUM(AM18:AM19)</f>
        <v>0</v>
      </c>
      <c r="AN20" s="39" t="e">
        <f t="shared" si="61"/>
        <v>#DIV/0!</v>
      </c>
      <c r="AO20" s="174"/>
      <c r="AP20" s="67"/>
      <c r="AQ20" s="48"/>
      <c r="AR20" s="74"/>
      <c r="AS20" s="67">
        <f>SUM(AS18:AS19)</f>
        <v>0</v>
      </c>
      <c r="AT20" s="67">
        <f>SUM(AT18:AT19)</f>
        <v>1.6122999999999998E-2</v>
      </c>
      <c r="AU20" s="67">
        <f>SUM(AU18:AU19)</f>
        <v>0</v>
      </c>
      <c r="AV20" s="39" t="e">
        <f t="shared" si="62"/>
        <v>#DIV/0!</v>
      </c>
      <c r="AX20" s="67"/>
      <c r="AY20" s="48"/>
      <c r="AZ20" s="78"/>
      <c r="BA20" s="67">
        <f>SUM(BA18:BA19)</f>
        <v>0</v>
      </c>
      <c r="BB20" s="67">
        <f>SUM(BB18:BB19)</f>
        <v>4.0000000000000002E-4</v>
      </c>
      <c r="BC20" s="67">
        <f>SUM(BC18:BC19)</f>
        <v>0</v>
      </c>
      <c r="BD20" s="180" t="e">
        <f t="shared" ref="BD20:BD29" si="66">TRUNC(IF((BB20/BA20)&gt;1.2,"120%",(BB20/BA20)),2)</f>
        <v>#DIV/0!</v>
      </c>
      <c r="BF20" s="67"/>
      <c r="BG20" s="48"/>
      <c r="BH20" s="78"/>
      <c r="BI20" s="67">
        <f>SUM(BI18:BI19)</f>
        <v>0</v>
      </c>
      <c r="BJ20" s="67">
        <f>SUM(BJ18:BJ19)</f>
        <v>1.6522999999999999E-2</v>
      </c>
      <c r="BK20" s="67">
        <f>SUM(BK18:BK19)</f>
        <v>0</v>
      </c>
      <c r="BL20" s="39" t="e">
        <f t="shared" si="63"/>
        <v>#DIV/0!</v>
      </c>
      <c r="BN20" s="67"/>
      <c r="BO20" s="48"/>
      <c r="BP20" s="78"/>
      <c r="BQ20" s="67">
        <f>SUM(BQ18:BQ19)</f>
        <v>0</v>
      </c>
      <c r="BR20" s="67">
        <f>SUM(BR18:BR19)</f>
        <v>0.11536399999999999</v>
      </c>
      <c r="BS20" s="67">
        <f>SUM(BS18:BS19)</f>
        <v>0</v>
      </c>
      <c r="BT20" s="39" t="e">
        <f t="shared" si="64"/>
        <v>#DIV/0!</v>
      </c>
      <c r="BV20" s="67"/>
      <c r="BW20" s="48"/>
      <c r="BX20" s="67"/>
      <c r="BY20" s="89"/>
    </row>
    <row r="21" spans="2:77" ht="14" thickTop="1" thickBot="1" x14ac:dyDescent="0.2">
      <c r="B21" s="18"/>
      <c r="C21" s="2" t="s">
        <v>14</v>
      </c>
      <c r="E21" s="67">
        <f>+E20+E17</f>
        <v>0</v>
      </c>
      <c r="F21" s="110">
        <f>F20+F17</f>
        <v>1.6073E-2</v>
      </c>
      <c r="G21" s="110">
        <f>G20+G17</f>
        <v>0</v>
      </c>
      <c r="H21" s="180" t="e">
        <f t="shared" si="57"/>
        <v>#DIV/0!</v>
      </c>
      <c r="I21" s="78"/>
      <c r="J21" s="67"/>
      <c r="K21" s="48"/>
      <c r="L21" s="78"/>
      <c r="M21" s="67">
        <f>+M20+M17</f>
        <v>0</v>
      </c>
      <c r="N21" s="110">
        <f>N20+N17</f>
        <v>6.2995999999999996E-2</v>
      </c>
      <c r="O21" s="110">
        <f>O20+O17</f>
        <v>0</v>
      </c>
      <c r="P21" s="180" t="e">
        <f t="shared" si="58"/>
        <v>#DIV/0!</v>
      </c>
      <c r="Q21" s="78"/>
      <c r="R21" s="67"/>
      <c r="S21" s="48"/>
      <c r="T21" s="78"/>
      <c r="U21" s="67">
        <f>+U20+U17</f>
        <v>0</v>
      </c>
      <c r="V21" s="110">
        <f>V20+V17</f>
        <v>1.7950000000000001E-2</v>
      </c>
      <c r="W21" s="110">
        <f>W20+W17</f>
        <v>0</v>
      </c>
      <c r="X21" s="180" t="e">
        <f t="shared" si="59"/>
        <v>#DIV/0!</v>
      </c>
      <c r="Y21" s="78"/>
      <c r="Z21" s="67"/>
      <c r="AA21" s="48"/>
      <c r="AB21" s="114"/>
      <c r="AC21" s="67">
        <f>+AC20+AC17</f>
        <v>0</v>
      </c>
      <c r="AD21" s="110">
        <f>AD20+AD17</f>
        <v>1.7933999999999999E-2</v>
      </c>
      <c r="AE21" s="110">
        <f>AE20+AE17</f>
        <v>0</v>
      </c>
      <c r="AF21" s="180" t="e">
        <f t="shared" si="60"/>
        <v>#DIV/0!</v>
      </c>
      <c r="AG21" s="78"/>
      <c r="AH21" s="67"/>
      <c r="AI21" s="48"/>
      <c r="AJ21" s="78"/>
      <c r="AK21" s="67">
        <f>+AK20+AK17</f>
        <v>0</v>
      </c>
      <c r="AL21" s="110">
        <f>AL20+AL17</f>
        <v>1.2237999999999999E-2</v>
      </c>
      <c r="AM21" s="110">
        <f>AM20+AM17</f>
        <v>0</v>
      </c>
      <c r="AN21" s="39" t="e">
        <f t="shared" si="61"/>
        <v>#DIV/0!</v>
      </c>
      <c r="AO21" s="174"/>
      <c r="AP21" s="67"/>
      <c r="AQ21" s="48"/>
      <c r="AR21" s="74"/>
      <c r="AS21" s="67">
        <f>+AS20+AS17</f>
        <v>0</v>
      </c>
      <c r="AT21" s="110">
        <f>AT20+AT17</f>
        <v>3.1372999999999998E-2</v>
      </c>
      <c r="AU21" s="110">
        <f>AU20+AU17</f>
        <v>0</v>
      </c>
      <c r="AV21" s="39" t="e">
        <f t="shared" si="62"/>
        <v>#DIV/0!</v>
      </c>
      <c r="AX21" s="67"/>
      <c r="AY21" s="48"/>
      <c r="AZ21" s="78"/>
      <c r="BA21" s="67">
        <f>+BA20+BA17</f>
        <v>0</v>
      </c>
      <c r="BB21" s="110">
        <f>BB20+BB17</f>
        <v>4.0000000000000002E-4</v>
      </c>
      <c r="BC21" s="110">
        <f>BC20+BC17</f>
        <v>0</v>
      </c>
      <c r="BD21" s="180" t="e">
        <f t="shared" si="66"/>
        <v>#DIV/0!</v>
      </c>
      <c r="BF21" s="67"/>
      <c r="BG21" s="48"/>
      <c r="BH21" s="78"/>
      <c r="BI21" s="67">
        <f>+BI20+BI17</f>
        <v>0</v>
      </c>
      <c r="BJ21" s="110">
        <f>BJ20+BJ17</f>
        <v>3.1773000000000003E-2</v>
      </c>
      <c r="BK21" s="110">
        <f>BK20+BK17</f>
        <v>0</v>
      </c>
      <c r="BL21" s="39" t="e">
        <f t="shared" si="63"/>
        <v>#DIV/0!</v>
      </c>
      <c r="BN21" s="67"/>
      <c r="BO21" s="48"/>
      <c r="BP21" s="78"/>
      <c r="BQ21" s="67">
        <f>+BQ20+BQ17</f>
        <v>0</v>
      </c>
      <c r="BR21" s="110">
        <f>BR20+BR17</f>
        <v>0.15896399999999999</v>
      </c>
      <c r="BS21" s="110">
        <f>BS20+BS17</f>
        <v>0</v>
      </c>
      <c r="BT21" s="39" t="e">
        <f t="shared" si="64"/>
        <v>#DIV/0!</v>
      </c>
      <c r="BV21" s="67"/>
      <c r="BW21" s="48"/>
      <c r="BX21" s="67"/>
      <c r="BY21" s="89"/>
    </row>
    <row r="22" spans="2:77" ht="13" thickTop="1" x14ac:dyDescent="0.15">
      <c r="B22" s="31">
        <v>6000</v>
      </c>
      <c r="C22" s="1" t="s">
        <v>15</v>
      </c>
      <c r="E22" s="186"/>
      <c r="F22" s="23">
        <f>IF(ISERROR(VLOOKUP($B22,[1]Hedef!$A$4:$ES$45409,75,0)),0,VLOOKUP($B22,[1]Hedef!$A$4:$ES$45409,75,0))</f>
        <v>4.8799999999999996E-2</v>
      </c>
      <c r="G22" s="23" t="str">
        <f t="shared" ref="G22:G29" si="67">IF((E22-F22)&lt;0, "-", (E22-F22))</f>
        <v>-</v>
      </c>
      <c r="H22" s="179" t="e">
        <f t="shared" ref="H22:H29" si="68">TRUNC(IF((F22/E22)&gt;1.2,"120%",(F22/E22)),2)</f>
        <v>#DIV/0!</v>
      </c>
      <c r="J22" s="32">
        <v>0.61780000000000002</v>
      </c>
      <c r="K22" s="11">
        <f t="shared" ref="K22:K29" si="69">IF(ISERROR((F22-J22)/J22),0,(F22-J22)/J22)</f>
        <v>-0.92101003561022987</v>
      </c>
      <c r="M22" s="186"/>
      <c r="N22" s="23">
        <f>IF(ISERROR(VLOOKUP($B22,[1]Hedef!$A$4:$ES$45409,79,0)),0,VLOOKUP($B22,[1]Hedef!$A$4:$ES$45409,79,0))</f>
        <v>0.1988</v>
      </c>
      <c r="O22" s="23" t="str">
        <f t="shared" ref="O22:O29" si="70">IF((M22-N22)&lt;0, "-", (M22-N22))</f>
        <v>-</v>
      </c>
      <c r="P22" s="179" t="e">
        <f t="shared" ref="P22:P27" si="71">TRUNC(IF((N22/M22)&gt;1.2,"120%",(N22/M22)),2)</f>
        <v>#DIV/0!</v>
      </c>
      <c r="R22" s="32">
        <v>4.0107999999999997</v>
      </c>
      <c r="S22" s="11">
        <f t="shared" ref="S22:S56" si="72">IF(ISERROR((N22-R22)/R22),0,(N22-R22)/R22)</f>
        <v>-0.95043382866261095</v>
      </c>
      <c r="U22" s="186"/>
      <c r="V22" s="23">
        <f>IF(ISERROR(VLOOKUP($B22,[1]Hedef!$A$4:$ES$45409,77,0)),0,VLOOKUP($B22,[1]Hedef!$A$4:$ES$45409,77,0))</f>
        <v>2.7199999999999998E-2</v>
      </c>
      <c r="W22" s="23" t="str">
        <f t="shared" ref="W22:W29" si="73">IF((U22-V22)&lt;0, "-", (U22-V22))</f>
        <v>-</v>
      </c>
      <c r="X22" s="179" t="e">
        <f t="shared" ref="X22:X29" si="74">TRUNC(IF((V22/U22)&gt;1.2,"120%",(V22/U22)),2)</f>
        <v>#DIV/0!</v>
      </c>
      <c r="Z22" s="32">
        <v>1.0009999999999999</v>
      </c>
      <c r="AA22" s="11">
        <f t="shared" ref="AA22:AA56" si="75">IF(ISERROR((V22-Z22)/Z22),0,(V22-Z22)/Z22)</f>
        <v>-0.97282717282717279</v>
      </c>
      <c r="AB22" s="72"/>
      <c r="AC22" s="186"/>
      <c r="AD22" s="23">
        <f>IF(ISERROR(VLOOKUP($B22,[1]Hedef!$A$4:$ES$45409,81,0)),0,VLOOKUP($B22,[1]Hedef!$A$4:$ES$45409,81,0))</f>
        <v>0.1608</v>
      </c>
      <c r="AE22" s="23" t="str">
        <f t="shared" ref="AE22:AE29" si="76">IF((AC22-AD22)&lt;0, "-", (AC22-AD22))</f>
        <v>-</v>
      </c>
      <c r="AF22" s="179" t="e">
        <f t="shared" ref="AF22:AF29" si="77">TRUNC(IF((AD22/AC22)&gt;1.2,"120%",(AD22/AC22)),2)</f>
        <v>#DIV/0!</v>
      </c>
      <c r="AH22" s="32">
        <v>0.91299999999999992</v>
      </c>
      <c r="AI22" s="11">
        <f t="shared" ref="AI22:AI29" si="78">IF(ISERROR((AD22-AH22)/AH22),0,(AD22-AH22)/AH22)</f>
        <v>-0.82387732749178533</v>
      </c>
      <c r="AK22" s="186"/>
      <c r="AL22" s="23">
        <f>IF(ISERROR(VLOOKUP($B22,[1]Hedef!$A$4:$ES$45409,73,0)),0,VLOOKUP($B22,[1]Hedef!$A$4:$ES$45409,73,0))</f>
        <v>0.10639999999999999</v>
      </c>
      <c r="AM22" s="23" t="str">
        <f t="shared" ref="AM22:AM29" si="79">IF((AK22-AL22)&lt;0, "-", (AK22-AL22))</f>
        <v>-</v>
      </c>
      <c r="AN22" s="80" t="e">
        <f t="shared" ref="AN22:AN29" si="80">TRUNC(IF((AL22/AK22)&gt;1.2,"120%",(AL22/AK22)),2)</f>
        <v>#DIV/0!</v>
      </c>
      <c r="AO22" s="173"/>
      <c r="AP22" s="32">
        <v>0.49480000000000002</v>
      </c>
      <c r="AQ22" s="11">
        <f t="shared" ref="AQ22:AQ56" si="81">IF(ISERROR((AL22-AP22)/AP22),0,(AL22-AP22)/AP22)</f>
        <v>-0.7849636216653193</v>
      </c>
      <c r="AR22" s="72"/>
      <c r="AS22" s="186"/>
      <c r="AT22" s="23">
        <f>IF(ISERROR(VLOOKUP($B22,[1]Hedef!$A$4:$ES$45409,83,0)),0,VLOOKUP($B22,[1]Hedef!$A$4:$ES$45409,83,0))</f>
        <v>0.1988</v>
      </c>
      <c r="AU22" s="23" t="str">
        <f t="shared" ref="AU22:AU29" si="82">IF((AS22-AT22)&lt;0, "-", (AS22-AT22))</f>
        <v>-</v>
      </c>
      <c r="AV22" s="80" t="e">
        <f t="shared" ref="AV22:AV29" si="83">TRUNC(IF((AT22/AS22)&gt;1.2,"120%",(AT22/AS22)),2)</f>
        <v>#DIV/0!</v>
      </c>
      <c r="AX22" s="32">
        <v>3.2652000000000001</v>
      </c>
      <c r="AY22" s="11">
        <f t="shared" ref="AY22:AY29" si="84">IF(ISERROR((AT22-AX22)/AX22),0,(AT22-AX22)/AX22)</f>
        <v>-0.93911552125444087</v>
      </c>
      <c r="BA22" s="186"/>
      <c r="BB22" s="23">
        <f>IF(ISERROR(VLOOKUP($B22,[1]Hedef!$A$4:$ES$45409,85,0)),0,VLOOKUP($B22,[1]Hedef!$A$4:$ES$45409,85,0))</f>
        <v>0.03</v>
      </c>
      <c r="BC22" s="23" t="str">
        <f t="shared" ref="BC22:BC23" si="85">IF((BA22-BB22)&lt;0, "-", (BA22-BB22))</f>
        <v>-</v>
      </c>
      <c r="BD22" s="179" t="e">
        <f t="shared" si="66"/>
        <v>#DIV/0!</v>
      </c>
      <c r="BF22" s="32"/>
      <c r="BG22" s="11">
        <f t="shared" ref="BG22:BG23" si="86">IF(ISERROR((BB22-BF22)/BF22),0,(BB22-BF22)/BF22)</f>
        <v>0</v>
      </c>
      <c r="BI22" s="22">
        <f t="shared" ref="BI22:BJ29" si="87">+BA22+AS22</f>
        <v>0</v>
      </c>
      <c r="BJ22" s="23">
        <f t="shared" si="87"/>
        <v>0.2288</v>
      </c>
      <c r="BK22" s="23" t="str">
        <f t="shared" ref="BK22:BK23" si="88">IF((BI22-BJ22)&lt;0, "-", (BI22-BJ22))</f>
        <v>-</v>
      </c>
      <c r="BL22" s="80" t="e">
        <f t="shared" si="63"/>
        <v>#DIV/0!</v>
      </c>
      <c r="BN22" s="32">
        <f t="shared" ref="BN22:BN29" si="89">+BF22+AX22</f>
        <v>3.2652000000000001</v>
      </c>
      <c r="BO22" s="11">
        <f t="shared" ref="BO22:BO23" si="90">IF(ISERROR((BJ22-BN22)/BN22),0,(BJ22-BN22)/BN22)</f>
        <v>-0.92992772265098611</v>
      </c>
      <c r="BQ22" s="22">
        <f t="shared" ref="BQ22:BQ29" si="91">+AK22+AC22+M22+E22+U22+AS22+BA22</f>
        <v>0</v>
      </c>
      <c r="BR22" s="23">
        <f>IF(ISERROR(VLOOKUP($B22,[1]Hedef!$A$4:$ES$45409,87,0)),0,VLOOKUP($B22,[1]Hedef!$A$4:$ES$45409,87,0))</f>
        <v>0.77079999999999993</v>
      </c>
      <c r="BS22" s="23" t="str">
        <f t="shared" ref="BS22:BS29" si="92">IF((BQ22-BR22)&lt;0, "-", (BQ22-BR22))</f>
        <v>-</v>
      </c>
      <c r="BT22" s="80" t="e">
        <f t="shared" ref="BT22:BT29" si="93">TRUNC(IF((BR22/BQ22)&gt;1.2,"120%",(BR22/BQ22)),2)</f>
        <v>#DIV/0!</v>
      </c>
      <c r="BV22" s="32">
        <f t="shared" ref="BV22:BV29" si="94">+AX22+AP22+AH22+Z22+R22+J22</f>
        <v>10.3026</v>
      </c>
      <c r="BW22" s="11">
        <f t="shared" ref="BW22:BW56" si="95">IF(ISERROR((BR22-BV22)/BV22),0,(BR22-BV22)/BV22)</f>
        <v>-0.92518393415254407</v>
      </c>
      <c r="BX22" s="127">
        <f>BQ22-'GENEL HEDEF'!CF22</f>
        <v>-9.86</v>
      </c>
      <c r="BY22" s="15">
        <f t="shared" ref="BY22:BY29" si="96">BR22-AL22-AD22-V22-N22-F22-AT22-BB22</f>
        <v>-1.6653345369377348E-16</v>
      </c>
    </row>
    <row r="23" spans="2:77" x14ac:dyDescent="0.15">
      <c r="B23" s="31">
        <v>10</v>
      </c>
      <c r="C23" s="1" t="s">
        <v>16</v>
      </c>
      <c r="E23" s="186"/>
      <c r="F23" s="23">
        <f>IF(ISERROR(VLOOKUP($B23,[1]Hedef!$A$4:$ES$45409,75,0)),0,VLOOKUP($B23,[1]Hedef!$A$4:$ES$45409,75,0))</f>
        <v>0.15129999999999999</v>
      </c>
      <c r="G23" s="23" t="str">
        <f t="shared" si="67"/>
        <v>-</v>
      </c>
      <c r="H23" s="179" t="e">
        <f t="shared" si="68"/>
        <v>#DIV/0!</v>
      </c>
      <c r="J23" s="32">
        <v>2.0860000000000003</v>
      </c>
      <c r="K23" s="11">
        <f t="shared" si="69"/>
        <v>-0.92746883988494733</v>
      </c>
      <c r="M23" s="186"/>
      <c r="N23" s="23">
        <f>IF(ISERROR(VLOOKUP($B23,[1]Hedef!$A$4:$ES$45409,79,0)),0,VLOOKUP($B23,[1]Hedef!$A$4:$ES$45409,79,0))</f>
        <v>0.24750000000000003</v>
      </c>
      <c r="O23" s="23" t="str">
        <f t="shared" si="70"/>
        <v>-</v>
      </c>
      <c r="P23" s="179" t="e">
        <f t="shared" si="71"/>
        <v>#DIV/0!</v>
      </c>
      <c r="R23" s="32">
        <v>3.9693000000000014</v>
      </c>
      <c r="S23" s="11">
        <f t="shared" si="72"/>
        <v>-0.93764643639936518</v>
      </c>
      <c r="U23" s="186"/>
      <c r="V23" s="23">
        <f>IF(ISERROR(VLOOKUP($B23,[1]Hedef!$A$4:$ES$45409,77,0)),0,VLOOKUP($B23,[1]Hedef!$A$4:$ES$45409,77,0))</f>
        <v>5.04E-2</v>
      </c>
      <c r="W23" s="23" t="str">
        <f t="shared" si="73"/>
        <v>-</v>
      </c>
      <c r="X23" s="179" t="e">
        <f t="shared" si="74"/>
        <v>#DIV/0!</v>
      </c>
      <c r="Z23" s="32">
        <v>2.25935</v>
      </c>
      <c r="AA23" s="11">
        <f t="shared" si="75"/>
        <v>-0.97769269922765389</v>
      </c>
      <c r="AB23" s="72"/>
      <c r="AC23" s="186"/>
      <c r="AD23" s="23">
        <f>IF(ISERROR(VLOOKUP($B23,[1]Hedef!$A$4:$ES$45409,81,0)),0,VLOOKUP($B23,[1]Hedef!$A$4:$ES$45409,81,0))</f>
        <v>0.1152</v>
      </c>
      <c r="AE23" s="23" t="str">
        <f t="shared" si="76"/>
        <v>-</v>
      </c>
      <c r="AF23" s="179" t="e">
        <f t="shared" si="77"/>
        <v>#DIV/0!</v>
      </c>
      <c r="AH23" s="32">
        <v>1.3240500000000002</v>
      </c>
      <c r="AI23" s="11">
        <f t="shared" si="78"/>
        <v>-0.91299422227257288</v>
      </c>
      <c r="AK23" s="186"/>
      <c r="AL23" s="23">
        <f>IF(ISERROR(VLOOKUP($B23,[1]Hedef!$A$4:$ES$45409,73,0)),0,VLOOKUP($B23,[1]Hedef!$A$4:$ES$45409,73,0))</f>
        <v>0.18065000000000001</v>
      </c>
      <c r="AM23" s="23" t="str">
        <f t="shared" si="79"/>
        <v>-</v>
      </c>
      <c r="AN23" s="80" t="e">
        <f t="shared" si="80"/>
        <v>#DIV/0!</v>
      </c>
      <c r="AO23" s="173"/>
      <c r="AP23" s="32">
        <v>1.5019499999999999</v>
      </c>
      <c r="AQ23" s="11">
        <f t="shared" si="81"/>
        <v>-0.87972302673191516</v>
      </c>
      <c r="AR23" s="72"/>
      <c r="AS23" s="186"/>
      <c r="AT23" s="23">
        <f>IF(ISERROR(VLOOKUP($B23,[1]Hedef!$A$4:$ES$45409,83,0)),0,VLOOKUP($B23,[1]Hedef!$A$4:$ES$45409,83,0))</f>
        <v>0.53525</v>
      </c>
      <c r="AU23" s="23" t="str">
        <f t="shared" si="82"/>
        <v>-</v>
      </c>
      <c r="AV23" s="80" t="e">
        <f t="shared" si="83"/>
        <v>#DIV/0!</v>
      </c>
      <c r="AX23" s="32">
        <v>6.2730999999999995</v>
      </c>
      <c r="AY23" s="11">
        <f t="shared" si="84"/>
        <v>-0.91467535986992088</v>
      </c>
      <c r="BA23" s="186"/>
      <c r="BB23" s="23">
        <f>IF(ISERROR(VLOOKUP($B23,[1]Hedef!$A$4:$ES$45409,85,0)),0,VLOOKUP($B23,[1]Hedef!$A$4:$ES$45409,85,0))</f>
        <v>1.4200000000000001E-2</v>
      </c>
      <c r="BC23" s="23" t="str">
        <f t="shared" si="85"/>
        <v>-</v>
      </c>
      <c r="BD23" s="179" t="e">
        <f t="shared" si="66"/>
        <v>#DIV/0!</v>
      </c>
      <c r="BF23" s="32"/>
      <c r="BG23" s="11">
        <f t="shared" si="86"/>
        <v>0</v>
      </c>
      <c r="BI23" s="22">
        <f t="shared" si="87"/>
        <v>0</v>
      </c>
      <c r="BJ23" s="23">
        <f t="shared" si="87"/>
        <v>0.54944999999999999</v>
      </c>
      <c r="BK23" s="23" t="str">
        <f t="shared" si="88"/>
        <v>-</v>
      </c>
      <c r="BL23" s="80" t="e">
        <f t="shared" si="63"/>
        <v>#DIV/0!</v>
      </c>
      <c r="BN23" s="32">
        <f t="shared" si="89"/>
        <v>6.2730999999999995</v>
      </c>
      <c r="BO23" s="11">
        <f t="shared" si="90"/>
        <v>-0.91241172625974398</v>
      </c>
      <c r="BQ23" s="22">
        <f t="shared" si="91"/>
        <v>0</v>
      </c>
      <c r="BR23" s="23">
        <f>IF(ISERROR(VLOOKUP($B23,[1]Hedef!$A$4:$ES$45409,87,0)),0,VLOOKUP($B23,[1]Hedef!$A$4:$ES$45409,87,0))</f>
        <v>1.2945000000000002</v>
      </c>
      <c r="BS23" s="23" t="str">
        <f t="shared" si="92"/>
        <v>-</v>
      </c>
      <c r="BT23" s="80" t="e">
        <f t="shared" si="93"/>
        <v>#DIV/0!</v>
      </c>
      <c r="BV23" s="32">
        <f t="shared" si="94"/>
        <v>17.41375</v>
      </c>
      <c r="BW23" s="11">
        <f t="shared" si="95"/>
        <v>-0.92566219223314916</v>
      </c>
      <c r="BX23" s="127">
        <f>BQ23-'GENEL HEDEF'!CF23</f>
        <v>-18.899999999999999</v>
      </c>
      <c r="BY23" s="15">
        <f t="shared" si="96"/>
        <v>2.1163626406917047E-16</v>
      </c>
    </row>
    <row r="24" spans="2:77" x14ac:dyDescent="0.15">
      <c r="B24" s="31">
        <v>60</v>
      </c>
      <c r="C24" s="1" t="s">
        <v>62</v>
      </c>
      <c r="E24" s="186"/>
      <c r="F24" s="23">
        <f>IF(ISERROR(VLOOKUP($B24,[1]Hedef!$A$4:$ES$45409,75,0)),0,VLOOKUP($B24,[1]Hedef!$A$4:$ES$45409,75,0))</f>
        <v>3.6600000000000001E-2</v>
      </c>
      <c r="G24" s="23" t="str">
        <f>IF((E24-F24)&lt;0, "-", (E24-F24))</f>
        <v>-</v>
      </c>
      <c r="H24" s="179" t="e">
        <f t="shared" si="68"/>
        <v>#DIV/0!</v>
      </c>
      <c r="J24" s="32">
        <v>0.26390000000000002</v>
      </c>
      <c r="K24" s="11">
        <f>IF(ISERROR((F24-J24)/J24),0,(F24-J24)/J24)</f>
        <v>-0.86131110269041311</v>
      </c>
      <c r="M24" s="186"/>
      <c r="N24" s="23">
        <f>IF(ISERROR(VLOOKUP($B24,[1]Hedef!$A$4:$ES$45409,79,0)),0,VLOOKUP($B24,[1]Hedef!$A$4:$ES$45409,79,0))</f>
        <v>4.5999999999999999E-2</v>
      </c>
      <c r="O24" s="23" t="str">
        <f>IF((M24-N24)&lt;0, "-", (M24-N24))</f>
        <v>-</v>
      </c>
      <c r="P24" s="179" t="e">
        <f t="shared" si="71"/>
        <v>#DIV/0!</v>
      </c>
      <c r="R24" s="32">
        <v>0.75538000000000016</v>
      </c>
      <c r="S24" s="11">
        <f>IF(ISERROR((N24-R24)/R24),0,(N24-R24)/R24)</f>
        <v>-0.93910349757737821</v>
      </c>
      <c r="U24" s="186"/>
      <c r="V24" s="23">
        <f>IF(ISERROR(VLOOKUP($B24,[1]Hedef!$A$4:$ES$45409,77,0)),0,VLOOKUP($B24,[1]Hedef!$A$4:$ES$45409,77,0))</f>
        <v>2.7800000000000002E-2</v>
      </c>
      <c r="W24" s="23" t="str">
        <f>IF((U24-V24)&lt;0, "-", (U24-V24))</f>
        <v>-</v>
      </c>
      <c r="X24" s="179" t="e">
        <f t="shared" si="74"/>
        <v>#DIV/0!</v>
      </c>
      <c r="Z24" s="32">
        <v>0.36598000000000003</v>
      </c>
      <c r="AA24" s="11">
        <f>IF(ISERROR((V24-Z24)/Z24),0,(V24-Z24)/Z24)</f>
        <v>-0.92403956500355211</v>
      </c>
      <c r="AB24" s="72"/>
      <c r="AC24" s="186"/>
      <c r="AD24" s="23">
        <f>IF(ISERROR(VLOOKUP($B24,[1]Hedef!$A$4:$ES$45409,81,0)),0,VLOOKUP($B24,[1]Hedef!$A$4:$ES$45409,81,0))</f>
        <v>3.3000000000000002E-2</v>
      </c>
      <c r="AE24" s="23" t="str">
        <f>IF((AC24-AD24)&lt;0, "-", (AC24-AD24))</f>
        <v>-</v>
      </c>
      <c r="AF24" s="179" t="e">
        <f t="shared" si="77"/>
        <v>#DIV/0!</v>
      </c>
      <c r="AH24" s="32">
        <v>0.23696</v>
      </c>
      <c r="AI24" s="11">
        <f>IF(ISERROR((AD24-AH24)/AH24),0,(AD24-AH24)/AH24)</f>
        <v>-0.86073598919648886</v>
      </c>
      <c r="AK24" s="186"/>
      <c r="AL24" s="23">
        <f>IF(ISERROR(VLOOKUP($B24,[1]Hedef!$A$4:$ES$45409,73,0)),0,VLOOKUP($B24,[1]Hedef!$A$4:$ES$45409,73,0))</f>
        <v>1.44E-2</v>
      </c>
      <c r="AM24" s="23" t="str">
        <f>IF((AK24-AL24)&lt;0, "-", (AK24-AL24))</f>
        <v>-</v>
      </c>
      <c r="AN24" s="80" t="e">
        <f t="shared" si="80"/>
        <v>#DIV/0!</v>
      </c>
      <c r="AO24" s="173"/>
      <c r="AP24" s="32">
        <v>0.8599</v>
      </c>
      <c r="AQ24" s="11">
        <f>IF(ISERROR((AL24-AP24)/AP24),0,(AL24-AP24)/AP24)</f>
        <v>-0.98325386672868942</v>
      </c>
      <c r="AR24" s="72"/>
      <c r="AS24" s="186"/>
      <c r="AT24" s="23">
        <f>IF(ISERROR(VLOOKUP($B24,[1]Hedef!$A$4:$ES$45409,83,0)),0,VLOOKUP($B24,[1]Hedef!$A$4:$ES$45409,83,0))</f>
        <v>0.13570000000000002</v>
      </c>
      <c r="AU24" s="23" t="str">
        <f>IF((AS24-AT24)&lt;0, "-", (AS24-AT24))</f>
        <v>-</v>
      </c>
      <c r="AV24" s="80" t="e">
        <f t="shared" si="83"/>
        <v>#DIV/0!</v>
      </c>
      <c r="AX24" s="32">
        <v>3.13374</v>
      </c>
      <c r="AY24" s="11">
        <f>IF(ISERROR((AT24-AX24)/AX24),0,(AT24-AX24)/AX24)</f>
        <v>-0.95669710952408304</v>
      </c>
      <c r="BA24" s="186"/>
      <c r="BB24" s="23">
        <f>IF(ISERROR(VLOOKUP($B24,[1]Hedef!$A$4:$ES$45409,85,0)),0,VLOOKUP($B24,[1]Hedef!$A$4:$ES$45409,85,0))</f>
        <v>4.4999999999999998E-2</v>
      </c>
      <c r="BC24" s="23" t="str">
        <f>IF((BA24-BB24)&lt;0, "-", (BA24-BB24))</f>
        <v>-</v>
      </c>
      <c r="BD24" s="179" t="e">
        <f t="shared" si="66"/>
        <v>#DIV/0!</v>
      </c>
      <c r="BF24" s="32"/>
      <c r="BG24" s="11">
        <f>IF(ISERROR((BB24-BF24)/BF24),0,(BB24-BF24)/BF24)</f>
        <v>0</v>
      </c>
      <c r="BI24" s="22">
        <f t="shared" si="87"/>
        <v>0</v>
      </c>
      <c r="BJ24" s="23">
        <f t="shared" si="87"/>
        <v>0.18070000000000003</v>
      </c>
      <c r="BK24" s="23" t="str">
        <f>IF((BI24-BJ24)&lt;0, "-", (BI24-BJ24))</f>
        <v>-</v>
      </c>
      <c r="BL24" s="80" t="e">
        <f t="shared" si="63"/>
        <v>#DIV/0!</v>
      </c>
      <c r="BN24" s="32">
        <f t="shared" si="89"/>
        <v>3.13374</v>
      </c>
      <c r="BO24" s="11">
        <f>IF(ISERROR((BJ24-BN24)/BN24),0,(BJ24-BN24)/BN24)</f>
        <v>-0.94233727112013121</v>
      </c>
      <c r="BQ24" s="22">
        <f t="shared" si="91"/>
        <v>0</v>
      </c>
      <c r="BR24" s="23">
        <f>IF(ISERROR(VLOOKUP($B24,[1]Hedef!$A$4:$ES$45409,87,0)),0,VLOOKUP($B24,[1]Hedef!$A$4:$ES$45409,87,0))</f>
        <v>0.33850000000000002</v>
      </c>
      <c r="BS24" s="23" t="str">
        <f>IF((BQ24-BR24)&lt;0, "-", (BQ24-BR24))</f>
        <v>-</v>
      </c>
      <c r="BT24" s="80" t="e">
        <f t="shared" si="93"/>
        <v>#DIV/0!</v>
      </c>
      <c r="BV24" s="32">
        <f t="shared" si="94"/>
        <v>5.6158599999999996</v>
      </c>
      <c r="BW24" s="11">
        <f>IF(ISERROR((BR24-BV24)/BV24),0,(BR24-BV24)/BV24)</f>
        <v>-0.93972428087594784</v>
      </c>
      <c r="BX24" s="127">
        <f>BQ24-'GENEL HEDEF'!CF24</f>
        <v>-5.8</v>
      </c>
      <c r="BY24" s="15">
        <f t="shared" si="96"/>
        <v>0</v>
      </c>
    </row>
    <row r="25" spans="2:77" x14ac:dyDescent="0.15">
      <c r="B25" s="31">
        <v>45</v>
      </c>
      <c r="C25" s="1" t="s">
        <v>17</v>
      </c>
      <c r="E25" s="189"/>
      <c r="F25" s="23">
        <f>IF(ISERROR(VLOOKUP($B25,[1]Hedef!$A$4:$ES$45409,75,0)),0,VLOOKUP($B25,[1]Hedef!$A$4:$ES$45409,75,0))</f>
        <v>7.5000000000000011E-2</v>
      </c>
      <c r="G25" s="23" t="str">
        <f t="shared" si="67"/>
        <v>-</v>
      </c>
      <c r="H25" s="179" t="e">
        <f t="shared" si="68"/>
        <v>#DIV/0!</v>
      </c>
      <c r="J25" s="32">
        <v>1.7494999999999996</v>
      </c>
      <c r="K25" s="11">
        <f t="shared" si="69"/>
        <v>-0.95713060874535583</v>
      </c>
      <c r="M25" s="186"/>
      <c r="N25" s="23">
        <f>IF(ISERROR(VLOOKUP($B25,[1]Hedef!$A$4:$ES$45409,79,0)),0,VLOOKUP($B25,[1]Hedef!$A$4:$ES$45409,79,0))</f>
        <v>6.4000000000000001E-2</v>
      </c>
      <c r="O25" s="23" t="str">
        <f t="shared" si="70"/>
        <v>-</v>
      </c>
      <c r="P25" s="179" t="e">
        <f t="shared" si="71"/>
        <v>#DIV/0!</v>
      </c>
      <c r="R25" s="32">
        <v>3.4129999999999998</v>
      </c>
      <c r="S25" s="11">
        <f t="shared" si="72"/>
        <v>-0.98124816876648113</v>
      </c>
      <c r="U25" s="186"/>
      <c r="V25" s="23">
        <f>IF(ISERROR(VLOOKUP($B25,[1]Hedef!$A$4:$ES$45409,77,0)),0,VLOOKUP($B25,[1]Hedef!$A$4:$ES$45409,77,0))</f>
        <v>0.29199999999999998</v>
      </c>
      <c r="W25" s="23" t="str">
        <f t="shared" si="73"/>
        <v>-</v>
      </c>
      <c r="X25" s="179" t="e">
        <f t="shared" si="74"/>
        <v>#DIV/0!</v>
      </c>
      <c r="Z25" s="32">
        <v>2.8759999999999999</v>
      </c>
      <c r="AA25" s="11">
        <f t="shared" si="75"/>
        <v>-0.89847009735744099</v>
      </c>
      <c r="AB25" s="72"/>
      <c r="AC25" s="186"/>
      <c r="AD25" s="23">
        <f>IF(ISERROR(VLOOKUP($B25,[1]Hedef!$A$4:$ES$45409,81,0)),0,VLOOKUP($B25,[1]Hedef!$A$4:$ES$45409,81,0))</f>
        <v>0.04</v>
      </c>
      <c r="AE25" s="23" t="str">
        <f t="shared" si="76"/>
        <v>-</v>
      </c>
      <c r="AF25" s="179" t="e">
        <f t="shared" si="77"/>
        <v>#DIV/0!</v>
      </c>
      <c r="AH25" s="32">
        <v>2.1784999999999997</v>
      </c>
      <c r="AI25" s="11">
        <f t="shared" si="78"/>
        <v>-0.9816387422538444</v>
      </c>
      <c r="AK25" s="186"/>
      <c r="AL25" s="23">
        <f>IF(ISERROR(VLOOKUP($B25,[1]Hedef!$A$4:$ES$45409,73,0)),0,VLOOKUP($B25,[1]Hedef!$A$4:$ES$45409,73,0))</f>
        <v>0.26300000000000001</v>
      </c>
      <c r="AM25" s="23" t="str">
        <f t="shared" si="79"/>
        <v>-</v>
      </c>
      <c r="AN25" s="80" t="e">
        <f t="shared" si="80"/>
        <v>#DIV/0!</v>
      </c>
      <c r="AO25" s="173"/>
      <c r="AP25" s="32">
        <v>1.1354999999999997</v>
      </c>
      <c r="AQ25" s="11">
        <f t="shared" si="81"/>
        <v>-0.76838397181858209</v>
      </c>
      <c r="AR25" s="72"/>
      <c r="AS25" s="186"/>
      <c r="AT25" s="23">
        <f>IF(ISERROR(VLOOKUP($B25,[1]Hedef!$A$4:$ES$45409,83,0)),0,VLOOKUP($B25,[1]Hedef!$A$4:$ES$45409,83,0))</f>
        <v>0.27100000000000002</v>
      </c>
      <c r="AU25" s="23" t="str">
        <f t="shared" si="82"/>
        <v>-</v>
      </c>
      <c r="AV25" s="80" t="e">
        <f t="shared" si="83"/>
        <v>#DIV/0!</v>
      </c>
      <c r="AX25" s="32">
        <v>5.5814999999999992</v>
      </c>
      <c r="AY25" s="11">
        <f t="shared" si="84"/>
        <v>-0.95144674370688886</v>
      </c>
      <c r="BA25" s="186"/>
      <c r="BB25" s="23">
        <f>IF(ISERROR(VLOOKUP($B25,[1]Hedef!$A$4:$ES$45409,85,0)),0,VLOOKUP($B25,[1]Hedef!$A$4:$ES$45409,85,0))</f>
        <v>0.06</v>
      </c>
      <c r="BC25" s="23" t="str">
        <f t="shared" ref="BC25:BC29" si="97">IF((BA25-BB25)&lt;0, "-", (BA25-BB25))</f>
        <v>-</v>
      </c>
      <c r="BD25" s="179" t="e">
        <f t="shared" si="66"/>
        <v>#DIV/0!</v>
      </c>
      <c r="BF25" s="32"/>
      <c r="BG25" s="11">
        <f t="shared" ref="BG25:BG29" si="98">IF(ISERROR((BB25-BF25)/BF25),0,(BB25-BF25)/BF25)</f>
        <v>0</v>
      </c>
      <c r="BI25" s="22">
        <f t="shared" si="87"/>
        <v>0</v>
      </c>
      <c r="BJ25" s="23">
        <f t="shared" si="87"/>
        <v>0.33100000000000002</v>
      </c>
      <c r="BK25" s="23" t="str">
        <f t="shared" ref="BK25:BK27" si="99">IF((BI25-BJ25)&lt;0, "-", (BI25-BJ25))</f>
        <v>-</v>
      </c>
      <c r="BL25" s="80" t="e">
        <f t="shared" si="63"/>
        <v>#DIV/0!</v>
      </c>
      <c r="BN25" s="32">
        <f t="shared" si="89"/>
        <v>5.5814999999999992</v>
      </c>
      <c r="BO25" s="11">
        <f t="shared" ref="BO25:BO29" si="100">IF(ISERROR((BJ25-BN25)/BN25),0,(BJ25-BN25)/BN25)</f>
        <v>-0.94069694526560954</v>
      </c>
      <c r="BQ25" s="22">
        <f t="shared" si="91"/>
        <v>0</v>
      </c>
      <c r="BR25" s="23">
        <f>IF(ISERROR(VLOOKUP($B25,[1]Hedef!$A$4:$ES$45409,87,0)),0,VLOOKUP($B25,[1]Hedef!$A$4:$ES$45409,87,0))</f>
        <v>1.0649999999999999</v>
      </c>
      <c r="BS25" s="23" t="str">
        <f t="shared" si="92"/>
        <v>-</v>
      </c>
      <c r="BT25" s="80" t="e">
        <f t="shared" si="93"/>
        <v>#DIV/0!</v>
      </c>
      <c r="BV25" s="32">
        <f t="shared" si="94"/>
        <v>16.933999999999997</v>
      </c>
      <c r="BW25" s="11">
        <f t="shared" si="95"/>
        <v>-0.93710877524506908</v>
      </c>
      <c r="BX25" s="127">
        <f>BQ25-'GENEL HEDEF'!CF25</f>
        <v>-23.98</v>
      </c>
      <c r="BY25" s="15">
        <f t="shared" si="96"/>
        <v>-1.1102230246251565E-16</v>
      </c>
    </row>
    <row r="26" spans="2:77" x14ac:dyDescent="0.15">
      <c r="B26" s="31">
        <v>12</v>
      </c>
      <c r="C26" s="1" t="s">
        <v>18</v>
      </c>
      <c r="E26" s="186"/>
      <c r="F26" s="23">
        <f>IF(ISERROR(VLOOKUP($B26,[1]Hedef!$A$4:$ES$45409,75,0)),0,VLOOKUP($B26,[1]Hedef!$A$4:$ES$45409,75,0))</f>
        <v>0</v>
      </c>
      <c r="G26" s="23">
        <f t="shared" si="67"/>
        <v>0</v>
      </c>
      <c r="H26" s="179" t="e">
        <f t="shared" si="68"/>
        <v>#DIV/0!</v>
      </c>
      <c r="J26" s="32">
        <v>7.0000000000000007E-2</v>
      </c>
      <c r="K26" s="11">
        <f t="shared" si="69"/>
        <v>-1</v>
      </c>
      <c r="M26" s="186"/>
      <c r="N26" s="23">
        <f>IF(ISERROR(VLOOKUP($B26,[1]Hedef!$A$4:$ES$45409,79,0)),0,VLOOKUP($B26,[1]Hedef!$A$4:$ES$45409,79,0))</f>
        <v>2.0299999999999999E-2</v>
      </c>
      <c r="O26" s="23" t="str">
        <f t="shared" si="70"/>
        <v>-</v>
      </c>
      <c r="P26" s="179" t="e">
        <f t="shared" si="71"/>
        <v>#DIV/0!</v>
      </c>
      <c r="R26" s="32">
        <v>0.55635000000000001</v>
      </c>
      <c r="S26" s="11">
        <f t="shared" si="72"/>
        <v>-0.96351217758605201</v>
      </c>
      <c r="U26" s="186"/>
      <c r="V26" s="23">
        <f>IF(ISERROR(VLOOKUP($B26,[1]Hedef!$A$4:$ES$45409,77,0)),0,VLOOKUP($B26,[1]Hedef!$A$4:$ES$45409,77,0))</f>
        <v>0.01</v>
      </c>
      <c r="W26" s="23" t="str">
        <f t="shared" si="73"/>
        <v>-</v>
      </c>
      <c r="X26" s="179" t="e">
        <f t="shared" si="74"/>
        <v>#DIV/0!</v>
      </c>
      <c r="Z26" s="32">
        <v>9.3300000000000008E-2</v>
      </c>
      <c r="AA26" s="11">
        <f t="shared" si="75"/>
        <v>-0.89281886387995724</v>
      </c>
      <c r="AB26" s="72"/>
      <c r="AC26" s="186"/>
      <c r="AD26" s="23">
        <f>IF(ISERROR(VLOOKUP($B26,[1]Hedef!$A$4:$ES$45409,81,0)),0,VLOOKUP($B26,[1]Hedef!$A$4:$ES$45409,81,0))</f>
        <v>1.2E-2</v>
      </c>
      <c r="AE26" s="23" t="str">
        <f t="shared" si="76"/>
        <v>-</v>
      </c>
      <c r="AF26" s="179" t="e">
        <f t="shared" si="77"/>
        <v>#DIV/0!</v>
      </c>
      <c r="AH26" s="32">
        <v>0.03</v>
      </c>
      <c r="AI26" s="11">
        <f t="shared" si="78"/>
        <v>-0.6</v>
      </c>
      <c r="AK26" s="186"/>
      <c r="AL26" s="23">
        <f>IF(ISERROR(VLOOKUP($B26,[1]Hedef!$A$4:$ES$45409,73,0)),0,VLOOKUP($B26,[1]Hedef!$A$4:$ES$45409,73,0))</f>
        <v>4.1399999999999999E-2</v>
      </c>
      <c r="AM26" s="23" t="str">
        <f t="shared" si="79"/>
        <v>-</v>
      </c>
      <c r="AN26" s="80" t="e">
        <f t="shared" si="80"/>
        <v>#DIV/0!</v>
      </c>
      <c r="AO26" s="173"/>
      <c r="AP26" s="32">
        <v>0.70200000000000007</v>
      </c>
      <c r="AQ26" s="11">
        <f t="shared" si="81"/>
        <v>-0.94102564102564101</v>
      </c>
      <c r="AR26" s="72"/>
      <c r="AS26" s="186"/>
      <c r="AT26" s="23">
        <f>IF(ISERROR(VLOOKUP($B26,[1]Hedef!$A$4:$ES$45409,83,0)),0,VLOOKUP($B26,[1]Hedef!$A$4:$ES$45409,83,0))</f>
        <v>1.8700000000000001E-2</v>
      </c>
      <c r="AU26" s="23" t="str">
        <f t="shared" si="82"/>
        <v>-</v>
      </c>
      <c r="AV26" s="80" t="e">
        <f t="shared" si="83"/>
        <v>#DIV/0!</v>
      </c>
      <c r="AX26" s="32">
        <v>0.111</v>
      </c>
      <c r="AY26" s="11">
        <f t="shared" si="84"/>
        <v>-0.83153153153153148</v>
      </c>
      <c r="BA26" s="186"/>
      <c r="BB26" s="23">
        <f>IF(ISERROR(VLOOKUP($B26,[1]Hedef!$A$4:$ES$45409,85,0)),0,VLOOKUP($B26,[1]Hedef!$A$4:$ES$45409,85,0))</f>
        <v>2.4250000000000001E-2</v>
      </c>
      <c r="BC26" s="23" t="str">
        <f t="shared" si="97"/>
        <v>-</v>
      </c>
      <c r="BD26" s="179" t="e">
        <f t="shared" si="66"/>
        <v>#DIV/0!</v>
      </c>
      <c r="BF26" s="32"/>
      <c r="BG26" s="11">
        <f t="shared" si="98"/>
        <v>0</v>
      </c>
      <c r="BI26" s="22">
        <f t="shared" si="87"/>
        <v>0</v>
      </c>
      <c r="BJ26" s="23">
        <f t="shared" si="87"/>
        <v>4.2950000000000002E-2</v>
      </c>
      <c r="BK26" s="23" t="str">
        <f t="shared" si="99"/>
        <v>-</v>
      </c>
      <c r="BL26" s="80" t="e">
        <f t="shared" si="63"/>
        <v>#DIV/0!</v>
      </c>
      <c r="BN26" s="32">
        <f t="shared" si="89"/>
        <v>0.111</v>
      </c>
      <c r="BO26" s="11">
        <f t="shared" si="100"/>
        <v>-0.61306306306306302</v>
      </c>
      <c r="BQ26" s="22">
        <f t="shared" si="91"/>
        <v>0</v>
      </c>
      <c r="BR26" s="23">
        <f>IF(ISERROR(VLOOKUP($B26,[1]Hedef!$A$4:$ES$45409,87,0)),0,VLOOKUP($B26,[1]Hedef!$A$4:$ES$45409,87,0))</f>
        <v>0.12664999999999998</v>
      </c>
      <c r="BS26" s="23" t="str">
        <f t="shared" si="92"/>
        <v>-</v>
      </c>
      <c r="BT26" s="80" t="e">
        <f t="shared" si="93"/>
        <v>#DIV/0!</v>
      </c>
      <c r="BV26" s="32">
        <f t="shared" si="94"/>
        <v>1.5626500000000003</v>
      </c>
      <c r="BW26" s="11">
        <f t="shared" si="95"/>
        <v>-0.91895178062905969</v>
      </c>
      <c r="BX26" s="127">
        <f>BQ26-'GENEL HEDEF'!CF26</f>
        <v>-2.97</v>
      </c>
      <c r="BY26" s="15">
        <f t="shared" si="96"/>
        <v>0</v>
      </c>
    </row>
    <row r="27" spans="2:77" x14ac:dyDescent="0.15">
      <c r="B27" s="31">
        <v>13</v>
      </c>
      <c r="C27" s="1" t="s">
        <v>106</v>
      </c>
      <c r="E27" s="186"/>
      <c r="F27" s="23">
        <f>IF(ISERROR(VLOOKUP($B27,[1]Hedef!$A$4:$ES$45409,75,0)),0,VLOOKUP($B27,[1]Hedef!$A$4:$ES$45409,75,0))</f>
        <v>3.6630000000000003E-2</v>
      </c>
      <c r="G27" s="23" t="str">
        <f t="shared" si="67"/>
        <v>-</v>
      </c>
      <c r="H27" s="179" t="e">
        <f t="shared" si="68"/>
        <v>#DIV/0!</v>
      </c>
      <c r="J27" s="32">
        <v>1.8152899999999998</v>
      </c>
      <c r="K27" s="11">
        <f t="shared" si="69"/>
        <v>-0.97982140594615741</v>
      </c>
      <c r="M27" s="186"/>
      <c r="N27" s="23">
        <f>IF(ISERROR(VLOOKUP($B27,[1]Hedef!$A$4:$ES$45409,79,0)),0,VLOOKUP($B27,[1]Hedef!$A$4:$ES$45409,79,0))</f>
        <v>0.15387999999999999</v>
      </c>
      <c r="O27" s="23" t="str">
        <f t="shared" si="70"/>
        <v>-</v>
      </c>
      <c r="P27" s="179" t="e">
        <f t="shared" si="71"/>
        <v>#DIV/0!</v>
      </c>
      <c r="R27" s="32">
        <v>2.74823</v>
      </c>
      <c r="S27" s="11">
        <f t="shared" si="72"/>
        <v>-0.94400759761737552</v>
      </c>
      <c r="U27" s="186"/>
      <c r="V27" s="23">
        <f>IF(ISERROR(VLOOKUP($B27,[1]Hedef!$A$4:$ES$45409,77,0)),0,VLOOKUP($B27,[1]Hedef!$A$4:$ES$45409,77,0))</f>
        <v>0.66680000000000006</v>
      </c>
      <c r="W27" s="23" t="str">
        <f t="shared" si="73"/>
        <v>-</v>
      </c>
      <c r="X27" s="179" t="e">
        <f t="shared" si="74"/>
        <v>#DIV/0!</v>
      </c>
      <c r="Z27" s="32">
        <v>4.3204199999999995</v>
      </c>
      <c r="AA27" s="11">
        <f t="shared" si="75"/>
        <v>-0.84566315311937257</v>
      </c>
      <c r="AB27" s="72"/>
      <c r="AC27" s="186"/>
      <c r="AD27" s="23">
        <f>IF(ISERROR(VLOOKUP($B27,[1]Hedef!$A$4:$ES$45409,81,0)),0,VLOOKUP($B27,[1]Hedef!$A$4:$ES$45409,81,0))</f>
        <v>0.13</v>
      </c>
      <c r="AE27" s="23" t="str">
        <f t="shared" si="76"/>
        <v>-</v>
      </c>
      <c r="AF27" s="179" t="e">
        <f t="shared" si="77"/>
        <v>#DIV/0!</v>
      </c>
      <c r="AH27" s="32">
        <v>1.5101600000000002</v>
      </c>
      <c r="AI27" s="11">
        <f t="shared" si="78"/>
        <v>-0.91391640620861359</v>
      </c>
      <c r="AK27" s="186"/>
      <c r="AL27" s="23">
        <f>IF(ISERROR(VLOOKUP($B27,[1]Hedef!$A$4:$ES$45409,73,0)),0,VLOOKUP($B27,[1]Hedef!$A$4:$ES$45409,73,0))</f>
        <v>0.26973999999999998</v>
      </c>
      <c r="AM27" s="23" t="str">
        <f t="shared" si="79"/>
        <v>-</v>
      </c>
      <c r="AN27" s="80" t="e">
        <f t="shared" si="80"/>
        <v>#DIV/0!</v>
      </c>
      <c r="AO27" s="173"/>
      <c r="AP27" s="32">
        <v>3.9729000000000001</v>
      </c>
      <c r="AQ27" s="11">
        <f t="shared" si="81"/>
        <v>-0.93210501145259128</v>
      </c>
      <c r="AR27" s="72"/>
      <c r="AS27" s="186"/>
      <c r="AT27" s="23">
        <f>IF(ISERROR(VLOOKUP($B27,[1]Hedef!$A$4:$ES$45409,83,0)),0,VLOOKUP($B27,[1]Hedef!$A$4:$ES$45409,83,0))</f>
        <v>0.30859999999999999</v>
      </c>
      <c r="AU27" s="23" t="str">
        <f t="shared" si="82"/>
        <v>-</v>
      </c>
      <c r="AV27" s="80" t="e">
        <f t="shared" si="83"/>
        <v>#DIV/0!</v>
      </c>
      <c r="AX27" s="32">
        <v>4.8480500000000006</v>
      </c>
      <c r="AY27" s="11">
        <f t="shared" si="84"/>
        <v>-0.93634554099070755</v>
      </c>
      <c r="BA27" s="187"/>
      <c r="BB27" s="23">
        <f>IF(ISERROR(VLOOKUP($B27,[1]Hedef!$A$4:$ES$45409,85,0)),0,VLOOKUP($B27,[1]Hedef!$A$4:$ES$45409,85,0))</f>
        <v>6.1499999999999999E-2</v>
      </c>
      <c r="BC27" s="23" t="str">
        <f t="shared" si="97"/>
        <v>-</v>
      </c>
      <c r="BD27" s="179" t="e">
        <f t="shared" si="66"/>
        <v>#DIV/0!</v>
      </c>
      <c r="BF27" s="32"/>
      <c r="BG27" s="11">
        <f t="shared" si="98"/>
        <v>0</v>
      </c>
      <c r="BI27" s="22">
        <f t="shared" si="87"/>
        <v>0</v>
      </c>
      <c r="BJ27" s="23">
        <f t="shared" si="87"/>
        <v>0.37009999999999998</v>
      </c>
      <c r="BK27" s="23" t="str">
        <f t="shared" si="99"/>
        <v>-</v>
      </c>
      <c r="BL27" s="80" t="e">
        <f t="shared" si="63"/>
        <v>#DIV/0!</v>
      </c>
      <c r="BN27" s="32">
        <f t="shared" si="89"/>
        <v>4.8480500000000006</v>
      </c>
      <c r="BO27" s="11">
        <f t="shared" si="100"/>
        <v>-0.92366002825878446</v>
      </c>
      <c r="BQ27" s="22">
        <f t="shared" si="91"/>
        <v>0</v>
      </c>
      <c r="BR27" s="23">
        <f>IF(ISERROR(VLOOKUP($B27,[1]Hedef!$A$4:$ES$45409,87,0)),0,VLOOKUP($B27,[1]Hedef!$A$4:$ES$45409,87,0))</f>
        <v>1.6271499999999999</v>
      </c>
      <c r="BS27" s="23" t="str">
        <f t="shared" si="92"/>
        <v>-</v>
      </c>
      <c r="BT27" s="80" t="e">
        <f t="shared" si="93"/>
        <v>#DIV/0!</v>
      </c>
      <c r="BV27" s="32">
        <f t="shared" si="94"/>
        <v>19.215050000000002</v>
      </c>
      <c r="BW27" s="11">
        <f t="shared" si="95"/>
        <v>-0.91531898173567072</v>
      </c>
      <c r="BX27" s="127">
        <f>BQ27-'GENEL HEDEF'!CF27</f>
        <v>-9.4</v>
      </c>
      <c r="BY27" s="15">
        <f t="shared" si="96"/>
        <v>-1.6653345369377348E-16</v>
      </c>
    </row>
    <row r="28" spans="2:77" x14ac:dyDescent="0.15">
      <c r="B28" s="31">
        <v>21</v>
      </c>
      <c r="C28" s="1" t="s">
        <v>70</v>
      </c>
      <c r="E28" s="187"/>
      <c r="F28" s="23">
        <f>IF(ISERROR(VLOOKUP($B28,[1]Hedef!$A$4:$ES$45409,75,0)),0,VLOOKUP($B28,[1]Hedef!$A$4:$ES$45409,75,0))</f>
        <v>0</v>
      </c>
      <c r="G28" s="23">
        <f>IF((E28-F28)&lt;0, "-", (E28-F28))</f>
        <v>0</v>
      </c>
      <c r="H28" s="179" t="e">
        <f t="shared" si="68"/>
        <v>#DIV/0!</v>
      </c>
      <c r="J28" s="32">
        <v>0.35</v>
      </c>
      <c r="K28" s="11">
        <f t="shared" si="69"/>
        <v>-1</v>
      </c>
      <c r="M28" s="186"/>
      <c r="N28" s="23">
        <f>IF(ISERROR(VLOOKUP($B28,[1]Hedef!$A$4:$ES$45409,79,0)),0,VLOOKUP($B28,[1]Hedef!$A$4:$ES$45409,79,0))</f>
        <v>0</v>
      </c>
      <c r="O28" s="23">
        <f>IF((M28-N28)&lt;0, "-", (M28-N28))</f>
        <v>0</v>
      </c>
      <c r="P28" s="179"/>
      <c r="R28" s="32">
        <v>0.2</v>
      </c>
      <c r="S28" s="11">
        <f>IF(ISERROR((N28-R28)/R28),0,(N28-R28)/R28)</f>
        <v>-1</v>
      </c>
      <c r="U28" s="186"/>
      <c r="V28" s="23">
        <f>IF(ISERROR(VLOOKUP($B28,[1]Hedef!$A$4:$ES$45409,77,0)),0,VLOOKUP($B28,[1]Hedef!$A$4:$ES$45409,77,0))</f>
        <v>0</v>
      </c>
      <c r="W28" s="23">
        <f>IF((U28-V28)&lt;0, "-", (U28-V28))</f>
        <v>0</v>
      </c>
      <c r="X28" s="179" t="e">
        <f t="shared" si="74"/>
        <v>#DIV/0!</v>
      </c>
      <c r="Z28" s="32">
        <v>1.2749999999999999</v>
      </c>
      <c r="AA28" s="11">
        <f>IF(ISERROR((V28-Z28)/Z28),0,(V28-Z28)/Z28)</f>
        <v>-1</v>
      </c>
      <c r="AB28" s="72"/>
      <c r="AC28" s="186"/>
      <c r="AD28" s="23">
        <f>IF(ISERROR(VLOOKUP($B28,[1]Hedef!$A$4:$ES$45409,81,0)),0,VLOOKUP($B28,[1]Hedef!$A$4:$ES$45409,81,0))</f>
        <v>1.3</v>
      </c>
      <c r="AE28" s="23" t="str">
        <f t="shared" si="76"/>
        <v>-</v>
      </c>
      <c r="AF28" s="179" t="e">
        <f t="shared" si="77"/>
        <v>#DIV/0!</v>
      </c>
      <c r="AH28" s="32">
        <v>10.975</v>
      </c>
      <c r="AI28" s="11">
        <f t="shared" si="78"/>
        <v>-0.88154897494305229</v>
      </c>
      <c r="AK28" s="186"/>
      <c r="AL28" s="23">
        <f>IF(ISERROR(VLOOKUP($B28,[1]Hedef!$A$4:$ES$45409,73,0)),0,VLOOKUP($B28,[1]Hedef!$A$4:$ES$45409,73,0))</f>
        <v>0</v>
      </c>
      <c r="AM28" s="23">
        <f>IF((AK28-AL28)&lt;0, "-", (AK28-AL28))</f>
        <v>0</v>
      </c>
      <c r="AN28" s="80" t="e">
        <f t="shared" si="80"/>
        <v>#DIV/0!</v>
      </c>
      <c r="AO28" s="173"/>
      <c r="AP28" s="32">
        <v>0.05</v>
      </c>
      <c r="AQ28" s="11">
        <f>IF(ISERROR((AL28-AP28)/AP28),0,(AL28-AP28)/AP28)</f>
        <v>-1</v>
      </c>
      <c r="AR28" s="72"/>
      <c r="AS28" s="186"/>
      <c r="AT28" s="23">
        <f>IF(ISERROR(VLOOKUP($B28,[1]Hedef!$A$4:$ES$45409,83,0)),0,VLOOKUP($B28,[1]Hedef!$A$4:$ES$45409,83,0))</f>
        <v>0</v>
      </c>
      <c r="AU28" s="23">
        <f t="shared" si="82"/>
        <v>0</v>
      </c>
      <c r="AV28" s="80"/>
      <c r="AX28" s="32">
        <v>0.92500000000000004</v>
      </c>
      <c r="AY28" s="11">
        <f t="shared" si="84"/>
        <v>-1</v>
      </c>
      <c r="BA28" s="186"/>
      <c r="BB28" s="23">
        <f>IF(ISERROR(VLOOKUP($B28,[1]Hedef!$A$4:$ES$45409,85,0)),0,VLOOKUP($B28,[1]Hedef!$A$4:$ES$45409,85,0))</f>
        <v>0.05</v>
      </c>
      <c r="BC28" s="23" t="str">
        <f t="shared" si="97"/>
        <v>-</v>
      </c>
      <c r="BD28" s="179" t="e">
        <f t="shared" si="66"/>
        <v>#DIV/0!</v>
      </c>
      <c r="BF28" s="32"/>
      <c r="BG28" s="11">
        <f t="shared" si="98"/>
        <v>0</v>
      </c>
      <c r="BI28" s="22">
        <f t="shared" si="87"/>
        <v>0</v>
      </c>
      <c r="BJ28" s="23">
        <f t="shared" si="87"/>
        <v>0.05</v>
      </c>
      <c r="BK28" s="23" t="str">
        <f>IF((BI28-BJ28)&lt;0, "-", (BI28-BJ28))</f>
        <v>-</v>
      </c>
      <c r="BL28" s="80" t="e">
        <f t="shared" si="63"/>
        <v>#DIV/0!</v>
      </c>
      <c r="BN28" s="32">
        <f t="shared" si="89"/>
        <v>0.92500000000000004</v>
      </c>
      <c r="BO28" s="11">
        <f t="shared" si="100"/>
        <v>-0.94594594594594594</v>
      </c>
      <c r="BQ28" s="22">
        <f t="shared" si="91"/>
        <v>0</v>
      </c>
      <c r="BR28" s="23">
        <f>IF(ISERROR(VLOOKUP($B28,[1]Hedef!$A$4:$ES$45409,87,0)),0,VLOOKUP($B28,[1]Hedef!$A$4:$ES$45409,87,0))</f>
        <v>1.3499999999999999</v>
      </c>
      <c r="BS28" s="23" t="str">
        <f>IF((BQ28-BR28)&lt;0, "-", (BQ28-BR28))</f>
        <v>-</v>
      </c>
      <c r="BT28" s="80" t="e">
        <f t="shared" si="93"/>
        <v>#DIV/0!</v>
      </c>
      <c r="BV28" s="32">
        <f t="shared" si="94"/>
        <v>13.774999999999999</v>
      </c>
      <c r="BW28" s="11">
        <f>IF(ISERROR((BR28-BV28)/BV28),0,(BR28-BV28)/BV28)</f>
        <v>-0.90199637023593471</v>
      </c>
      <c r="BX28" s="127">
        <f>BQ28-'GENEL HEDEF'!CF28</f>
        <v>-2.5</v>
      </c>
      <c r="BY28" s="15">
        <f t="shared" si="96"/>
        <v>-1.8041124150158794E-16</v>
      </c>
    </row>
    <row r="29" spans="2:77" ht="13" thickBot="1" x14ac:dyDescent="0.2">
      <c r="B29" s="31">
        <v>40</v>
      </c>
      <c r="C29" s="1" t="s">
        <v>19</v>
      </c>
      <c r="E29" s="186"/>
      <c r="F29" s="23">
        <f>IF(ISERROR(VLOOKUP($B29,[1]Hedef!$A$4:$ES$45409,75,0)),0,VLOOKUP($B29,[1]Hedef!$A$4:$ES$45409,75,0))</f>
        <v>2.5000000000000001E-2</v>
      </c>
      <c r="G29" s="23" t="str">
        <f t="shared" si="67"/>
        <v>-</v>
      </c>
      <c r="H29" s="179" t="e">
        <f t="shared" si="68"/>
        <v>#DIV/0!</v>
      </c>
      <c r="J29" s="32">
        <v>0.15</v>
      </c>
      <c r="K29" s="11">
        <f t="shared" si="69"/>
        <v>-0.83333333333333337</v>
      </c>
      <c r="M29" s="186"/>
      <c r="N29" s="23">
        <f>IF(ISERROR(VLOOKUP($B29,[1]Hedef!$A$4:$ES$45409,79,0)),0,VLOOKUP($B29,[1]Hedef!$A$4:$ES$45409,79,0))</f>
        <v>0</v>
      </c>
      <c r="O29" s="23">
        <f t="shared" si="70"/>
        <v>0</v>
      </c>
      <c r="P29" s="179"/>
      <c r="R29" s="32">
        <v>0.375</v>
      </c>
      <c r="S29" s="11">
        <f t="shared" si="72"/>
        <v>-1</v>
      </c>
      <c r="U29" s="186"/>
      <c r="V29" s="23">
        <f>IF(ISERROR(VLOOKUP($B29,[1]Hedef!$A$4:$ES$45409,77,0)),0,VLOOKUP($B29,[1]Hedef!$A$4:$ES$45409,77,0))</f>
        <v>0</v>
      </c>
      <c r="W29" s="23">
        <f t="shared" si="73"/>
        <v>0</v>
      </c>
      <c r="X29" s="179" t="e">
        <f t="shared" si="74"/>
        <v>#DIV/0!</v>
      </c>
      <c r="Z29" s="32">
        <v>0.54</v>
      </c>
      <c r="AA29" s="11">
        <f t="shared" si="75"/>
        <v>-1</v>
      </c>
      <c r="AB29" s="72"/>
      <c r="AC29" s="186"/>
      <c r="AD29" s="23">
        <f>IF(ISERROR(VLOOKUP($B29,[1]Hedef!$A$4:$ES$45409,81,0)),0,VLOOKUP($B29,[1]Hedef!$A$4:$ES$45409,81,0))</f>
        <v>2.5000000000000001E-2</v>
      </c>
      <c r="AE29" s="23" t="str">
        <f t="shared" si="76"/>
        <v>-</v>
      </c>
      <c r="AF29" s="179" t="e">
        <f t="shared" si="77"/>
        <v>#DIV/0!</v>
      </c>
      <c r="AH29" s="32">
        <v>0.45</v>
      </c>
      <c r="AI29" s="11">
        <f t="shared" si="78"/>
        <v>-0.94444444444444442</v>
      </c>
      <c r="AK29" s="189"/>
      <c r="AL29" s="23">
        <f>IF(ISERROR(VLOOKUP($B29,[1]Hedef!$A$4:$ES$45409,73,0)),0,VLOOKUP($B29,[1]Hedef!$A$4:$ES$45409,73,0))</f>
        <v>0.15000000000000002</v>
      </c>
      <c r="AM29" s="23" t="str">
        <f t="shared" si="79"/>
        <v>-</v>
      </c>
      <c r="AN29" s="80" t="e">
        <f t="shared" si="80"/>
        <v>#DIV/0!</v>
      </c>
      <c r="AO29" s="173"/>
      <c r="AP29" s="32">
        <v>0.54999999999999993</v>
      </c>
      <c r="AQ29" s="11">
        <f t="shared" si="81"/>
        <v>-0.72727272727272718</v>
      </c>
      <c r="AR29" s="72"/>
      <c r="AS29" s="186"/>
      <c r="AT29" s="23">
        <f>IF(ISERROR(VLOOKUP($B29,[1]Hedef!$A$4:$ES$45409,83,0)),0,VLOOKUP($B29,[1]Hedef!$A$4:$ES$45409,83,0))</f>
        <v>0</v>
      </c>
      <c r="AU29" s="23">
        <f t="shared" si="82"/>
        <v>0</v>
      </c>
      <c r="AV29" s="80" t="e">
        <f t="shared" si="83"/>
        <v>#DIV/0!</v>
      </c>
      <c r="AX29" s="32">
        <v>1.135</v>
      </c>
      <c r="AY29" s="11">
        <f t="shared" si="84"/>
        <v>-1</v>
      </c>
      <c r="BA29" s="186"/>
      <c r="BB29" s="23">
        <f>IF(ISERROR(VLOOKUP($B29,[1]Hedef!$A$4:$ES$45409,85,0)),0,VLOOKUP($B29,[1]Hedef!$A$4:$ES$45409,85,0))</f>
        <v>0</v>
      </c>
      <c r="BC29" s="23">
        <f t="shared" si="97"/>
        <v>0</v>
      </c>
      <c r="BD29" s="179" t="e">
        <f t="shared" si="66"/>
        <v>#DIV/0!</v>
      </c>
      <c r="BF29" s="32"/>
      <c r="BG29" s="11">
        <f t="shared" si="98"/>
        <v>0</v>
      </c>
      <c r="BI29" s="22">
        <f t="shared" si="87"/>
        <v>0</v>
      </c>
      <c r="BJ29" s="23">
        <f t="shared" si="87"/>
        <v>0</v>
      </c>
      <c r="BK29" s="23">
        <f t="shared" ref="BK29" si="101">IF((BI29-BJ29)&lt;0, "-", (BI29-BJ29))</f>
        <v>0</v>
      </c>
      <c r="BL29" s="80" t="e">
        <f t="shared" si="63"/>
        <v>#DIV/0!</v>
      </c>
      <c r="BN29" s="32">
        <f t="shared" si="89"/>
        <v>1.135</v>
      </c>
      <c r="BO29" s="11">
        <f t="shared" si="100"/>
        <v>-1</v>
      </c>
      <c r="BQ29" s="22">
        <f t="shared" si="91"/>
        <v>0</v>
      </c>
      <c r="BR29" s="23">
        <f>IF(ISERROR(VLOOKUP($B29,[1]Hedef!$A$4:$ES$45409,87,0)),0,VLOOKUP($B29,[1]Hedef!$A$4:$ES$45409,87,0))</f>
        <v>0.2</v>
      </c>
      <c r="BS29" s="23" t="str">
        <f t="shared" si="92"/>
        <v>-</v>
      </c>
      <c r="BT29" s="80" t="e">
        <f t="shared" si="93"/>
        <v>#DIV/0!</v>
      </c>
      <c r="BV29" s="32">
        <f t="shared" si="94"/>
        <v>3.2</v>
      </c>
      <c r="BW29" s="11">
        <f t="shared" si="95"/>
        <v>-0.9375</v>
      </c>
      <c r="BX29" s="127">
        <f>BQ29-'GENEL HEDEF'!CF29</f>
        <v>-3.22</v>
      </c>
      <c r="BY29" s="15">
        <f t="shared" si="96"/>
        <v>-1.3877787807814457E-17</v>
      </c>
    </row>
    <row r="30" spans="2:77" ht="14" thickTop="1" thickBot="1" x14ac:dyDescent="0.2">
      <c r="B30" s="18"/>
      <c r="C30" s="2" t="s">
        <v>20</v>
      </c>
      <c r="E30" s="67">
        <f>SUM(E22:E29)</f>
        <v>0</v>
      </c>
      <c r="F30" s="67">
        <f>SUM(F22:F29)</f>
        <v>0.37333</v>
      </c>
      <c r="G30" s="67">
        <f>SUM(G22:G29)</f>
        <v>0</v>
      </c>
      <c r="H30" s="180" t="e">
        <f>TRUNC(IF((F30/E30)&gt;1.2,"120%",(F30/E30)),2)</f>
        <v>#DIV/0!</v>
      </c>
      <c r="I30" s="78"/>
      <c r="J30" s="40"/>
      <c r="K30" s="48"/>
      <c r="L30" s="78"/>
      <c r="M30" s="67">
        <f>SUM(M22:M29)</f>
        <v>0</v>
      </c>
      <c r="N30" s="67">
        <f>SUM(N22:N29)</f>
        <v>0.73048000000000002</v>
      </c>
      <c r="O30" s="67">
        <f>SUM(O22:O29)</f>
        <v>0</v>
      </c>
      <c r="P30" s="180" t="e">
        <f>TRUNC(IF((N30/M30)&gt;1.2,"120%",(N30/M30)),2)</f>
        <v>#DIV/0!</v>
      </c>
      <c r="Q30" s="78"/>
      <c r="R30" s="40"/>
      <c r="S30" s="48"/>
      <c r="T30" s="78"/>
      <c r="U30" s="67">
        <f>SUM(U22:U29)</f>
        <v>0</v>
      </c>
      <c r="V30" s="67">
        <f>SUM(V22:V29)</f>
        <v>1.0742</v>
      </c>
      <c r="W30" s="67">
        <f>SUM(W22:W29)</f>
        <v>0</v>
      </c>
      <c r="X30" s="180" t="e">
        <f>TRUNC(IF((V30/U30)&gt;1.2,"120%",(V30/U30)),2)</f>
        <v>#DIV/0!</v>
      </c>
      <c r="Y30" s="78"/>
      <c r="Z30" s="40"/>
      <c r="AA30" s="48"/>
      <c r="AB30" s="114"/>
      <c r="AC30" s="67">
        <f>SUM(AC22:AC29)</f>
        <v>0</v>
      </c>
      <c r="AD30" s="67">
        <f>SUM(AD22:AD29)</f>
        <v>1.8160000000000001</v>
      </c>
      <c r="AE30" s="67">
        <f>SUM(AE22:AE29)</f>
        <v>0</v>
      </c>
      <c r="AF30" s="180" t="e">
        <f>TRUNC(IF((AD30/AC30)&gt;1.2,"120%",(AD30/AC30)),2)</f>
        <v>#DIV/0!</v>
      </c>
      <c r="AG30" s="78"/>
      <c r="AH30" s="40"/>
      <c r="AI30" s="48"/>
      <c r="AJ30" s="78"/>
      <c r="AK30" s="67">
        <f>SUM(AK22:AK29)</f>
        <v>0</v>
      </c>
      <c r="AL30" s="67">
        <f>SUM(AL22:AL29)</f>
        <v>1.0255900000000002</v>
      </c>
      <c r="AM30" s="67">
        <f>SUM(AM22:AM29)</f>
        <v>0</v>
      </c>
      <c r="AN30" s="39" t="e">
        <f>TRUNC(IF((AL30/AK30)&gt;1.2,"120%",(AL30/AK30)),2)</f>
        <v>#DIV/0!</v>
      </c>
      <c r="AO30" s="174"/>
      <c r="AP30" s="67"/>
      <c r="AQ30" s="48"/>
      <c r="AR30" s="74"/>
      <c r="AS30" s="67">
        <f>SUM(AS22:AS29)</f>
        <v>0</v>
      </c>
      <c r="AT30" s="67">
        <f>SUM(AT22:AT29)</f>
        <v>1.4680500000000001</v>
      </c>
      <c r="AU30" s="67">
        <f>SUM(AU22:AU29)</f>
        <v>0</v>
      </c>
      <c r="AV30" s="39" t="e">
        <f>TRUNC(IF((AT30/AS30)&gt;1.2,"120%",(AT30/AS30)),2)</f>
        <v>#DIV/0!</v>
      </c>
      <c r="AX30" s="67"/>
      <c r="AY30" s="48"/>
      <c r="AZ30" s="78"/>
      <c r="BA30" s="67">
        <f>SUM(BA22:BA29)</f>
        <v>0</v>
      </c>
      <c r="BB30" s="67">
        <f>SUM(BB22:BB29)</f>
        <v>0.28494999999999998</v>
      </c>
      <c r="BC30" s="67">
        <f>SUM(BC22:BC29)</f>
        <v>0</v>
      </c>
      <c r="BD30" s="180" t="e">
        <f>TRUNC(IF((BB30/BA30)&gt;1.2,"120%",(BB30/BA30)),2)</f>
        <v>#DIV/0!</v>
      </c>
      <c r="BF30" s="67"/>
      <c r="BG30" s="48"/>
      <c r="BH30" s="78"/>
      <c r="BI30" s="67">
        <f>SUM(BI22:BI29)</f>
        <v>0</v>
      </c>
      <c r="BJ30" s="67">
        <f>SUM(BJ22:BJ29)</f>
        <v>1.7529999999999999</v>
      </c>
      <c r="BK30" s="67">
        <f>SUM(BK22:BK29)</f>
        <v>0</v>
      </c>
      <c r="BL30" s="39" t="e">
        <f>TRUNC(IF((BJ30/BI30)&gt;1.2,"120%",(BJ30/BI30)),2)</f>
        <v>#DIV/0!</v>
      </c>
      <c r="BN30" s="67"/>
      <c r="BO30" s="48"/>
      <c r="BP30" s="78"/>
      <c r="BQ30" s="67">
        <f>SUM(BQ22:BQ29)</f>
        <v>0</v>
      </c>
      <c r="BR30" s="67">
        <f>SUM(BR22:BR29)</f>
        <v>6.7725999999999997</v>
      </c>
      <c r="BS30" s="67">
        <f>SUM(BS22:BS29)</f>
        <v>0</v>
      </c>
      <c r="BT30" s="39" t="e">
        <f>TRUNC(IF((BR30/BQ30)&gt;1.2,"120%",(BR30/BQ30)),2)</f>
        <v>#DIV/0!</v>
      </c>
      <c r="BV30" s="67"/>
      <c r="BW30" s="48"/>
      <c r="BX30" s="67"/>
      <c r="BY30" s="89"/>
    </row>
    <row r="31" spans="2:77" ht="13" thickTop="1" x14ac:dyDescent="0.15">
      <c r="B31" s="18">
        <v>15</v>
      </c>
      <c r="C31" s="1" t="s">
        <v>21</v>
      </c>
      <c r="E31" s="186"/>
      <c r="F31" s="23">
        <f>IF(ISERROR(VLOOKUP($B31,[1]Hedef!$A$4:$ES$45409,75,0)),0,VLOOKUP($B31,[1]Hedef!$A$4:$ES$45409,75,0))</f>
        <v>8.7400000000000012E-3</v>
      </c>
      <c r="G31" s="23" t="str">
        <f t="shared" ref="G31:G38" si="102">IF((E31-F31)&lt;0, "-", (E31-F31))</f>
        <v>-</v>
      </c>
      <c r="H31" s="179" t="e">
        <f t="shared" ref="H31:H38" si="103">TRUNC(IF((F31/E31)&gt;1.2,"120%",(F31/E31)),2)</f>
        <v>#DIV/0!</v>
      </c>
      <c r="J31" s="32">
        <v>0.28115999999999997</v>
      </c>
      <c r="K31" s="11">
        <f>IF(ISERROR((F31-J31)/J31),0,(F31-J31)/J31)</f>
        <v>-0.96891449708351107</v>
      </c>
      <c r="M31" s="186"/>
      <c r="N31" s="23">
        <f>IF(ISERROR(VLOOKUP($B31,[1]Hedef!$A$4:$ES$45409,79,0)),0,VLOOKUP($B31,[1]Hedef!$A$4:$ES$45409,79,0))</f>
        <v>7.4000000000000003E-3</v>
      </c>
      <c r="O31" s="23" t="str">
        <f t="shared" ref="O31:O38" si="104">IF((M31-N31)&lt;0, "-", (M31-N31))</f>
        <v>-</v>
      </c>
      <c r="P31" s="179" t="e">
        <f t="shared" ref="P31:P38" si="105">TRUNC(IF((N31/M31)&gt;1.2,"120%",(N31/M31)),2)</f>
        <v>#DIV/0!</v>
      </c>
      <c r="R31" s="32">
        <v>0.30358000000000002</v>
      </c>
      <c r="S31" s="11">
        <f t="shared" si="72"/>
        <v>-0.97562421766914809</v>
      </c>
      <c r="U31" s="186"/>
      <c r="V31" s="23">
        <f>IF(ISERROR(VLOOKUP($B31,[1]Hedef!$A$4:$ES$45409,77,0)),0,VLOOKUP($B31,[1]Hedef!$A$4:$ES$45409,77,0))</f>
        <v>3.9960000000000002E-2</v>
      </c>
      <c r="W31" s="23" t="str">
        <f t="shared" ref="W31:W38" si="106">IF((U31-V31)&lt;0, "-", (U31-V31))</f>
        <v>-</v>
      </c>
      <c r="X31" s="179" t="e">
        <f t="shared" ref="X31:X38" si="107">TRUNC(IF((V31/U31)&gt;1.2,"120%",(V31/U31)),2)</f>
        <v>#DIV/0!</v>
      </c>
      <c r="Z31" s="32">
        <v>0.73336500000000004</v>
      </c>
      <c r="AA31" s="11">
        <f t="shared" si="75"/>
        <v>-0.94551144382401675</v>
      </c>
      <c r="AB31" s="72"/>
      <c r="AC31" s="186"/>
      <c r="AD31" s="23">
        <f>IF(ISERROR(VLOOKUP($B31,[1]Hedef!$A$4:$ES$45409,81,0)),0,VLOOKUP($B31,[1]Hedef!$A$4:$ES$45409,81,0))</f>
        <v>3.27E-2</v>
      </c>
      <c r="AE31" s="23" t="str">
        <f t="shared" ref="AE31:AE38" si="108">IF((AC31-AD31)&lt;0, "-", (AC31-AD31))</f>
        <v>-</v>
      </c>
      <c r="AF31" s="179" t="e">
        <f t="shared" ref="AF31:AF38" si="109">TRUNC(IF((AD31/AC31)&gt;1.2,"120%",(AD31/AC31)),2)</f>
        <v>#DIV/0!</v>
      </c>
      <c r="AH31" s="32">
        <v>0.36387499999999995</v>
      </c>
      <c r="AI31" s="11">
        <f>IF(ISERROR((AD31-AH31)/AH31),0,(AD31-AH31)/AH31)</f>
        <v>-0.91013397457918233</v>
      </c>
      <c r="AK31" s="186"/>
      <c r="AL31" s="23">
        <f>IF(ISERROR(VLOOKUP($B31,[1]Hedef!$A$4:$ES$45409,73,0)),0,VLOOKUP($B31,[1]Hedef!$A$4:$ES$45409,73,0))</f>
        <v>3.4419999999999999E-2</v>
      </c>
      <c r="AM31" s="23" t="str">
        <f t="shared" ref="AM31:AM38" si="110">IF((AK31-AL31)&lt;0, "-", (AK31-AL31))</f>
        <v>-</v>
      </c>
      <c r="AN31" s="80" t="e">
        <f t="shared" ref="AN31:AN38" si="111">TRUNC(IF((AL31/AK31)&gt;1.2,"120%",(AL31/AK31)),2)</f>
        <v>#DIV/0!</v>
      </c>
      <c r="AO31" s="173"/>
      <c r="AP31" s="32">
        <v>0.142815</v>
      </c>
      <c r="AQ31" s="11">
        <f t="shared" si="81"/>
        <v>-0.75898890172600908</v>
      </c>
      <c r="AR31" s="72"/>
      <c r="AS31" s="186"/>
      <c r="AT31" s="23">
        <f>IF(ISERROR(VLOOKUP($B31,[1]Hedef!$A$4:$ES$45409,83,0)),0,VLOOKUP($B31,[1]Hedef!$A$4:$ES$45409,83,0))</f>
        <v>1.44E-2</v>
      </c>
      <c r="AU31" s="23" t="str">
        <f t="shared" ref="AU31:AU38" si="112">IF((AS31-AT31)&lt;0, "-", (AS31-AT31))</f>
        <v>-</v>
      </c>
      <c r="AV31" s="80" t="e">
        <f t="shared" ref="AV31:AV38" si="113">TRUNC(IF((AT31/AS31)&gt;1.2,"120%",(AT31/AS31)),2)</f>
        <v>#DIV/0!</v>
      </c>
      <c r="AX31" s="32">
        <v>1.285175</v>
      </c>
      <c r="AY31" s="11">
        <f t="shared" ref="AY31:AY38" si="114">IF(ISERROR((AT31-AX31)/AX31),0,(AT31-AX31)/AX31)</f>
        <v>-0.98879530025093865</v>
      </c>
      <c r="BA31" s="186"/>
      <c r="BB31" s="23">
        <f>IF(ISERROR(VLOOKUP($B31,[1]Hedef!$A$4:$ES$45409,85,0)),0,VLOOKUP($B31,[1]Hedef!$A$4:$ES$45409,85,0))</f>
        <v>0</v>
      </c>
      <c r="BC31" s="23">
        <f t="shared" ref="BC31:BC38" si="115">IF((BA31-BB31)&lt;0, "-", (BA31-BB31))</f>
        <v>0</v>
      </c>
      <c r="BD31" s="179" t="e">
        <f t="shared" ref="BD31:BD38" si="116">TRUNC(IF((BB31/BA31)&gt;1.2,"120%",(BB31/BA31)),2)</f>
        <v>#DIV/0!</v>
      </c>
      <c r="BF31" s="32"/>
      <c r="BG31" s="11">
        <f t="shared" ref="BG31:BG38" si="117">IF(ISERROR((BB31-BF31)/BF31),0,(BB31-BF31)/BF31)</f>
        <v>0</v>
      </c>
      <c r="BI31" s="22">
        <f t="shared" ref="BI31:BJ38" si="118">+BA31+AS31</f>
        <v>0</v>
      </c>
      <c r="BJ31" s="23">
        <f t="shared" si="118"/>
        <v>1.44E-2</v>
      </c>
      <c r="BK31" s="23" t="str">
        <f t="shared" ref="BK31" si="119">IF((BI31-BJ31)&lt;0, "-", (BI31-BJ31))</f>
        <v>-</v>
      </c>
      <c r="BL31" s="80" t="e">
        <f t="shared" ref="BL31:BL38" si="120">TRUNC(IF((BJ31/BI31)&gt;1.2,"120%",(BJ31/BI31)),2)</f>
        <v>#DIV/0!</v>
      </c>
      <c r="BN31" s="32">
        <f t="shared" ref="BN31:BN38" si="121">+BF31+AX31</f>
        <v>1.285175</v>
      </c>
      <c r="BO31" s="11">
        <f t="shared" ref="BO31:BO38" si="122">IF(ISERROR((BJ31-BN31)/BN31),0,(BJ31-BN31)/BN31)</f>
        <v>-0.98879530025093865</v>
      </c>
      <c r="BQ31" s="22">
        <f t="shared" ref="BQ31:BQ38" si="123">+AK31+AC31+M31+E31+U31+AS31+BA31</f>
        <v>0</v>
      </c>
      <c r="BR31" s="23">
        <f>IF(ISERROR(VLOOKUP($B31,[1]Hedef!$A$4:$ES$45409,87,0)),0,VLOOKUP($B31,[1]Hedef!$A$4:$ES$45409,87,0))</f>
        <v>0.13761999999999999</v>
      </c>
      <c r="BS31" s="23" t="str">
        <f t="shared" ref="BS31:BS38" si="124">IF((BQ31-BR31)&lt;0, "-", (BQ31-BR31))</f>
        <v>-</v>
      </c>
      <c r="BT31" s="80" t="e">
        <f t="shared" ref="BT31:BT38" si="125">TRUNC(IF((BR31/BQ31)&gt;1.2,"120%",(BR31/BQ31)),2)</f>
        <v>#DIV/0!</v>
      </c>
      <c r="BV31" s="32">
        <f t="shared" ref="BV31:BV38" si="126">+AX31+AP31+AH31+Z31+R31+J31</f>
        <v>3.1099699999999997</v>
      </c>
      <c r="BW31" s="11">
        <f t="shared" si="95"/>
        <v>-0.9557487692807326</v>
      </c>
      <c r="BX31" s="127">
        <f>BQ31-'GENEL HEDEF'!CF31</f>
        <v>-3.25</v>
      </c>
      <c r="BY31" s="15">
        <f t="shared" ref="BY31:BY38" si="127">BR31-AL31-AD31-V31-N31-F31-AT31-BB31</f>
        <v>-2.4286128663675299E-17</v>
      </c>
    </row>
    <row r="32" spans="2:77" x14ac:dyDescent="0.15">
      <c r="B32" s="18">
        <v>57</v>
      </c>
      <c r="C32" s="1" t="s">
        <v>44</v>
      </c>
      <c r="E32" s="186"/>
      <c r="F32" s="23">
        <f>IF(ISERROR(VLOOKUP($B32,[1]Hedef!$A$4:$ES$45409,75,0)),0,VLOOKUP($B32,[1]Hedef!$A$4:$ES$45409,75,0))</f>
        <v>1.0499999999999999E-2</v>
      </c>
      <c r="G32" s="23" t="str">
        <f>IF((E32-F32)&lt;0, "-", (E32-F32))</f>
        <v>-</v>
      </c>
      <c r="H32" s="179" t="e">
        <f t="shared" si="103"/>
        <v>#DIV/0!</v>
      </c>
      <c r="J32" s="32">
        <v>4.165E-2</v>
      </c>
      <c r="K32" s="11">
        <f>IF(ISERROR((F32-J32)/J32),0,(F32-J32)/J32)</f>
        <v>-0.74789915966386555</v>
      </c>
      <c r="M32" s="186"/>
      <c r="N32" s="23">
        <f>IF(ISERROR(VLOOKUP($B32,[1]Hedef!$A$4:$ES$45409,79,0)),0,VLOOKUP($B32,[1]Hedef!$A$4:$ES$45409,79,0))</f>
        <v>3.8500000000000001E-3</v>
      </c>
      <c r="O32" s="23" t="str">
        <f>IF((M32-N32)&lt;0, "-", (M32-N32))</f>
        <v>-</v>
      </c>
      <c r="P32" s="179" t="e">
        <f t="shared" si="105"/>
        <v>#DIV/0!</v>
      </c>
      <c r="R32" s="32">
        <v>0.18437000000000001</v>
      </c>
      <c r="S32" s="11">
        <f t="shared" si="72"/>
        <v>-0.97911807777838045</v>
      </c>
      <c r="U32" s="186"/>
      <c r="V32" s="23">
        <f>IF(ISERROR(VLOOKUP($B32,[1]Hedef!$A$4:$ES$45409,77,0)),0,VLOOKUP($B32,[1]Hedef!$A$4:$ES$45409,77,0))</f>
        <v>0</v>
      </c>
      <c r="W32" s="23">
        <f>IF((U32-V32)&lt;0, "-", (U32-V32))</f>
        <v>0</v>
      </c>
      <c r="X32" s="179" t="e">
        <f t="shared" si="107"/>
        <v>#DIV/0!</v>
      </c>
      <c r="Z32" s="32">
        <v>0.16573999999999997</v>
      </c>
      <c r="AA32" s="11">
        <f t="shared" si="75"/>
        <v>-1</v>
      </c>
      <c r="AB32" s="72"/>
      <c r="AC32" s="186"/>
      <c r="AD32" s="23">
        <f>IF(ISERROR(VLOOKUP($B32,[1]Hedef!$A$4:$ES$45409,81,0)),0,VLOOKUP($B32,[1]Hedef!$A$4:$ES$45409,81,0))</f>
        <v>0</v>
      </c>
      <c r="AE32" s="23">
        <f t="shared" si="108"/>
        <v>0</v>
      </c>
      <c r="AF32" s="179" t="e">
        <f t="shared" si="109"/>
        <v>#DIV/0!</v>
      </c>
      <c r="AH32" s="32">
        <v>0.11189</v>
      </c>
      <c r="AI32" s="11">
        <f>IF(ISERROR((AD32-AH32)/AH32),0,(AD32-AH32)/AH32)</f>
        <v>-1</v>
      </c>
      <c r="AK32" s="186"/>
      <c r="AL32" s="23">
        <f>IF(ISERROR(VLOOKUP($B32,[1]Hedef!$A$4:$ES$45409,73,0)),0,VLOOKUP($B32,[1]Hedef!$A$4:$ES$45409,73,0))</f>
        <v>0</v>
      </c>
      <c r="AM32" s="23">
        <f>IF((AK32-AL32)&lt;0, "-", (AK32-AL32))</f>
        <v>0</v>
      </c>
      <c r="AN32" s="80" t="e">
        <f t="shared" si="111"/>
        <v>#DIV/0!</v>
      </c>
      <c r="AO32" s="173"/>
      <c r="AP32" s="32">
        <v>0.10504999999999999</v>
      </c>
      <c r="AQ32" s="11">
        <f t="shared" si="81"/>
        <v>-1</v>
      </c>
      <c r="AR32" s="72"/>
      <c r="AS32" s="186"/>
      <c r="AT32" s="23">
        <f>IF(ISERROR(VLOOKUP($B32,[1]Hedef!$A$4:$ES$45409,83,0)),0,VLOOKUP($B32,[1]Hedef!$A$4:$ES$45409,83,0))</f>
        <v>1.261E-2</v>
      </c>
      <c r="AU32" s="23" t="str">
        <f t="shared" si="112"/>
        <v>-</v>
      </c>
      <c r="AV32" s="80" t="e">
        <f t="shared" si="113"/>
        <v>#DIV/0!</v>
      </c>
      <c r="AX32" s="32">
        <v>0.69914999999999994</v>
      </c>
      <c r="AY32" s="11">
        <f t="shared" si="114"/>
        <v>-0.98196381320174497</v>
      </c>
      <c r="BA32" s="186"/>
      <c r="BB32" s="23">
        <f>IF(ISERROR(VLOOKUP($B32,[1]Hedef!$A$4:$ES$45409,85,0)),0,VLOOKUP($B32,[1]Hedef!$A$4:$ES$45409,85,0))</f>
        <v>1.7999999999999999E-2</v>
      </c>
      <c r="BC32" s="23" t="str">
        <f t="shared" si="115"/>
        <v>-</v>
      </c>
      <c r="BD32" s="179" t="e">
        <f t="shared" si="116"/>
        <v>#DIV/0!</v>
      </c>
      <c r="BF32" s="32"/>
      <c r="BG32" s="11">
        <f t="shared" si="117"/>
        <v>0</v>
      </c>
      <c r="BI32" s="22">
        <f t="shared" si="118"/>
        <v>0</v>
      </c>
      <c r="BJ32" s="23">
        <f t="shared" si="118"/>
        <v>3.0609999999999998E-2</v>
      </c>
      <c r="BK32" s="23" t="str">
        <f>IF((BI32-BJ32)&lt;0, "-", (BI32-BJ32))</f>
        <v>-</v>
      </c>
      <c r="BL32" s="80" t="e">
        <f t="shared" si="120"/>
        <v>#DIV/0!</v>
      </c>
      <c r="BN32" s="32">
        <f t="shared" si="121"/>
        <v>0.69914999999999994</v>
      </c>
      <c r="BO32" s="11">
        <f t="shared" si="122"/>
        <v>-0.95621826503611529</v>
      </c>
      <c r="BQ32" s="22">
        <f t="shared" si="123"/>
        <v>0</v>
      </c>
      <c r="BR32" s="23">
        <f>IF(ISERROR(VLOOKUP($B32,[1]Hedef!$A$4:$ES$45409,87,0)),0,VLOOKUP($B32,[1]Hedef!$A$4:$ES$45409,87,0))</f>
        <v>4.4959999999999993E-2</v>
      </c>
      <c r="BS32" s="23" t="str">
        <f>IF((BQ32-BR32)&lt;0, "-", (BQ32-BR32))</f>
        <v>-</v>
      </c>
      <c r="BT32" s="80" t="e">
        <f t="shared" si="125"/>
        <v>#DIV/0!</v>
      </c>
      <c r="BV32" s="32">
        <f t="shared" si="126"/>
        <v>1.3078499999999997</v>
      </c>
      <c r="BW32" s="11">
        <f t="shared" si="95"/>
        <v>-0.9656229689949154</v>
      </c>
      <c r="BX32" s="127">
        <f>BQ32-'GENEL HEDEF'!CF32</f>
        <v>-1.36</v>
      </c>
      <c r="BY32" s="15">
        <f t="shared" si="127"/>
        <v>0</v>
      </c>
    </row>
    <row r="33" spans="2:77" x14ac:dyDescent="0.15">
      <c r="B33" s="18">
        <v>16</v>
      </c>
      <c r="C33" s="1" t="s">
        <v>22</v>
      </c>
      <c r="E33" s="186"/>
      <c r="F33" s="23">
        <f>IF(ISERROR(VLOOKUP($B33,[1]Hedef!$A$4:$ES$45409,75,0)),0,VLOOKUP($B33,[1]Hedef!$A$4:$ES$45409,75,0))</f>
        <v>1.3520000000000001E-2</v>
      </c>
      <c r="G33" s="23" t="str">
        <f t="shared" si="102"/>
        <v>-</v>
      </c>
      <c r="H33" s="179" t="e">
        <f t="shared" si="103"/>
        <v>#DIV/0!</v>
      </c>
      <c r="J33" s="32">
        <v>0.14758999999999997</v>
      </c>
      <c r="K33" s="11">
        <f t="shared" ref="K33:K38" si="128">IF(ISERROR((F33-J33)/J33),0,(F33-J33)/J33)</f>
        <v>-0.90839487770174121</v>
      </c>
      <c r="M33" s="186"/>
      <c r="N33" s="23">
        <f>IF(ISERROR(VLOOKUP($B33,[1]Hedef!$A$4:$ES$45409,79,0)),0,VLOOKUP($B33,[1]Hedef!$A$4:$ES$45409,79,0))</f>
        <v>0.1008</v>
      </c>
      <c r="O33" s="23" t="str">
        <f t="shared" si="104"/>
        <v>-</v>
      </c>
      <c r="P33" s="179" t="e">
        <f t="shared" si="105"/>
        <v>#DIV/0!</v>
      </c>
      <c r="R33" s="32">
        <v>0.11426500000000001</v>
      </c>
      <c r="S33" s="11">
        <f t="shared" si="72"/>
        <v>-0.11784010851966922</v>
      </c>
      <c r="U33" s="186"/>
      <c r="V33" s="23">
        <f>IF(ISERROR(VLOOKUP($B33,[1]Hedef!$A$4:$ES$45409,77,0)),0,VLOOKUP($B33,[1]Hedef!$A$4:$ES$45409,77,0))</f>
        <v>8.3999999999999995E-3</v>
      </c>
      <c r="W33" s="23" t="str">
        <f t="shared" si="106"/>
        <v>-</v>
      </c>
      <c r="X33" s="179" t="e">
        <f t="shared" si="107"/>
        <v>#DIV/0!</v>
      </c>
      <c r="Z33" s="32">
        <v>0.183645</v>
      </c>
      <c r="AA33" s="11">
        <f t="shared" si="75"/>
        <v>-0.95425957690108643</v>
      </c>
      <c r="AB33" s="72"/>
      <c r="AC33" s="186"/>
      <c r="AD33" s="23">
        <f>IF(ISERROR(VLOOKUP($B33,[1]Hedef!$A$4:$ES$45409,81,0)),0,VLOOKUP($B33,[1]Hedef!$A$4:$ES$45409,81,0))</f>
        <v>1.6799999999999999E-2</v>
      </c>
      <c r="AE33" s="23" t="str">
        <f t="shared" si="108"/>
        <v>-</v>
      </c>
      <c r="AF33" s="179" t="e">
        <f t="shared" si="109"/>
        <v>#DIV/0!</v>
      </c>
      <c r="AH33" s="32">
        <v>9.4439999999999996E-2</v>
      </c>
      <c r="AI33" s="11">
        <f t="shared" ref="AI33:AI38" si="129">IF(ISERROR((AD33-AH33)/AH33),0,(AD33-AH33)/AH33)</f>
        <v>-0.82210927573062265</v>
      </c>
      <c r="AK33" s="186"/>
      <c r="AL33" s="23">
        <f>IF(ISERROR(VLOOKUP($B33,[1]Hedef!$A$4:$ES$45409,73,0)),0,VLOOKUP($B33,[1]Hedef!$A$4:$ES$45409,73,0))</f>
        <v>3.3E-3</v>
      </c>
      <c r="AM33" s="23" t="str">
        <f t="shared" si="110"/>
        <v>-</v>
      </c>
      <c r="AN33" s="80" t="e">
        <f t="shared" si="111"/>
        <v>#DIV/0!</v>
      </c>
      <c r="AO33" s="173"/>
      <c r="AP33" s="32">
        <v>0.15260499999999999</v>
      </c>
      <c r="AQ33" s="11">
        <f t="shared" si="81"/>
        <v>-0.97837554470692312</v>
      </c>
      <c r="AR33" s="72"/>
      <c r="AS33" s="186"/>
      <c r="AT33" s="23">
        <f>IF(ISERROR(VLOOKUP($B33,[1]Hedef!$A$4:$ES$45409,83,0)),0,VLOOKUP($B33,[1]Hedef!$A$4:$ES$45409,83,0))</f>
        <v>1.1724999999999999E-2</v>
      </c>
      <c r="AU33" s="23" t="str">
        <f t="shared" si="112"/>
        <v>-</v>
      </c>
      <c r="AV33" s="80" t="e">
        <f t="shared" si="113"/>
        <v>#DIV/0!</v>
      </c>
      <c r="AX33" s="32">
        <v>0.49281999999999998</v>
      </c>
      <c r="AY33" s="11">
        <f t="shared" si="114"/>
        <v>-0.97620835193376898</v>
      </c>
      <c r="BA33" s="198"/>
      <c r="BB33" s="23">
        <f>IF(ISERROR(VLOOKUP($B33,[1]Hedef!$A$4:$ES$45409,85,0)),0,VLOOKUP($B33,[1]Hedef!$A$4:$ES$45409,85,0))</f>
        <v>0</v>
      </c>
      <c r="BC33" s="23">
        <f t="shared" si="115"/>
        <v>0</v>
      </c>
      <c r="BD33" s="179" t="e">
        <f t="shared" si="116"/>
        <v>#DIV/0!</v>
      </c>
      <c r="BF33" s="32"/>
      <c r="BG33" s="11">
        <f t="shared" si="117"/>
        <v>0</v>
      </c>
      <c r="BI33" s="22">
        <f t="shared" si="118"/>
        <v>0</v>
      </c>
      <c r="BJ33" s="23">
        <f t="shared" si="118"/>
        <v>1.1724999999999999E-2</v>
      </c>
      <c r="BK33" s="23" t="str">
        <f t="shared" ref="BK33:BK38" si="130">IF((BI33-BJ33)&lt;0, "-", (BI33-BJ33))</f>
        <v>-</v>
      </c>
      <c r="BL33" s="80" t="e">
        <f t="shared" si="120"/>
        <v>#DIV/0!</v>
      </c>
      <c r="BN33" s="32">
        <f t="shared" si="121"/>
        <v>0.49281999999999998</v>
      </c>
      <c r="BO33" s="11">
        <f t="shared" si="122"/>
        <v>-0.97620835193376898</v>
      </c>
      <c r="BQ33" s="22">
        <f t="shared" si="123"/>
        <v>0</v>
      </c>
      <c r="BR33" s="23">
        <f>IF(ISERROR(VLOOKUP($B33,[1]Hedef!$A$4:$ES$45409,87,0)),0,VLOOKUP($B33,[1]Hedef!$A$4:$ES$45409,87,0))</f>
        <v>0.15454499999999999</v>
      </c>
      <c r="BS33" s="23" t="str">
        <f t="shared" si="124"/>
        <v>-</v>
      </c>
      <c r="BT33" s="80" t="e">
        <f t="shared" si="125"/>
        <v>#DIV/0!</v>
      </c>
      <c r="BV33" s="32">
        <f t="shared" si="126"/>
        <v>1.1853649999999998</v>
      </c>
      <c r="BW33" s="11">
        <f t="shared" si="95"/>
        <v>-0.86962243697089081</v>
      </c>
      <c r="BX33" s="127">
        <f>BQ33-'GENEL HEDEF'!CF33</f>
        <v>-1.78</v>
      </c>
      <c r="BY33" s="15">
        <f t="shared" si="127"/>
        <v>-1.0408340855860843E-17</v>
      </c>
    </row>
    <row r="34" spans="2:77" x14ac:dyDescent="0.15">
      <c r="B34" s="18">
        <v>43</v>
      </c>
      <c r="C34" s="1" t="s">
        <v>23</v>
      </c>
      <c r="E34" s="186"/>
      <c r="F34" s="23">
        <f>IF(ISERROR(VLOOKUP($B34,[1]Hedef!$A$4:$ES$45409,75,0)),0,VLOOKUP($B34,[1]Hedef!$A$4:$ES$45409,75,0))</f>
        <v>1.8959999999999998E-2</v>
      </c>
      <c r="G34" s="23" t="str">
        <f t="shared" si="102"/>
        <v>-</v>
      </c>
      <c r="H34" s="179" t="e">
        <f t="shared" si="103"/>
        <v>#DIV/0!</v>
      </c>
      <c r="J34" s="32">
        <v>5.9750000000000004E-2</v>
      </c>
      <c r="K34" s="11">
        <f t="shared" si="128"/>
        <v>-0.68267782426778245</v>
      </c>
      <c r="M34" s="186"/>
      <c r="N34" s="23">
        <f>IF(ISERROR(VLOOKUP($B34,[1]Hedef!$A$4:$ES$45409,79,0)),0,VLOOKUP($B34,[1]Hedef!$A$4:$ES$45409,79,0))</f>
        <v>1.6604999999999998E-2</v>
      </c>
      <c r="O34" s="23" t="str">
        <f t="shared" si="104"/>
        <v>-</v>
      </c>
      <c r="P34" s="179" t="e">
        <f t="shared" si="105"/>
        <v>#DIV/0!</v>
      </c>
      <c r="R34" s="32">
        <v>0.301095</v>
      </c>
      <c r="S34" s="11">
        <f t="shared" si="72"/>
        <v>-0.94485129278134816</v>
      </c>
      <c r="U34" s="186"/>
      <c r="V34" s="23">
        <f>IF(ISERROR(VLOOKUP($B34,[1]Hedef!$A$4:$ES$45409,77,0)),0,VLOOKUP($B34,[1]Hedef!$A$4:$ES$45409,77,0))</f>
        <v>4.875E-3</v>
      </c>
      <c r="W34" s="23" t="str">
        <f t="shared" si="106"/>
        <v>-</v>
      </c>
      <c r="X34" s="179" t="e">
        <f t="shared" si="107"/>
        <v>#DIV/0!</v>
      </c>
      <c r="Z34" s="32">
        <v>0.133325</v>
      </c>
      <c r="AA34" s="11">
        <f t="shared" si="75"/>
        <v>-0.96343521470091886</v>
      </c>
      <c r="AB34" s="72"/>
      <c r="AC34" s="186"/>
      <c r="AD34" s="23">
        <f>IF(ISERROR(VLOOKUP($B34,[1]Hedef!$A$4:$ES$45409,81,0)),0,VLOOKUP($B34,[1]Hedef!$A$4:$ES$45409,81,0))</f>
        <v>2.9250000000000001E-3</v>
      </c>
      <c r="AE34" s="23" t="str">
        <f t="shared" si="108"/>
        <v>-</v>
      </c>
      <c r="AF34" s="179" t="e">
        <f t="shared" si="109"/>
        <v>#DIV/0!</v>
      </c>
      <c r="AH34" s="32">
        <v>7.5200000000000003E-2</v>
      </c>
      <c r="AI34" s="11">
        <f t="shared" si="129"/>
        <v>-0.96110372340425532</v>
      </c>
      <c r="AK34" s="186"/>
      <c r="AL34" s="23">
        <f>IF(ISERROR(VLOOKUP($B34,[1]Hedef!$A$4:$ES$45409,73,0)),0,VLOOKUP($B34,[1]Hedef!$A$4:$ES$45409,73,0))</f>
        <v>3.4199999999999999E-3</v>
      </c>
      <c r="AM34" s="23" t="str">
        <f t="shared" si="110"/>
        <v>-</v>
      </c>
      <c r="AN34" s="80" t="e">
        <f t="shared" si="111"/>
        <v>#DIV/0!</v>
      </c>
      <c r="AO34" s="173"/>
      <c r="AP34" s="32">
        <v>6.5199999999999994E-2</v>
      </c>
      <c r="AQ34" s="11">
        <f t="shared" si="81"/>
        <v>-0.94754601226993862</v>
      </c>
      <c r="AR34" s="72"/>
      <c r="AS34" s="186"/>
      <c r="AT34" s="23">
        <f>IF(ISERROR(VLOOKUP($B34,[1]Hedef!$A$4:$ES$45409,83,0)),0,VLOOKUP($B34,[1]Hedef!$A$4:$ES$45409,83,0))</f>
        <v>1.4034999999999999E-2</v>
      </c>
      <c r="AU34" s="23" t="str">
        <f t="shared" si="112"/>
        <v>-</v>
      </c>
      <c r="AV34" s="80" t="e">
        <f t="shared" si="113"/>
        <v>#DIV/0!</v>
      </c>
      <c r="AX34" s="32">
        <v>0.48930000000000001</v>
      </c>
      <c r="AY34" s="11">
        <f t="shared" si="114"/>
        <v>-0.97131616595135906</v>
      </c>
      <c r="BA34" s="186"/>
      <c r="BB34" s="23">
        <f>IF(ISERROR(VLOOKUP($B34,[1]Hedef!$A$4:$ES$45409,85,0)),0,VLOOKUP($B34,[1]Hedef!$A$4:$ES$45409,85,0))</f>
        <v>0</v>
      </c>
      <c r="BC34" s="23">
        <f t="shared" si="115"/>
        <v>0</v>
      </c>
      <c r="BD34" s="179"/>
      <c r="BF34" s="32"/>
      <c r="BG34" s="11">
        <f t="shared" si="117"/>
        <v>0</v>
      </c>
      <c r="BI34" s="22">
        <f t="shared" si="118"/>
        <v>0</v>
      </c>
      <c r="BJ34" s="23">
        <f t="shared" si="118"/>
        <v>1.4034999999999999E-2</v>
      </c>
      <c r="BK34" s="23" t="str">
        <f t="shared" si="130"/>
        <v>-</v>
      </c>
      <c r="BL34" s="80" t="e">
        <f t="shared" si="120"/>
        <v>#DIV/0!</v>
      </c>
      <c r="BN34" s="32">
        <f t="shared" si="121"/>
        <v>0.48930000000000001</v>
      </c>
      <c r="BO34" s="11">
        <f t="shared" si="122"/>
        <v>-0.97131616595135906</v>
      </c>
      <c r="BQ34" s="22">
        <f t="shared" si="123"/>
        <v>0</v>
      </c>
      <c r="BR34" s="23">
        <f>IF(ISERROR(VLOOKUP($B34,[1]Hedef!$A$4:$ES$45409,87,0)),0,VLOOKUP($B34,[1]Hedef!$A$4:$ES$45409,87,0))</f>
        <v>6.0819999999999999E-2</v>
      </c>
      <c r="BS34" s="23" t="str">
        <f t="shared" si="124"/>
        <v>-</v>
      </c>
      <c r="BT34" s="80" t="e">
        <f t="shared" si="125"/>
        <v>#DIV/0!</v>
      </c>
      <c r="BV34" s="32">
        <f t="shared" si="126"/>
        <v>1.1238699999999999</v>
      </c>
      <c r="BW34" s="11">
        <f t="shared" si="95"/>
        <v>-0.94588342068032771</v>
      </c>
      <c r="BX34" s="127">
        <f>BQ34-'GENEL HEDEF'!CF34</f>
        <v>-2.09</v>
      </c>
      <c r="BY34" s="15">
        <f t="shared" si="127"/>
        <v>1.3877787807814457E-17</v>
      </c>
    </row>
    <row r="35" spans="2:77" x14ac:dyDescent="0.15">
      <c r="B35" s="18">
        <v>18</v>
      </c>
      <c r="C35" s="1" t="s">
        <v>67</v>
      </c>
      <c r="E35" s="186"/>
      <c r="F35" s="23">
        <f>IF(ISERROR(VLOOKUP($B35,[1]Hedef!$A$4:$ES$45409,75,0)),0,VLOOKUP($B35,[1]Hedef!$A$4:$ES$45409,75,0))</f>
        <v>3.0799999999999998E-2</v>
      </c>
      <c r="G35" s="23" t="str">
        <f t="shared" si="102"/>
        <v>-</v>
      </c>
      <c r="H35" s="179" t="e">
        <f t="shared" si="103"/>
        <v>#DIV/0!</v>
      </c>
      <c r="J35" s="32">
        <v>0.16480000000000003</v>
      </c>
      <c r="K35" s="11">
        <f t="shared" si="128"/>
        <v>-0.81310679611650494</v>
      </c>
      <c r="M35" s="186"/>
      <c r="N35" s="23">
        <f>IF(ISERROR(VLOOKUP($B35,[1]Hedef!$A$4:$ES$45409,79,0)),0,VLOOKUP($B35,[1]Hedef!$A$4:$ES$45409,79,0))</f>
        <v>8.0000000000000004E-4</v>
      </c>
      <c r="O35" s="23" t="str">
        <f t="shared" si="104"/>
        <v>-</v>
      </c>
      <c r="P35" s="179" t="e">
        <f t="shared" si="105"/>
        <v>#DIV/0!</v>
      </c>
      <c r="R35" s="32">
        <v>0.26119999999999999</v>
      </c>
      <c r="S35" s="11">
        <f t="shared" si="72"/>
        <v>-0.99693721286370585</v>
      </c>
      <c r="U35" s="186"/>
      <c r="V35" s="23">
        <f>IF(ISERROR(VLOOKUP($B35,[1]Hedef!$A$4:$ES$45409,77,0)),0,VLOOKUP($B35,[1]Hedef!$A$4:$ES$45409,77,0))</f>
        <v>7.4399999999999994E-2</v>
      </c>
      <c r="W35" s="23" t="str">
        <f t="shared" si="106"/>
        <v>-</v>
      </c>
      <c r="X35" s="179" t="e">
        <f t="shared" si="107"/>
        <v>#DIV/0!</v>
      </c>
      <c r="Z35" s="32">
        <v>0.26840000000000003</v>
      </c>
      <c r="AA35" s="11">
        <f t="shared" si="75"/>
        <v>-0.72280178837555897</v>
      </c>
      <c r="AB35" s="72"/>
      <c r="AC35" s="186"/>
      <c r="AD35" s="23">
        <f>IF(ISERROR(VLOOKUP($B35,[1]Hedef!$A$4:$ES$45409,81,0)),0,VLOOKUP($B35,[1]Hedef!$A$4:$ES$45409,81,0))</f>
        <v>2.92E-2</v>
      </c>
      <c r="AE35" s="23" t="str">
        <f t="shared" si="108"/>
        <v>-</v>
      </c>
      <c r="AF35" s="179" t="e">
        <f t="shared" si="109"/>
        <v>#DIV/0!</v>
      </c>
      <c r="AH35" s="32">
        <v>0.1172</v>
      </c>
      <c r="AI35" s="11">
        <f t="shared" si="129"/>
        <v>-0.75085324232081907</v>
      </c>
      <c r="AK35" s="186"/>
      <c r="AL35" s="23">
        <f>IF(ISERROR(VLOOKUP($B35,[1]Hedef!$A$4:$ES$45409,73,0)),0,VLOOKUP($B35,[1]Hedef!$A$4:$ES$45409,73,0))</f>
        <v>0</v>
      </c>
      <c r="AM35" s="23">
        <f t="shared" si="110"/>
        <v>0</v>
      </c>
      <c r="AN35" s="80" t="e">
        <f t="shared" si="111"/>
        <v>#DIV/0!</v>
      </c>
      <c r="AO35" s="173"/>
      <c r="AP35" s="32">
        <v>0.69839999999999991</v>
      </c>
      <c r="AQ35" s="11">
        <f t="shared" si="81"/>
        <v>-1</v>
      </c>
      <c r="AR35" s="72"/>
      <c r="AS35" s="186"/>
      <c r="AT35" s="23">
        <f>IF(ISERROR(VLOOKUP($B35,[1]Hedef!$A$4:$ES$45409,83,0)),0,VLOOKUP($B35,[1]Hedef!$A$4:$ES$45409,83,0))</f>
        <v>3.6000000000000004E-2</v>
      </c>
      <c r="AU35" s="23" t="str">
        <f t="shared" si="112"/>
        <v>-</v>
      </c>
      <c r="AV35" s="80" t="e">
        <f t="shared" si="113"/>
        <v>#DIV/0!</v>
      </c>
      <c r="AX35" s="32">
        <v>0.4496</v>
      </c>
      <c r="AY35" s="11">
        <f t="shared" si="114"/>
        <v>-0.91992882562277578</v>
      </c>
      <c r="BA35" s="187"/>
      <c r="BB35" s="23">
        <f>IF(ISERROR(VLOOKUP($B35,[1]Hedef!$A$4:$ES$45409,85,0)),0,VLOOKUP($B35,[1]Hedef!$A$4:$ES$45409,85,0))</f>
        <v>1.2E-2</v>
      </c>
      <c r="BC35" s="23" t="str">
        <f t="shared" si="115"/>
        <v>-</v>
      </c>
      <c r="BD35" s="179" t="e">
        <f t="shared" ref="BD35" si="131">TRUNC(IF((BB35/BA35)&gt;1.2,"120%",(BB35/BA35)),2)</f>
        <v>#DIV/0!</v>
      </c>
      <c r="BF35" s="32"/>
      <c r="BG35" s="11">
        <f t="shared" si="117"/>
        <v>0</v>
      </c>
      <c r="BI35" s="22">
        <f t="shared" si="118"/>
        <v>0</v>
      </c>
      <c r="BJ35" s="23">
        <f t="shared" si="118"/>
        <v>4.8000000000000001E-2</v>
      </c>
      <c r="BK35" s="23" t="str">
        <f t="shared" si="130"/>
        <v>-</v>
      </c>
      <c r="BL35" s="80" t="e">
        <f t="shared" si="120"/>
        <v>#DIV/0!</v>
      </c>
      <c r="BN35" s="32">
        <f t="shared" si="121"/>
        <v>0.4496</v>
      </c>
      <c r="BO35" s="11">
        <f t="shared" si="122"/>
        <v>-0.89323843416370108</v>
      </c>
      <c r="BQ35" s="22">
        <f t="shared" si="123"/>
        <v>0</v>
      </c>
      <c r="BR35" s="23">
        <f>IF(ISERROR(VLOOKUP($B35,[1]Hedef!$A$4:$ES$45409,87,0)),0,VLOOKUP($B35,[1]Hedef!$A$4:$ES$45409,87,0))</f>
        <v>0.1832</v>
      </c>
      <c r="BS35" s="23" t="str">
        <f t="shared" si="124"/>
        <v>-</v>
      </c>
      <c r="BT35" s="80" t="e">
        <f t="shared" si="125"/>
        <v>#DIV/0!</v>
      </c>
      <c r="BV35" s="32">
        <f t="shared" si="126"/>
        <v>1.9596</v>
      </c>
      <c r="BW35" s="11">
        <f t="shared" si="95"/>
        <v>-0.90651153296591136</v>
      </c>
      <c r="BX35" s="127">
        <f>BQ35-'GENEL HEDEF'!CF35</f>
        <v>-2.64</v>
      </c>
      <c r="BY35" s="15">
        <f t="shared" si="127"/>
        <v>0</v>
      </c>
    </row>
    <row r="36" spans="2:77" x14ac:dyDescent="0.15">
      <c r="B36" s="18">
        <v>51</v>
      </c>
      <c r="C36" s="1" t="s">
        <v>24</v>
      </c>
      <c r="E36" s="186"/>
      <c r="F36" s="23">
        <f>IF(ISERROR(VLOOKUP($B36,[1]Hedef!$A$4:$ES$45409,75,0)),0,VLOOKUP($B36,[1]Hedef!$A$4:$ES$45409,75,0))</f>
        <v>2.836E-2</v>
      </c>
      <c r="G36" s="23" t="str">
        <f t="shared" si="102"/>
        <v>-</v>
      </c>
      <c r="H36" s="179" t="e">
        <f t="shared" si="103"/>
        <v>#DIV/0!</v>
      </c>
      <c r="J36" s="32">
        <v>0.41882000000000003</v>
      </c>
      <c r="K36" s="11">
        <f t="shared" si="128"/>
        <v>-0.93228594622988392</v>
      </c>
      <c r="M36" s="186"/>
      <c r="N36" s="23">
        <f>IF(ISERROR(VLOOKUP($B36,[1]Hedef!$A$4:$ES$45409,79,0)),0,VLOOKUP($B36,[1]Hedef!$A$4:$ES$45409,79,0))</f>
        <v>2.6980000000000001E-2</v>
      </c>
      <c r="O36" s="23" t="str">
        <f t="shared" si="104"/>
        <v>-</v>
      </c>
      <c r="P36" s="179" t="e">
        <f t="shared" si="105"/>
        <v>#DIV/0!</v>
      </c>
      <c r="R36" s="32">
        <v>0.79047999999999996</v>
      </c>
      <c r="S36" s="11">
        <f t="shared" si="72"/>
        <v>-0.96586883918631716</v>
      </c>
      <c r="U36" s="186"/>
      <c r="V36" s="23">
        <f>IF(ISERROR(VLOOKUP($B36,[1]Hedef!$A$4:$ES$45409,77,0)),0,VLOOKUP($B36,[1]Hedef!$A$4:$ES$45409,77,0))</f>
        <v>1.5E-3</v>
      </c>
      <c r="W36" s="23" t="str">
        <f t="shared" si="106"/>
        <v>-</v>
      </c>
      <c r="X36" s="179" t="e">
        <f t="shared" si="107"/>
        <v>#DIV/0!</v>
      </c>
      <c r="Z36" s="32">
        <v>0.54281000000000001</v>
      </c>
      <c r="AA36" s="11">
        <f t="shared" si="75"/>
        <v>-0.9972366021259742</v>
      </c>
      <c r="AB36" s="72"/>
      <c r="AC36" s="186"/>
      <c r="AD36" s="23">
        <f>IF(ISERROR(VLOOKUP($B36,[1]Hedef!$A$4:$ES$45409,81,0)),0,VLOOKUP($B36,[1]Hedef!$A$4:$ES$45409,81,0))</f>
        <v>2.52E-2</v>
      </c>
      <c r="AE36" s="23" t="str">
        <f t="shared" si="108"/>
        <v>-</v>
      </c>
      <c r="AF36" s="179" t="e">
        <f t="shared" si="109"/>
        <v>#DIV/0!</v>
      </c>
      <c r="AH36" s="32">
        <v>0.15221000000000001</v>
      </c>
      <c r="AI36" s="11">
        <f t="shared" si="129"/>
        <v>-0.83443926154654757</v>
      </c>
      <c r="AK36" s="186"/>
      <c r="AL36" s="23">
        <f>IF(ISERROR(VLOOKUP($B36,[1]Hedef!$A$4:$ES$45409,73,0)),0,VLOOKUP($B36,[1]Hedef!$A$4:$ES$45409,73,0))</f>
        <v>1.9599999999999999E-2</v>
      </c>
      <c r="AM36" s="23" t="str">
        <f t="shared" si="110"/>
        <v>-</v>
      </c>
      <c r="AN36" s="80" t="e">
        <f t="shared" si="111"/>
        <v>#DIV/0!</v>
      </c>
      <c r="AO36" s="173"/>
      <c r="AP36" s="32">
        <v>0.12425</v>
      </c>
      <c r="AQ36" s="11">
        <f t="shared" si="81"/>
        <v>-0.84225352112676055</v>
      </c>
      <c r="AR36" s="72"/>
      <c r="AS36" s="198"/>
      <c r="AT36" s="23">
        <f>IF(ISERROR(VLOOKUP($B36,[1]Hedef!$A$4:$ES$45409,83,0)),0,VLOOKUP($B36,[1]Hedef!$A$4:$ES$45409,83,0))</f>
        <v>2.554E-2</v>
      </c>
      <c r="AU36" s="23" t="str">
        <f t="shared" si="112"/>
        <v>-</v>
      </c>
      <c r="AV36" s="80" t="e">
        <f t="shared" si="113"/>
        <v>#DIV/0!</v>
      </c>
      <c r="AX36" s="32">
        <v>1.1742299999999999</v>
      </c>
      <c r="AY36" s="11">
        <f t="shared" si="114"/>
        <v>-0.97824957631809795</v>
      </c>
      <c r="BA36" s="186"/>
      <c r="BB36" s="23">
        <f>IF(ISERROR(VLOOKUP($B36,[1]Hedef!$A$4:$ES$45409,85,0)),0,VLOOKUP($B36,[1]Hedef!$A$4:$ES$45409,85,0))</f>
        <v>0</v>
      </c>
      <c r="BC36" s="23">
        <f t="shared" si="115"/>
        <v>0</v>
      </c>
      <c r="BD36" s="179" t="e">
        <f t="shared" si="116"/>
        <v>#DIV/0!</v>
      </c>
      <c r="BF36" s="32"/>
      <c r="BG36" s="11">
        <f t="shared" si="117"/>
        <v>0</v>
      </c>
      <c r="BI36" s="22">
        <f t="shared" si="118"/>
        <v>0</v>
      </c>
      <c r="BJ36" s="23">
        <f t="shared" si="118"/>
        <v>2.554E-2</v>
      </c>
      <c r="BK36" s="23" t="str">
        <f t="shared" si="130"/>
        <v>-</v>
      </c>
      <c r="BL36" s="80" t="e">
        <f t="shared" si="120"/>
        <v>#DIV/0!</v>
      </c>
      <c r="BN36" s="32">
        <f t="shared" si="121"/>
        <v>1.1742299999999999</v>
      </c>
      <c r="BO36" s="11">
        <f t="shared" si="122"/>
        <v>-0.97824957631809795</v>
      </c>
      <c r="BQ36" s="22">
        <f t="shared" si="123"/>
        <v>0</v>
      </c>
      <c r="BR36" s="23">
        <f>IF(ISERROR(VLOOKUP($B36,[1]Hedef!$A$4:$ES$45409,87,0)),0,VLOOKUP($B36,[1]Hedef!$A$4:$ES$45409,87,0))</f>
        <v>0.12718000000000002</v>
      </c>
      <c r="BS36" s="23" t="str">
        <f t="shared" si="124"/>
        <v>-</v>
      </c>
      <c r="BT36" s="80" t="e">
        <f t="shared" si="125"/>
        <v>#DIV/0!</v>
      </c>
      <c r="BV36" s="32">
        <f t="shared" si="126"/>
        <v>3.2027999999999999</v>
      </c>
      <c r="BW36" s="11">
        <f t="shared" si="95"/>
        <v>-0.96029099537904328</v>
      </c>
      <c r="BX36" s="127">
        <f>BQ36-'GENEL HEDEF'!CF36</f>
        <v>-3.2</v>
      </c>
      <c r="BY36" s="15">
        <f t="shared" si="127"/>
        <v>3.4694469519536142E-18</v>
      </c>
    </row>
    <row r="37" spans="2:77" x14ac:dyDescent="0.15">
      <c r="B37" s="18">
        <v>19</v>
      </c>
      <c r="C37" s="1" t="s">
        <v>25</v>
      </c>
      <c r="E37" s="186"/>
      <c r="F37" s="23">
        <f>IF(ISERROR(VLOOKUP($B37,[1]Hedef!$A$4:$ES$45409,75,0)),0,VLOOKUP($B37,[1]Hedef!$A$4:$ES$45409,75,0))</f>
        <v>4.64E-3</v>
      </c>
      <c r="G37" s="23" t="str">
        <f t="shared" si="102"/>
        <v>-</v>
      </c>
      <c r="H37" s="179" t="e">
        <f t="shared" si="103"/>
        <v>#DIV/0!</v>
      </c>
      <c r="J37" s="32">
        <v>3.1594999999999998E-2</v>
      </c>
      <c r="K37" s="11">
        <f t="shared" si="128"/>
        <v>-0.85314131982908692</v>
      </c>
      <c r="M37" s="186"/>
      <c r="N37" s="23">
        <f>IF(ISERROR(VLOOKUP($B37,[1]Hedef!$A$4:$ES$45409,79,0)),0,VLOOKUP($B37,[1]Hedef!$A$4:$ES$45409,79,0))</f>
        <v>0</v>
      </c>
      <c r="O37" s="23">
        <f t="shared" si="104"/>
        <v>0</v>
      </c>
      <c r="P37" s="179" t="e">
        <f t="shared" si="105"/>
        <v>#DIV/0!</v>
      </c>
      <c r="R37" s="32">
        <v>0.25096000000000002</v>
      </c>
      <c r="S37" s="11">
        <f t="shared" si="72"/>
        <v>-1</v>
      </c>
      <c r="U37" s="186"/>
      <c r="V37" s="23">
        <f>IF(ISERROR(VLOOKUP($B37,[1]Hedef!$A$4:$ES$45409,77,0)),0,VLOOKUP($B37,[1]Hedef!$A$4:$ES$45409,77,0))</f>
        <v>0</v>
      </c>
      <c r="W37" s="23">
        <f t="shared" si="106"/>
        <v>0</v>
      </c>
      <c r="X37" s="179" t="e">
        <f t="shared" si="107"/>
        <v>#DIV/0!</v>
      </c>
      <c r="Z37" s="32">
        <v>0.20482999999999998</v>
      </c>
      <c r="AA37" s="11">
        <f t="shared" si="75"/>
        <v>-1</v>
      </c>
      <c r="AB37" s="72"/>
      <c r="AC37" s="186"/>
      <c r="AD37" s="23">
        <f>IF(ISERROR(VLOOKUP($B37,[1]Hedef!$A$4:$ES$45409,81,0)),0,VLOOKUP($B37,[1]Hedef!$A$4:$ES$45409,81,0))</f>
        <v>0</v>
      </c>
      <c r="AE37" s="23">
        <f t="shared" si="108"/>
        <v>0</v>
      </c>
      <c r="AF37" s="179" t="e">
        <f t="shared" si="109"/>
        <v>#DIV/0!</v>
      </c>
      <c r="AH37" s="32">
        <v>4.9079999999999999E-2</v>
      </c>
      <c r="AI37" s="11">
        <f t="shared" si="129"/>
        <v>-1</v>
      </c>
      <c r="AK37" s="186"/>
      <c r="AL37" s="23">
        <f>IF(ISERROR(VLOOKUP($B37,[1]Hedef!$A$4:$ES$45409,73,0)),0,VLOOKUP($B37,[1]Hedef!$A$4:$ES$45409,73,0))</f>
        <v>0</v>
      </c>
      <c r="AM37" s="23">
        <f t="shared" si="110"/>
        <v>0</v>
      </c>
      <c r="AN37" s="80" t="e">
        <f t="shared" si="111"/>
        <v>#DIV/0!</v>
      </c>
      <c r="AO37" s="173"/>
      <c r="AP37" s="32">
        <v>7.6975000000000002E-2</v>
      </c>
      <c r="AQ37" s="11">
        <f t="shared" si="81"/>
        <v>-1</v>
      </c>
      <c r="AR37" s="72"/>
      <c r="AS37" s="186"/>
      <c r="AT37" s="23">
        <f>IF(ISERROR(VLOOKUP($B37,[1]Hedef!$A$4:$ES$45409,83,0)),0,VLOOKUP($B37,[1]Hedef!$A$4:$ES$45409,83,0))</f>
        <v>1.3424999999999999E-2</v>
      </c>
      <c r="AU37" s="23" t="str">
        <f t="shared" si="112"/>
        <v>-</v>
      </c>
      <c r="AV37" s="80" t="e">
        <f t="shared" si="113"/>
        <v>#DIV/0!</v>
      </c>
      <c r="AX37" s="32">
        <v>0.17202000000000001</v>
      </c>
      <c r="AY37" s="11">
        <f t="shared" si="114"/>
        <v>-0.92195674921520754</v>
      </c>
      <c r="BA37" s="189"/>
      <c r="BB37" s="23">
        <f>IF(ISERROR(VLOOKUP($B37,[1]Hedef!$A$4:$ES$45409,85,0)),0,VLOOKUP($B37,[1]Hedef!$A$4:$ES$45409,85,0))</f>
        <v>0</v>
      </c>
      <c r="BC37" s="23">
        <f t="shared" si="115"/>
        <v>0</v>
      </c>
      <c r="BD37" s="179" t="e">
        <f t="shared" si="116"/>
        <v>#DIV/0!</v>
      </c>
      <c r="BF37" s="32"/>
      <c r="BG37" s="11">
        <f t="shared" si="117"/>
        <v>0</v>
      </c>
      <c r="BI37" s="22">
        <f t="shared" si="118"/>
        <v>0</v>
      </c>
      <c r="BJ37" s="23">
        <f t="shared" si="118"/>
        <v>1.3424999999999999E-2</v>
      </c>
      <c r="BK37" s="23" t="str">
        <f t="shared" si="130"/>
        <v>-</v>
      </c>
      <c r="BL37" s="80" t="e">
        <f t="shared" si="120"/>
        <v>#DIV/0!</v>
      </c>
      <c r="BN37" s="32">
        <f t="shared" si="121"/>
        <v>0.17202000000000001</v>
      </c>
      <c r="BO37" s="11">
        <f t="shared" si="122"/>
        <v>-0.92195674921520754</v>
      </c>
      <c r="BQ37" s="22">
        <f t="shared" si="123"/>
        <v>0</v>
      </c>
      <c r="BR37" s="23">
        <f>IF(ISERROR(VLOOKUP($B37,[1]Hedef!$A$4:$ES$45409,87,0)),0,VLOOKUP($B37,[1]Hedef!$A$4:$ES$45409,87,0))</f>
        <v>1.8064999999999998E-2</v>
      </c>
      <c r="BS37" s="23" t="str">
        <f t="shared" si="124"/>
        <v>-</v>
      </c>
      <c r="BT37" s="80" t="e">
        <f t="shared" si="125"/>
        <v>#DIV/0!</v>
      </c>
      <c r="BV37" s="32">
        <f t="shared" si="126"/>
        <v>0.78546000000000005</v>
      </c>
      <c r="BW37" s="11">
        <f t="shared" si="95"/>
        <v>-0.97700073842079804</v>
      </c>
      <c r="BX37" s="127">
        <f>BQ37-'GENEL HEDEF'!CF37</f>
        <v>-1.1399999999999999</v>
      </c>
      <c r="BY37" s="15">
        <f t="shared" si="127"/>
        <v>-1.7347234759768071E-18</v>
      </c>
    </row>
    <row r="38" spans="2:77" ht="13" thickBot="1" x14ac:dyDescent="0.2">
      <c r="B38" s="18">
        <v>20</v>
      </c>
      <c r="C38" s="1" t="s">
        <v>63</v>
      </c>
      <c r="E38" s="186"/>
      <c r="F38" s="23">
        <f>IF(ISERROR(VLOOKUP($B38,[1]Hedef!$A$4:$ES$45409,75,0)),0,VLOOKUP($B38,[1]Hedef!$A$4:$ES$45409,75,0))</f>
        <v>5.1000000000000004E-2</v>
      </c>
      <c r="G38" s="23" t="str">
        <f t="shared" si="102"/>
        <v>-</v>
      </c>
      <c r="H38" s="179" t="e">
        <f t="shared" si="103"/>
        <v>#DIV/0!</v>
      </c>
      <c r="J38" s="32">
        <v>0.38699999999999996</v>
      </c>
      <c r="K38" s="11">
        <f t="shared" si="128"/>
        <v>-0.86821705426356588</v>
      </c>
      <c r="M38" s="186"/>
      <c r="N38" s="23">
        <f>IF(ISERROR(VLOOKUP($B38,[1]Hedef!$A$4:$ES$45409,79,0)),0,VLOOKUP($B38,[1]Hedef!$A$4:$ES$45409,79,0))</f>
        <v>5.3999999999999992E-2</v>
      </c>
      <c r="O38" s="23" t="str">
        <f t="shared" si="104"/>
        <v>-</v>
      </c>
      <c r="P38" s="179" t="e">
        <f t="shared" si="105"/>
        <v>#DIV/0!</v>
      </c>
      <c r="R38" s="32">
        <v>1.3670000000000002</v>
      </c>
      <c r="S38" s="11">
        <f t="shared" si="72"/>
        <v>-0.96049743964886614</v>
      </c>
      <c r="U38" s="186"/>
      <c r="V38" s="23">
        <f>IF(ISERROR(VLOOKUP($B38,[1]Hedef!$A$4:$ES$45409,77,0)),0,VLOOKUP($B38,[1]Hedef!$A$4:$ES$45409,77,0))</f>
        <v>1.2E-2</v>
      </c>
      <c r="W38" s="23" t="str">
        <f t="shared" si="106"/>
        <v>-</v>
      </c>
      <c r="X38" s="179" t="e">
        <f t="shared" si="107"/>
        <v>#DIV/0!</v>
      </c>
      <c r="Z38" s="32">
        <v>0.20499999999999999</v>
      </c>
      <c r="AA38" s="11">
        <f t="shared" si="75"/>
        <v>-0.94146341463414629</v>
      </c>
      <c r="AB38" s="72"/>
      <c r="AC38" s="186"/>
      <c r="AD38" s="23">
        <f>IF(ISERROR(VLOOKUP($B38,[1]Hedef!$A$4:$ES$45409,81,0)),0,VLOOKUP($B38,[1]Hedef!$A$4:$ES$45409,81,0))</f>
        <v>0</v>
      </c>
      <c r="AE38" s="23">
        <f t="shared" si="108"/>
        <v>0</v>
      </c>
      <c r="AF38" s="179" t="e">
        <f t="shared" si="109"/>
        <v>#DIV/0!</v>
      </c>
      <c r="AH38" s="32">
        <v>0.19500000000000003</v>
      </c>
      <c r="AI38" s="11">
        <f t="shared" si="129"/>
        <v>-1</v>
      </c>
      <c r="AK38" s="186"/>
      <c r="AL38" s="23">
        <f>IF(ISERROR(VLOOKUP($B38,[1]Hedef!$A$4:$ES$45409,73,0)),0,VLOOKUP($B38,[1]Hedef!$A$4:$ES$45409,73,0))</f>
        <v>0</v>
      </c>
      <c r="AM38" s="23">
        <f t="shared" si="110"/>
        <v>0</v>
      </c>
      <c r="AN38" s="80" t="e">
        <f t="shared" si="111"/>
        <v>#DIV/0!</v>
      </c>
      <c r="AO38" s="173"/>
      <c r="AP38" s="32">
        <v>0.64799999999999991</v>
      </c>
      <c r="AQ38" s="11">
        <f t="shared" si="81"/>
        <v>-1</v>
      </c>
      <c r="AR38" s="72"/>
      <c r="AS38" s="186"/>
      <c r="AT38" s="23">
        <f>IF(ISERROR(VLOOKUP($B38,[1]Hedef!$A$4:$ES$45409,83,0)),0,VLOOKUP($B38,[1]Hedef!$A$4:$ES$45409,83,0))</f>
        <v>3.6000000000000004E-2</v>
      </c>
      <c r="AU38" s="23" t="str">
        <f t="shared" si="112"/>
        <v>-</v>
      </c>
      <c r="AV38" s="80" t="e">
        <f t="shared" si="113"/>
        <v>#DIV/0!</v>
      </c>
      <c r="AX38" s="32">
        <v>0.34600000000000009</v>
      </c>
      <c r="AY38" s="11">
        <f t="shared" si="114"/>
        <v>-0.89595375722543347</v>
      </c>
      <c r="BA38" s="186"/>
      <c r="BB38" s="23">
        <f>IF(ISERROR(VLOOKUP($B38,[1]Hedef!$A$4:$ES$45409,85,0)),0,VLOOKUP($B38,[1]Hedef!$A$4:$ES$45409,85,0))</f>
        <v>0</v>
      </c>
      <c r="BC38" s="23">
        <f t="shared" si="115"/>
        <v>0</v>
      </c>
      <c r="BD38" s="179" t="e">
        <f t="shared" si="116"/>
        <v>#DIV/0!</v>
      </c>
      <c r="BF38" s="32"/>
      <c r="BG38" s="11">
        <f t="shared" si="117"/>
        <v>0</v>
      </c>
      <c r="BI38" s="22">
        <f t="shared" si="118"/>
        <v>0</v>
      </c>
      <c r="BJ38" s="23">
        <f t="shared" si="118"/>
        <v>3.6000000000000004E-2</v>
      </c>
      <c r="BK38" s="23" t="str">
        <f t="shared" si="130"/>
        <v>-</v>
      </c>
      <c r="BL38" s="80" t="e">
        <f t="shared" si="120"/>
        <v>#DIV/0!</v>
      </c>
      <c r="BN38" s="32">
        <f t="shared" si="121"/>
        <v>0.34600000000000009</v>
      </c>
      <c r="BO38" s="11">
        <f t="shared" si="122"/>
        <v>-0.89595375722543347</v>
      </c>
      <c r="BQ38" s="22">
        <f t="shared" si="123"/>
        <v>0</v>
      </c>
      <c r="BR38" s="23">
        <f>IF(ISERROR(VLOOKUP($B38,[1]Hedef!$A$4:$ES$45409,87,0)),0,VLOOKUP($B38,[1]Hedef!$A$4:$ES$45409,87,0))</f>
        <v>0.15299999999999997</v>
      </c>
      <c r="BS38" s="23" t="str">
        <f t="shared" si="124"/>
        <v>-</v>
      </c>
      <c r="BT38" s="80" t="e">
        <f t="shared" si="125"/>
        <v>#DIV/0!</v>
      </c>
      <c r="BV38" s="32">
        <f t="shared" si="126"/>
        <v>3.1480000000000001</v>
      </c>
      <c r="BW38" s="11">
        <f t="shared" si="95"/>
        <v>-0.95139771283354513</v>
      </c>
      <c r="BX38" s="127">
        <f>BQ38-'GENEL HEDEF'!CF38</f>
        <v>-3.32</v>
      </c>
      <c r="BY38" s="15">
        <f t="shared" si="127"/>
        <v>-4.163336342344337E-17</v>
      </c>
    </row>
    <row r="39" spans="2:77" ht="14" thickTop="1" thickBot="1" x14ac:dyDescent="0.2">
      <c r="B39" s="18"/>
      <c r="C39" s="2" t="s">
        <v>26</v>
      </c>
      <c r="E39" s="67">
        <f>SUM(E31:E38)</f>
        <v>0</v>
      </c>
      <c r="F39" s="67">
        <f>SUM(F31:F38)</f>
        <v>0.16652</v>
      </c>
      <c r="G39" s="67">
        <f>SUM(G31:G38)</f>
        <v>0</v>
      </c>
      <c r="H39" s="180" t="e">
        <f>TRUNC(IF((F39/E39)&gt;1.2,"120%",(F39/E39)),2)</f>
        <v>#DIV/0!</v>
      </c>
      <c r="I39" s="78"/>
      <c r="J39" s="67"/>
      <c r="K39" s="48"/>
      <c r="L39" s="78"/>
      <c r="M39" s="67">
        <f>SUM(M31:M38)</f>
        <v>0</v>
      </c>
      <c r="N39" s="67">
        <f>SUM(N31:N38)</f>
        <v>0.21043499999999998</v>
      </c>
      <c r="O39" s="67">
        <f>SUM(O31:O38)</f>
        <v>0</v>
      </c>
      <c r="P39" s="180" t="e">
        <f>TRUNC(IF((N39/M39)&gt;1.2,"120%",(N39/M39)),2)</f>
        <v>#DIV/0!</v>
      </c>
      <c r="Q39" s="78"/>
      <c r="R39" s="67"/>
      <c r="S39" s="48"/>
      <c r="T39" s="78"/>
      <c r="U39" s="67">
        <f>SUM(U31:U38)</f>
        <v>0</v>
      </c>
      <c r="V39" s="67">
        <f>SUM(V31:V38)</f>
        <v>0.14113500000000001</v>
      </c>
      <c r="W39" s="67">
        <f>SUM(W31:W38)</f>
        <v>0</v>
      </c>
      <c r="X39" s="180" t="e">
        <f>TRUNC(IF((V39/U39)&gt;1.2,"120%",(V39/U39)),2)</f>
        <v>#DIV/0!</v>
      </c>
      <c r="Y39" s="78"/>
      <c r="Z39" s="67"/>
      <c r="AA39" s="48"/>
      <c r="AB39" s="114"/>
      <c r="AC39" s="67">
        <f>SUM(AC31:AC38)</f>
        <v>0</v>
      </c>
      <c r="AD39" s="67">
        <f>SUM(AD31:AD38)</f>
        <v>0.106825</v>
      </c>
      <c r="AE39" s="67">
        <f>SUM(AE31:AE38)</f>
        <v>0</v>
      </c>
      <c r="AF39" s="180" t="e">
        <f>TRUNC(IF((AD39/AC39)&gt;1.2,"120%",(AD39/AC39)),2)</f>
        <v>#DIV/0!</v>
      </c>
      <c r="AG39" s="78"/>
      <c r="AH39" s="67"/>
      <c r="AI39" s="48"/>
      <c r="AJ39" s="78"/>
      <c r="AK39" s="67">
        <f>SUM(AK31:AK38)</f>
        <v>0</v>
      </c>
      <c r="AL39" s="67">
        <f>SUM(AL31:AL38)</f>
        <v>6.0739999999999995E-2</v>
      </c>
      <c r="AM39" s="67">
        <f>SUM(AM31:AM38)</f>
        <v>0</v>
      </c>
      <c r="AN39" s="39" t="e">
        <f>TRUNC(IF((AL39/AK39)&gt;1.2,"120%",(AL39/AK39)),2)</f>
        <v>#DIV/0!</v>
      </c>
      <c r="AO39" s="174"/>
      <c r="AP39" s="67"/>
      <c r="AQ39" s="48"/>
      <c r="AR39" s="74"/>
      <c r="AS39" s="67">
        <f>SUM(AS31:AS38)</f>
        <v>0</v>
      </c>
      <c r="AT39" s="67">
        <f>SUM(AT31:AT38)</f>
        <v>0.16373499999999999</v>
      </c>
      <c r="AU39" s="67">
        <f>SUM(AU31:AU38)</f>
        <v>0</v>
      </c>
      <c r="AV39" s="39" t="e">
        <f>TRUNC(IF((AT39/AS39)&gt;1.2,"120%",(AT39/AS39)),2)</f>
        <v>#DIV/0!</v>
      </c>
      <c r="AX39" s="67"/>
      <c r="AY39" s="48"/>
      <c r="AZ39" s="78"/>
      <c r="BA39" s="67">
        <f>SUM(BA31:BA38)</f>
        <v>0</v>
      </c>
      <c r="BB39" s="67">
        <f>SUM(BB31:BB38)</f>
        <v>0.03</v>
      </c>
      <c r="BC39" s="67">
        <f>SUM(BC31:BC38)</f>
        <v>0</v>
      </c>
      <c r="BD39" s="180" t="e">
        <f>TRUNC(IF((BB39/BA39)&gt;1.2,"120%",(BB39/BA39)),2)</f>
        <v>#DIV/0!</v>
      </c>
      <c r="BF39" s="67"/>
      <c r="BG39" s="48"/>
      <c r="BH39" s="78"/>
      <c r="BI39" s="67">
        <f>SUM(BI31:BI38)</f>
        <v>0</v>
      </c>
      <c r="BJ39" s="67">
        <f>SUM(BJ31:BJ38)</f>
        <v>0.19373499999999999</v>
      </c>
      <c r="BK39" s="67">
        <f>SUM(BK31:BK38)</f>
        <v>0</v>
      </c>
      <c r="BL39" s="39" t="e">
        <f>TRUNC(IF((BJ39/BI39)&gt;1.2,"120%",(BJ39/BI39)),2)</f>
        <v>#DIV/0!</v>
      </c>
      <c r="BN39" s="67"/>
      <c r="BO39" s="48"/>
      <c r="BP39" s="78"/>
      <c r="BQ39" s="67">
        <f>SUM(BQ31:BQ38)</f>
        <v>0</v>
      </c>
      <c r="BR39" s="67">
        <f>SUM(BR31:BR38)</f>
        <v>0.87939000000000012</v>
      </c>
      <c r="BS39" s="67">
        <f>SUM(BS31:BS38)</f>
        <v>0</v>
      </c>
      <c r="BT39" s="39" t="e">
        <f>TRUNC(IF((BR39/BQ39)&gt;1.2,"120%",(BR39/BQ39)),2)</f>
        <v>#DIV/0!</v>
      </c>
      <c r="BV39" s="67"/>
      <c r="BW39" s="48"/>
      <c r="BX39" s="67"/>
      <c r="BY39" s="89"/>
    </row>
    <row r="40" spans="2:77" ht="13" thickTop="1" x14ac:dyDescent="0.15">
      <c r="B40" s="31">
        <v>22</v>
      </c>
      <c r="C40" s="1" t="s">
        <v>47</v>
      </c>
      <c r="E40" s="186"/>
      <c r="F40" s="23">
        <f>IF(ISERROR(VLOOKUP($B40,[1]Hedef!$A$4:$ES$45409,75,0)),0,VLOOKUP($B40,[1]Hedef!$A$4:$ES$45409,75,0))</f>
        <v>5</v>
      </c>
      <c r="G40" s="35" t="str">
        <f>IF((E40-F40)&lt;0, "-", (E40-F40))</f>
        <v>-</v>
      </c>
      <c r="H40" s="179" t="e">
        <f t="shared" ref="H40:H44" si="132">TRUNC(IF((F40/E40)&gt;1.2,"120%",(F40/E40)),2)</f>
        <v>#DIV/0!</v>
      </c>
      <c r="J40" s="32">
        <v>133</v>
      </c>
      <c r="K40" s="11">
        <f>IF(ISERROR((F40-J40)/J40),0,(F40-J40)/J40)</f>
        <v>-0.96240601503759393</v>
      </c>
      <c r="M40" s="186"/>
      <c r="N40" s="23">
        <f>IF(ISERROR(VLOOKUP($B40,[1]Hedef!$A$4:$ES$45409,79,0)),0,VLOOKUP($B40,[1]Hedef!$A$4:$ES$45409,79,0))</f>
        <v>1.25</v>
      </c>
      <c r="O40" s="35" t="str">
        <f>IF((M40-N40)&lt;0, "-", (M40-N40))</f>
        <v>-</v>
      </c>
      <c r="P40" s="179" t="e">
        <f t="shared" ref="P40:P44" si="133">TRUNC(IF((N40/M40)&gt;1.2,"120%",(N40/M40)),2)</f>
        <v>#DIV/0!</v>
      </c>
      <c r="R40" s="32">
        <v>116</v>
      </c>
      <c r="S40" s="11">
        <f>IF(ISERROR((N40-R40)/R40),0,(N40-R40)/R40)</f>
        <v>-0.98922413793103448</v>
      </c>
      <c r="U40" s="186"/>
      <c r="V40" s="23">
        <f>IF(ISERROR(VLOOKUP($B40,[1]Hedef!$A$4:$ES$45409,77,0)),0,VLOOKUP($B40,[1]Hedef!$A$4:$ES$45409,77,0))</f>
        <v>9.875</v>
      </c>
      <c r="W40" s="35" t="str">
        <f>IF((U40-V40)&lt;0, "-", (U40-V40))</f>
        <v>-</v>
      </c>
      <c r="X40" s="179" t="e">
        <f t="shared" ref="X40:X44" si="134">TRUNC(IF((V40/U40)&gt;1.2,"120%",(V40/U40)),2)</f>
        <v>#DIV/0!</v>
      </c>
      <c r="Z40" s="32">
        <v>189</v>
      </c>
      <c r="AA40" s="11">
        <f>IF(ISERROR((V40-Z40)/Z40),0,(V40-Z40)/Z40)</f>
        <v>-0.94775132275132279</v>
      </c>
      <c r="AB40" s="72"/>
      <c r="AC40" s="186"/>
      <c r="AD40" s="23">
        <f>IF(ISERROR(VLOOKUP($B40,[1]Hedef!$A$4:$ES$45409,81,0)),0,VLOOKUP($B40,[1]Hedef!$A$4:$ES$45409,81,0))</f>
        <v>5</v>
      </c>
      <c r="AE40" s="35" t="str">
        <f>IF((AC40-AD40)&lt;0, "-", (AC40-AD40))</f>
        <v>-</v>
      </c>
      <c r="AF40" s="179" t="e">
        <f t="shared" ref="AF40:AF44" si="135">TRUNC(IF((AD40/AC40)&gt;1.2,"120%",(AD40/AC40)),2)</f>
        <v>#DIV/0!</v>
      </c>
      <c r="AH40" s="32">
        <v>109.625</v>
      </c>
      <c r="AI40" s="11">
        <f>IF(ISERROR((AD40-AH40)/AH40),0,(AD40-AH40)/AH40)</f>
        <v>-0.95438996579247437</v>
      </c>
      <c r="AK40" s="186"/>
      <c r="AL40" s="23">
        <f>IF(ISERROR(VLOOKUP($B40,[1]Hedef!$A$4:$ES$45409,73,0)),0,VLOOKUP($B40,[1]Hedef!$A$4:$ES$45409,73,0))</f>
        <v>26</v>
      </c>
      <c r="AM40" s="35" t="str">
        <f>IF((AK40-AL40)&lt;0, "-", (AK40-AL40))</f>
        <v>-</v>
      </c>
      <c r="AN40" s="80" t="e">
        <f t="shared" ref="AN40:AN44" si="136">TRUNC(IF((AL40/AK40)&gt;1.2,"120%",(AL40/AK40)),2)</f>
        <v>#DIV/0!</v>
      </c>
      <c r="AO40" s="173"/>
      <c r="AP40" s="32">
        <v>174</v>
      </c>
      <c r="AQ40" s="11">
        <f>IF(ISERROR((AL40-AP40)/AP40),0,(AL40-AP40)/AP40)</f>
        <v>-0.85057471264367812</v>
      </c>
      <c r="AR40" s="72"/>
      <c r="AS40" s="186"/>
      <c r="AT40" s="23">
        <f>IF(ISERROR(VLOOKUP($B40,[1]Hedef!$A$4:$ES$45409,83,0)),0,VLOOKUP($B40,[1]Hedef!$A$4:$ES$45409,83,0))</f>
        <v>40</v>
      </c>
      <c r="AU40" s="35" t="str">
        <f>IF((AS40-AT40)&lt;0, "-", (AS40-AT40))</f>
        <v>-</v>
      </c>
      <c r="AV40" s="80" t="e">
        <f t="shared" ref="AV40:AV44" si="137">TRUNC(IF((AT40/AS40)&gt;1.2,"120%",(AT40/AS40)),2)</f>
        <v>#DIV/0!</v>
      </c>
      <c r="AX40" s="32">
        <v>1026.625</v>
      </c>
      <c r="AY40" s="11">
        <f>IF(ISERROR((AT40-AX40)/AX40),0,(AT40-AX40)/AX40)</f>
        <v>-0.96103737976378911</v>
      </c>
      <c r="BA40" s="186"/>
      <c r="BB40" s="23">
        <f>IF(ISERROR(VLOOKUP($B40,[1]Hedef!$A$4:$ES$45409,85,0)),0,VLOOKUP($B40,[1]Hedef!$A$4:$ES$45409,85,0))</f>
        <v>40</v>
      </c>
      <c r="BC40" s="35" t="str">
        <f>IF((BA40-BB40)&lt;0, "-", (BA40-BB40))</f>
        <v>-</v>
      </c>
      <c r="BD40" s="179" t="e">
        <f t="shared" ref="BD40:BD44" si="138">TRUNC(IF((BB40/BA40)&gt;1.2,"120%",(BB40/BA40)),2)</f>
        <v>#DIV/0!</v>
      </c>
      <c r="BF40" s="32"/>
      <c r="BG40" s="11">
        <f>IF(ISERROR((BB40-BF40)/BF40),0,(BB40-BF40)/BF40)</f>
        <v>0</v>
      </c>
      <c r="BI40" s="22">
        <f t="shared" ref="BI40:BJ44" si="139">+BA40+AS40</f>
        <v>0</v>
      </c>
      <c r="BJ40" s="23">
        <f t="shared" si="139"/>
        <v>80</v>
      </c>
      <c r="BK40" s="35" t="str">
        <f>IF((BI40-BJ40)&lt;0, "-", (BI40-BJ40))</f>
        <v>-</v>
      </c>
      <c r="BL40" s="80" t="e">
        <f t="shared" ref="BL40:BL44" si="140">TRUNC(IF((BJ40/BI40)&gt;1.2,"120%",(BJ40/BI40)),2)</f>
        <v>#DIV/0!</v>
      </c>
      <c r="BN40" s="32">
        <f t="shared" ref="BN40:BN44" si="141">+BF40+AX40</f>
        <v>1026.625</v>
      </c>
      <c r="BO40" s="11">
        <f>IF(ISERROR((BJ40-BN40)/BN40),0,(BJ40-BN40)/BN40)</f>
        <v>-0.92207475952757822</v>
      </c>
      <c r="BQ40" s="22">
        <f t="shared" ref="BQ40:BQ44" si="142">+AK40+AC40+M40+E40+U40+AS40+BA40</f>
        <v>0</v>
      </c>
      <c r="BR40" s="23">
        <f>IF(ISERROR(VLOOKUP($B40,[1]Hedef!$A$4:$ES$45409,87,0)),0,VLOOKUP($B40,[1]Hedef!$A$4:$ES$45409,87,0))</f>
        <v>127.125</v>
      </c>
      <c r="BS40" s="35" t="str">
        <f>IF((BQ40-BR40)&lt;0, "-", (BQ40-BR40))</f>
        <v>-</v>
      </c>
      <c r="BT40" s="80" t="e">
        <f t="shared" ref="BT40:BT44" si="143">TRUNC(IF((BR40/BQ40)&gt;1.2,"120%",(BR40/BQ40)),2)</f>
        <v>#DIV/0!</v>
      </c>
      <c r="BV40" s="32">
        <f t="shared" ref="BV40:BV44" si="144">+AX40+AP40+AH40+Z40+R40+J40</f>
        <v>1748.25</v>
      </c>
      <c r="BW40" s="11">
        <f>IF(ISERROR((BR40-BV40)/BV40),0,(BR40-BV40)/BV40)</f>
        <v>-0.92728442728442728</v>
      </c>
      <c r="BX40" s="127">
        <f>BQ40-'GENEL HEDEF'!CF40</f>
        <v>-2025</v>
      </c>
      <c r="BY40" s="15">
        <f t="shared" ref="BY40:BY44" si="145">BR40-AL40-AD40-V40-N40-F40-AT40-BB40</f>
        <v>0</v>
      </c>
    </row>
    <row r="41" spans="2:77" x14ac:dyDescent="0.15">
      <c r="B41" s="31">
        <v>999</v>
      </c>
      <c r="C41" s="1" t="s">
        <v>48</v>
      </c>
      <c r="E41" s="186"/>
      <c r="F41" s="23">
        <f>IF(ISERROR(VLOOKUP($B41,[1]Hedef!$A$4:$ES$45409,75,0)),0,VLOOKUP($B41,[1]Hedef!$A$4:$ES$45409,75,0))</f>
        <v>8</v>
      </c>
      <c r="G41" s="35" t="str">
        <f>IF((E41-F41)&lt;0, "-", (E41-F41))</f>
        <v>-</v>
      </c>
      <c r="H41" s="179" t="e">
        <f t="shared" si="132"/>
        <v>#DIV/0!</v>
      </c>
      <c r="J41" s="32">
        <v>163.25</v>
      </c>
      <c r="K41" s="11">
        <f>IF(ISERROR((F41-J41)/J41),0,(F41-J41)/J41)</f>
        <v>-0.95099540581929554</v>
      </c>
      <c r="M41" s="186"/>
      <c r="N41" s="23">
        <f>IF(ISERROR(VLOOKUP($B41,[1]Hedef!$A$4:$ES$45409,79,0)),0,VLOOKUP($B41,[1]Hedef!$A$4:$ES$45409,79,0))</f>
        <v>2.5</v>
      </c>
      <c r="O41" s="35" t="str">
        <f>IF((M41-N41)&lt;0, "-", (M41-N41))</f>
        <v>-</v>
      </c>
      <c r="P41" s="179" t="e">
        <f t="shared" si="133"/>
        <v>#DIV/0!</v>
      </c>
      <c r="R41" s="32">
        <v>184.29166666666669</v>
      </c>
      <c r="S41" s="11">
        <f t="shared" si="72"/>
        <v>-0.98643454668776853</v>
      </c>
      <c r="U41" s="186"/>
      <c r="V41" s="23">
        <f>IF(ISERROR(VLOOKUP($B41,[1]Hedef!$A$4:$ES$45409,77,0)),0,VLOOKUP($B41,[1]Hedef!$A$4:$ES$45409,77,0))</f>
        <v>23.1666666666667</v>
      </c>
      <c r="W41" s="35" t="str">
        <f>IF((U41-V41)&lt;0, "-", (U41-V41))</f>
        <v>-</v>
      </c>
      <c r="X41" s="179" t="e">
        <f t="shared" si="134"/>
        <v>#DIV/0!</v>
      </c>
      <c r="Z41" s="32">
        <v>436</v>
      </c>
      <c r="AA41" s="11">
        <f t="shared" si="75"/>
        <v>-0.94686544342507639</v>
      </c>
      <c r="AB41" s="72"/>
      <c r="AC41" s="186"/>
      <c r="AD41" s="23">
        <f>IF(ISERROR(VLOOKUP($B41,[1]Hedef!$A$4:$ES$45409,81,0)),0,VLOOKUP($B41,[1]Hedef!$A$4:$ES$45409,81,0))</f>
        <v>1</v>
      </c>
      <c r="AE41" s="35" t="str">
        <f>IF((AC41-AD41)&lt;0, "-", (AC41-AD41))</f>
        <v>-</v>
      </c>
      <c r="AF41" s="179" t="e">
        <f t="shared" si="135"/>
        <v>#DIV/0!</v>
      </c>
      <c r="AH41" s="32">
        <v>226.5</v>
      </c>
      <c r="AI41" s="11">
        <f>IF(ISERROR((AD41-AH41)/AH41),0,(AD41-AH41)/AH41)</f>
        <v>-0.99558498896247238</v>
      </c>
      <c r="AK41" s="186"/>
      <c r="AL41" s="23">
        <f>IF(ISERROR(VLOOKUP($B41,[1]Hedef!$A$4:$ES$45409,73,0)),0,VLOOKUP($B41,[1]Hedef!$A$4:$ES$45409,73,0))</f>
        <v>41</v>
      </c>
      <c r="AM41" s="35" t="str">
        <f>IF((AK41-AL41)&lt;0, "-", (AK41-AL41))</f>
        <v>-</v>
      </c>
      <c r="AN41" s="80" t="e">
        <f t="shared" si="136"/>
        <v>#DIV/0!</v>
      </c>
      <c r="AO41" s="173"/>
      <c r="AP41" s="32">
        <v>173</v>
      </c>
      <c r="AQ41" s="11">
        <f t="shared" si="81"/>
        <v>-0.76300578034682076</v>
      </c>
      <c r="AR41" s="72"/>
      <c r="AS41" s="186"/>
      <c r="AT41" s="23">
        <f>IF(ISERROR(VLOOKUP($B41,[1]Hedef!$A$4:$ES$45409,83,0)),0,VLOOKUP($B41,[1]Hedef!$A$4:$ES$45409,83,0))</f>
        <v>22</v>
      </c>
      <c r="AU41" s="35" t="str">
        <f>IF((AS41-AT41)&lt;0, "-", (AS41-AT41))</f>
        <v>-</v>
      </c>
      <c r="AV41" s="80" t="e">
        <f t="shared" si="137"/>
        <v>#DIV/0!</v>
      </c>
      <c r="AX41" s="32">
        <v>704.91666666666674</v>
      </c>
      <c r="AY41" s="11">
        <f>IF(ISERROR((AT41-AX41)/AX41),0,(AT41-AX41)/AX41)</f>
        <v>-0.96879063719115732</v>
      </c>
      <c r="BA41" s="186"/>
      <c r="BB41" s="23">
        <f>IF(ISERROR(VLOOKUP($B41,[1]Hedef!$A$4:$ES$45409,85,0)),0,VLOOKUP($B41,[1]Hedef!$A$4:$ES$45409,85,0))</f>
        <v>0</v>
      </c>
      <c r="BC41" s="35">
        <f>IF((BA41-BB41)&lt;0, "-", (BA41-BB41))</f>
        <v>0</v>
      </c>
      <c r="BD41" s="179" t="e">
        <f t="shared" si="138"/>
        <v>#DIV/0!</v>
      </c>
      <c r="BF41" s="32"/>
      <c r="BG41" s="11">
        <f>IF(ISERROR((BB41-BF41)/BF41),0,(BB41-BF41)/BF41)</f>
        <v>0</v>
      </c>
      <c r="BI41" s="22">
        <f t="shared" si="139"/>
        <v>0</v>
      </c>
      <c r="BJ41" s="23">
        <f t="shared" si="139"/>
        <v>22</v>
      </c>
      <c r="BK41" s="35" t="str">
        <f>IF((BI41-BJ41)&lt;0, "-", (BI41-BJ41))</f>
        <v>-</v>
      </c>
      <c r="BL41" s="80" t="e">
        <f t="shared" si="140"/>
        <v>#DIV/0!</v>
      </c>
      <c r="BN41" s="32">
        <f t="shared" si="141"/>
        <v>704.91666666666674</v>
      </c>
      <c r="BO41" s="11">
        <f>IF(ISERROR((BJ41-BN41)/BN41),0,(BJ41-BN41)/BN41)</f>
        <v>-0.96879063719115732</v>
      </c>
      <c r="BQ41" s="22">
        <f t="shared" si="142"/>
        <v>0</v>
      </c>
      <c r="BR41" s="23">
        <f>IF(ISERROR(VLOOKUP($B41,[1]Hedef!$A$4:$ES$45409,87,0)),0,VLOOKUP($B41,[1]Hedef!$A$4:$ES$45409,87,0))</f>
        <v>97.6666666666667</v>
      </c>
      <c r="BS41" s="35" t="str">
        <f>IF((BQ41-BR41)&lt;0, "-", (BQ41-BR41))</f>
        <v>-</v>
      </c>
      <c r="BT41" s="80" t="e">
        <f t="shared" si="143"/>
        <v>#DIV/0!</v>
      </c>
      <c r="BV41" s="32">
        <f t="shared" si="144"/>
        <v>1887.9583333333335</v>
      </c>
      <c r="BW41" s="11">
        <f t="shared" si="95"/>
        <v>-0.94826863234093262</v>
      </c>
      <c r="BX41" s="127">
        <f>BQ41-'GENEL HEDEF'!CF41</f>
        <v>-2660</v>
      </c>
      <c r="BY41" s="15">
        <f t="shared" si="145"/>
        <v>0</v>
      </c>
    </row>
    <row r="42" spans="2:77" x14ac:dyDescent="0.15">
      <c r="B42" s="18">
        <v>888</v>
      </c>
      <c r="C42" s="1" t="s">
        <v>27</v>
      </c>
      <c r="E42" s="186"/>
      <c r="F42" s="23">
        <f>IF(ISERROR(VLOOKUP($B42,[1]Hedef!$A$4:$ES$45409,75,0)),0,VLOOKUP($B42,[1]Hedef!$A$4:$ES$45409,75,0))</f>
        <v>5</v>
      </c>
      <c r="G42" s="23" t="str">
        <f>IF((E42-F42)&lt;0, "-", (E42-F42))</f>
        <v>-</v>
      </c>
      <c r="H42" s="179" t="e">
        <f t="shared" si="132"/>
        <v>#DIV/0!</v>
      </c>
      <c r="J42" s="32">
        <v>22.6458333333333</v>
      </c>
      <c r="K42" s="11">
        <f>IF(ISERROR((F42-J42)/J42),0,(F42-J42)/J42)</f>
        <v>-0.77920883164673382</v>
      </c>
      <c r="M42" s="186"/>
      <c r="N42" s="23">
        <f>IF(ISERROR(VLOOKUP($B42,[1]Hedef!$A$4:$ES$45409,79,0)),0,VLOOKUP($B42,[1]Hedef!$A$4:$ES$45409,79,0))</f>
        <v>3</v>
      </c>
      <c r="O42" s="23" t="str">
        <f>IF((M42-N42)&lt;0, "-", (M42-N42))</f>
        <v>-</v>
      </c>
      <c r="P42" s="179" t="e">
        <f t="shared" si="133"/>
        <v>#DIV/0!</v>
      </c>
      <c r="R42" s="32">
        <v>49.875</v>
      </c>
      <c r="S42" s="11">
        <f>IF(ISERROR((N42-R42)/R42),0,(N42-R42)/R42)</f>
        <v>-0.93984962406015038</v>
      </c>
      <c r="U42" s="186"/>
      <c r="V42" s="23">
        <f>IF(ISERROR(VLOOKUP($B42,[1]Hedef!$A$4:$ES$45409,77,0)),0,VLOOKUP($B42,[1]Hedef!$A$4:$ES$45409,77,0))</f>
        <v>17</v>
      </c>
      <c r="W42" s="23" t="str">
        <f>IF((U42-V42)&lt;0, "-", (U42-V42))</f>
        <v>-</v>
      </c>
      <c r="X42" s="179" t="e">
        <f t="shared" si="134"/>
        <v>#DIV/0!</v>
      </c>
      <c r="Z42" s="32">
        <v>41</v>
      </c>
      <c r="AA42" s="11">
        <f>IF(ISERROR((V42-Z42)/Z42),0,(V42-Z42)/Z42)</f>
        <v>-0.58536585365853655</v>
      </c>
      <c r="AB42" s="72"/>
      <c r="AC42" s="186"/>
      <c r="AD42" s="23">
        <f>IF(ISERROR(VLOOKUP($B42,[1]Hedef!$A$4:$ES$45409,81,0)),0,VLOOKUP($B42,[1]Hedef!$A$4:$ES$45409,81,0))</f>
        <v>3.09375</v>
      </c>
      <c r="AE42" s="23" t="str">
        <f>IF((AC42-AD42)&lt;0, "-", (AC42-AD42))</f>
        <v>-</v>
      </c>
      <c r="AF42" s="179" t="e">
        <f t="shared" si="135"/>
        <v>#DIV/0!</v>
      </c>
      <c r="AH42" s="32">
        <v>13.916666666666668</v>
      </c>
      <c r="AI42" s="11">
        <f>IF(ISERROR((AD42-AH42)/AH42),0,(AD42-AH42)/AH42)</f>
        <v>-0.77769461077844315</v>
      </c>
      <c r="AK42" s="186"/>
      <c r="AL42" s="23">
        <f>IF(ISERROR(VLOOKUP($B42,[1]Hedef!$A$4:$ES$45409,73,0)),0,VLOOKUP($B42,[1]Hedef!$A$4:$ES$45409,73,0))</f>
        <v>1</v>
      </c>
      <c r="AM42" s="23" t="str">
        <f>IF((AK42-AL42)&lt;0, "-", (AK42-AL42))</f>
        <v>-</v>
      </c>
      <c r="AN42" s="80" t="e">
        <f t="shared" si="136"/>
        <v>#DIV/0!</v>
      </c>
      <c r="AO42" s="173"/>
      <c r="AP42" s="32">
        <v>16.15625</v>
      </c>
      <c r="AQ42" s="11">
        <f>IF(ISERROR((AL42-AP42)/AP42),0,(AL42-AP42)/AP42)</f>
        <v>-0.93810444874274657</v>
      </c>
      <c r="AR42" s="72"/>
      <c r="AS42" s="186"/>
      <c r="AT42" s="23">
        <f>IF(ISERROR(VLOOKUP($B42,[1]Hedef!$A$4:$ES$45409,83,0)),0,VLOOKUP($B42,[1]Hedef!$A$4:$ES$45409,83,0))</f>
        <v>0</v>
      </c>
      <c r="AU42" s="23">
        <f>IF((AS42-AT42)&lt;0, "-", (AS42-AT42))</f>
        <v>0</v>
      </c>
      <c r="AV42" s="80" t="e">
        <f t="shared" si="137"/>
        <v>#DIV/0!</v>
      </c>
      <c r="AX42" s="32">
        <v>53.666666666666671</v>
      </c>
      <c r="AY42" s="11">
        <f>IF(ISERROR((AT42-AX42)/AX42),0,(AT42-AX42)/AX42)</f>
        <v>-1</v>
      </c>
      <c r="BA42" s="186"/>
      <c r="BB42" s="23">
        <f>IF(ISERROR(VLOOKUP($B42,[1]Hedef!$A$4:$ES$45409,85,0)),0,VLOOKUP($B42,[1]Hedef!$A$4:$ES$45409,85,0))</f>
        <v>0</v>
      </c>
      <c r="BC42" s="23">
        <f>IF((BA42-BB42)&lt;0, "-", (BA42-BB42))</f>
        <v>0</v>
      </c>
      <c r="BD42" s="179" t="e">
        <f t="shared" si="138"/>
        <v>#DIV/0!</v>
      </c>
      <c r="BF42" s="32"/>
      <c r="BG42" s="11">
        <f>IF(ISERROR((BB42-BF42)/BF42),0,(BB42-BF42)/BF42)</f>
        <v>0</v>
      </c>
      <c r="BI42" s="22">
        <f t="shared" si="139"/>
        <v>0</v>
      </c>
      <c r="BJ42" s="23">
        <f t="shared" si="139"/>
        <v>0</v>
      </c>
      <c r="BK42" s="23">
        <f>IF((BI42-BJ42)&lt;0, "-", (BI42-BJ42))</f>
        <v>0</v>
      </c>
      <c r="BL42" s="80" t="e">
        <f t="shared" si="140"/>
        <v>#DIV/0!</v>
      </c>
      <c r="BN42" s="32">
        <f t="shared" si="141"/>
        <v>53.666666666666671</v>
      </c>
      <c r="BO42" s="11">
        <f>IF(ISERROR((BJ42-BN42)/BN42),0,(BJ42-BN42)/BN42)</f>
        <v>-1</v>
      </c>
      <c r="BQ42" s="22">
        <f t="shared" si="142"/>
        <v>0</v>
      </c>
      <c r="BR42" s="23">
        <f>IF(ISERROR(VLOOKUP($B42,[1]Hedef!$A$4:$ES$45409,87,0)),0,VLOOKUP($B42,[1]Hedef!$A$4:$ES$45409,87,0))</f>
        <v>29.09375</v>
      </c>
      <c r="BS42" s="23" t="str">
        <f>IF((BQ42-BR42)&lt;0, "-", (BQ42-BR42))</f>
        <v>-</v>
      </c>
      <c r="BT42" s="80" t="e">
        <f t="shared" si="143"/>
        <v>#DIV/0!</v>
      </c>
      <c r="BV42" s="32">
        <f t="shared" si="144"/>
        <v>197.26041666666663</v>
      </c>
      <c r="BW42" s="11">
        <f>IF(ISERROR((BR42-BV42)/BV42),0,(BR42-BV42)/BV42)</f>
        <v>-0.85251095738501348</v>
      </c>
      <c r="BX42" s="127">
        <f>BQ42-'GENEL HEDEF'!CF42</f>
        <v>-500</v>
      </c>
      <c r="BY42" s="15">
        <f t="shared" si="145"/>
        <v>0</v>
      </c>
    </row>
    <row r="43" spans="2:77" x14ac:dyDescent="0.15">
      <c r="B43" s="18">
        <v>14</v>
      </c>
      <c r="C43" s="1" t="s">
        <v>131</v>
      </c>
      <c r="E43" s="186"/>
      <c r="F43" s="23">
        <f>IF(ISERROR(VLOOKUP($B43,[1]Hedef!$A$4:$ES$45409,75,0)),0,VLOOKUP($B43,[1]Hedef!$A$4:$ES$45409,75,0))</f>
        <v>0</v>
      </c>
      <c r="G43" s="23">
        <f>IF((E43-F43)&lt;0, "-", (E43-F43))</f>
        <v>0</v>
      </c>
      <c r="H43" s="179" t="e">
        <f t="shared" si="132"/>
        <v>#DIV/0!</v>
      </c>
      <c r="J43" s="32">
        <v>5.9305610888888918</v>
      </c>
      <c r="K43" s="11">
        <f>IF(ISERROR((F43-J43)/J43),0,(F43-J43)/J43)</f>
        <v>-1</v>
      </c>
      <c r="M43" s="186"/>
      <c r="N43" s="23">
        <f>IF(ISERROR(VLOOKUP($B43,[1]Hedef!$A$4:$ES$45409,79,0)),0,VLOOKUP($B43,[1]Hedef!$A$4:$ES$45409,79,0))</f>
        <v>1.458333333333333</v>
      </c>
      <c r="O43" s="23" t="str">
        <f>IF((M43-N43)&lt;0, "-", (M43-N43))</f>
        <v>-</v>
      </c>
      <c r="P43" s="179" t="e">
        <f t="shared" si="133"/>
        <v>#DIV/0!</v>
      </c>
      <c r="R43" s="32">
        <v>16.83334108</v>
      </c>
      <c r="S43" s="11">
        <f t="shared" ref="S43" si="146">IF(ISERROR((N43-R43)/R43),0,(N43-R43)/R43)</f>
        <v>-0.91336637650228547</v>
      </c>
      <c r="U43" s="186"/>
      <c r="V43" s="23">
        <f>IF(ISERROR(VLOOKUP($B43,[1]Hedef!$A$4:$ES$45409,77,0)),0,VLOOKUP($B43,[1]Hedef!$A$4:$ES$45409,77,0))</f>
        <v>0.30555555555555591</v>
      </c>
      <c r="W43" s="23" t="str">
        <f>IF((U43-V43)&lt;0, "-", (U43-V43))</f>
        <v>-</v>
      </c>
      <c r="X43" s="179" t="e">
        <f t="shared" si="134"/>
        <v>#DIV/0!</v>
      </c>
      <c r="Z43" s="32">
        <v>9.6111177511111165</v>
      </c>
      <c r="AA43" s="11">
        <f t="shared" ref="AA43" si="147">IF(ISERROR((V43-Z43)/Z43),0,(V43-Z43)/Z43)</f>
        <v>-0.96820811444951538</v>
      </c>
      <c r="AB43" s="72"/>
      <c r="AC43" s="186"/>
      <c r="AD43" s="23">
        <f>IF(ISERROR(VLOOKUP($B43,[1]Hedef!$A$4:$ES$45409,81,0)),0,VLOOKUP($B43,[1]Hedef!$A$4:$ES$45409,81,0))</f>
        <v>0</v>
      </c>
      <c r="AE43" s="23">
        <f>IF((AC43-AD43)&lt;0, "-", (AC43-AD43))</f>
        <v>0</v>
      </c>
      <c r="AF43" s="179" t="e">
        <f t="shared" si="135"/>
        <v>#DIV/0!</v>
      </c>
      <c r="AH43" s="32">
        <v>3.9722277555555592</v>
      </c>
      <c r="AI43" s="11">
        <f>IF(ISERROR((AD43-AH43)/AH43),0,(AD43-AH43)/AH43)</f>
        <v>-1</v>
      </c>
      <c r="AK43" s="186"/>
      <c r="AL43" s="23">
        <f>IF(ISERROR(VLOOKUP($B43,[1]Hedef!$A$4:$ES$45409,73,0)),0,VLOOKUP($B43,[1]Hedef!$A$4:$ES$45409,73,0))</f>
        <v>0</v>
      </c>
      <c r="AM43" s="23">
        <f>IF((AK43-AL43)&lt;0, "-", (AK43-AL43))</f>
        <v>0</v>
      </c>
      <c r="AN43" s="80" t="e">
        <f t="shared" si="136"/>
        <v>#DIV/0!</v>
      </c>
      <c r="AO43" s="173"/>
      <c r="AP43" s="32">
        <v>2.8611111111111147</v>
      </c>
      <c r="AQ43" s="11">
        <f t="shared" ref="AQ43" si="148">IF(ISERROR((AL43-AP43)/AP43),0,(AL43-AP43)/AP43)</f>
        <v>-1</v>
      </c>
      <c r="AR43" s="72"/>
      <c r="AS43" s="186"/>
      <c r="AT43" s="23">
        <f>IF(ISERROR(VLOOKUP($B43,[1]Hedef!$A$4:$ES$45409,83,0)),0,VLOOKUP($B43,[1]Hedef!$A$4:$ES$45409,83,0))</f>
        <v>0</v>
      </c>
      <c r="AU43" s="23">
        <f>IF((AS43-AT43)&lt;0, "-", (AS43-AT43))</f>
        <v>0</v>
      </c>
      <c r="AV43" s="80" t="e">
        <f t="shared" si="137"/>
        <v>#DIV/0!</v>
      </c>
      <c r="AX43" s="32">
        <v>4.0000033200000003</v>
      </c>
      <c r="AY43" s="11">
        <f>IF(ISERROR((AT43-AX43)/AX43),0,(AT43-AX43)/AX43)</f>
        <v>-1</v>
      </c>
      <c r="BA43" s="186"/>
      <c r="BB43" s="23">
        <f>IF(ISERROR(VLOOKUP($B43,[1]Hedef!$A$4:$ES$45409,85,0)),0,VLOOKUP($B43,[1]Hedef!$A$4:$ES$45409,85,0))</f>
        <v>0</v>
      </c>
      <c r="BC43" s="23">
        <f>IF((BA43-BB43)&lt;0, "-", (BA43-BB43))</f>
        <v>0</v>
      </c>
      <c r="BD43" s="179"/>
      <c r="BF43" s="32"/>
      <c r="BG43" s="11">
        <f>IF(ISERROR((BB43-BF43)/BF43),0,(BB43-BF43)/BF43)</f>
        <v>0</v>
      </c>
      <c r="BI43" s="22">
        <f t="shared" si="139"/>
        <v>0</v>
      </c>
      <c r="BJ43" s="23">
        <f t="shared" si="139"/>
        <v>0</v>
      </c>
      <c r="BK43" s="23">
        <f>IF((BI43-BJ43)&lt;0, "-", (BI43-BJ43))</f>
        <v>0</v>
      </c>
      <c r="BL43" s="80" t="e">
        <f t="shared" si="140"/>
        <v>#DIV/0!</v>
      </c>
      <c r="BN43" s="32">
        <f t="shared" si="141"/>
        <v>4.0000033200000003</v>
      </c>
      <c r="BO43" s="11">
        <f>IF(ISERROR((BJ43-BN43)/BN43),0,(BJ43-BN43)/BN43)</f>
        <v>-1</v>
      </c>
      <c r="BQ43" s="22">
        <f t="shared" si="142"/>
        <v>0</v>
      </c>
      <c r="BR43" s="23">
        <f>IF(ISERROR(VLOOKUP($B43,[1]Hedef!$A$4:$ES$45409,87,0)),0,VLOOKUP($B43,[1]Hedef!$A$4:$ES$45409,87,0))</f>
        <v>1.7638888888888891</v>
      </c>
      <c r="BS43" s="23" t="str">
        <f>IF((BQ43-BR43)&lt;0, "-", (BQ43-BR43))</f>
        <v>-</v>
      </c>
      <c r="BT43" s="80" t="e">
        <f t="shared" si="143"/>
        <v>#DIV/0!</v>
      </c>
      <c r="BV43" s="32">
        <f t="shared" si="144"/>
        <v>43.208362106666684</v>
      </c>
      <c r="BW43" s="11">
        <f t="shared" ref="BW43" si="149">IF(ISERROR((BR43-BV43)/BV43),0,(BR43-BV43)/BV43)</f>
        <v>-0.95917714065313453</v>
      </c>
      <c r="BX43" s="127">
        <f>BQ43-'GENEL HEDEF'!CF43</f>
        <v>-55</v>
      </c>
      <c r="BY43" s="15">
        <f t="shared" si="145"/>
        <v>0</v>
      </c>
    </row>
    <row r="44" spans="2:77" ht="13" thickBot="1" x14ac:dyDescent="0.2">
      <c r="B44" s="18">
        <v>17</v>
      </c>
      <c r="C44" s="1" t="s">
        <v>61</v>
      </c>
      <c r="E44" s="186"/>
      <c r="F44" s="23">
        <f>IF(ISERROR(VLOOKUP($B44,[1]Hedef!$A$4:$ES$45409,75,0)),0,VLOOKUP($B44,[1]Hedef!$A$4:$ES$45409,75,0))</f>
        <v>0</v>
      </c>
      <c r="G44" s="23">
        <f>IF((E44-F44)&lt;0, "-", (E44-F44))</f>
        <v>0</v>
      </c>
      <c r="H44" s="179" t="e">
        <f t="shared" si="132"/>
        <v>#DIV/0!</v>
      </c>
      <c r="J44" s="32">
        <v>10.41666666666667</v>
      </c>
      <c r="K44" s="11">
        <f>IF(ISERROR((F44-J44)/J44),0,(F44-J44)/J44)</f>
        <v>-1</v>
      </c>
      <c r="M44" s="186"/>
      <c r="N44" s="23">
        <f>IF(ISERROR(VLOOKUP($B44,[1]Hedef!$A$4:$ES$45409,79,0)),0,VLOOKUP($B44,[1]Hedef!$A$4:$ES$45409,79,0))</f>
        <v>0.375</v>
      </c>
      <c r="O44" s="23" t="str">
        <f>IF((M44-N44)&lt;0, "-", (M44-N44))</f>
        <v>-</v>
      </c>
      <c r="P44" s="179" t="e">
        <f t="shared" si="133"/>
        <v>#DIV/0!</v>
      </c>
      <c r="R44" s="32">
        <v>24.749999999999996</v>
      </c>
      <c r="S44" s="11">
        <f t="shared" si="72"/>
        <v>-0.98484848484848486</v>
      </c>
      <c r="U44" s="186"/>
      <c r="V44" s="23">
        <f>IF(ISERROR(VLOOKUP($B44,[1]Hedef!$A$4:$ES$45409,77,0)),0,VLOOKUP($B44,[1]Hedef!$A$4:$ES$45409,77,0))</f>
        <v>0.20833333333333301</v>
      </c>
      <c r="W44" s="23" t="str">
        <f>IF((U44-V44)&lt;0, "-", (U44-V44))</f>
        <v>-</v>
      </c>
      <c r="X44" s="179" t="e">
        <f t="shared" si="134"/>
        <v>#DIV/0!</v>
      </c>
      <c r="Z44" s="32">
        <v>28</v>
      </c>
      <c r="AA44" s="11">
        <f t="shared" si="75"/>
        <v>-0.99255952380952384</v>
      </c>
      <c r="AB44" s="72"/>
      <c r="AC44" s="186"/>
      <c r="AD44" s="23">
        <f>IF(ISERROR(VLOOKUP($B44,[1]Hedef!$A$4:$ES$45409,81,0)),0,VLOOKUP($B44,[1]Hedef!$A$4:$ES$45409,81,0))</f>
        <v>0</v>
      </c>
      <c r="AE44" s="23">
        <f>IF((AC44-AD44)&lt;0, "-", (AC44-AD44))</f>
        <v>0</v>
      </c>
      <c r="AF44" s="179" t="e">
        <f t="shared" si="135"/>
        <v>#DIV/0!</v>
      </c>
      <c r="AH44" s="32">
        <v>15.708333333333336</v>
      </c>
      <c r="AI44" s="11">
        <f>IF(ISERROR((AD44-AH44)/AH44),0,(AD44-AH44)/AH44)</f>
        <v>-1</v>
      </c>
      <c r="AK44" s="186"/>
      <c r="AL44" s="23">
        <f>IF(ISERROR(VLOOKUP($B44,[1]Hedef!$A$4:$ES$45409,73,0)),0,VLOOKUP($B44,[1]Hedef!$A$4:$ES$45409,73,0))</f>
        <v>0</v>
      </c>
      <c r="AM44" s="23">
        <f>IF((AK44-AL44)&lt;0, "-", (AK44-AL44))</f>
        <v>0</v>
      </c>
      <c r="AN44" s="80" t="e">
        <f t="shared" si="136"/>
        <v>#DIV/0!</v>
      </c>
      <c r="AO44" s="173"/>
      <c r="AP44" s="32">
        <v>8.583333333333325</v>
      </c>
      <c r="AQ44" s="11">
        <f t="shared" si="81"/>
        <v>-1</v>
      </c>
      <c r="AR44" s="72"/>
      <c r="AS44" s="186"/>
      <c r="AT44" s="23">
        <f>IF(ISERROR(VLOOKUP($B44,[1]Hedef!$A$4:$ES$45409,83,0)),0,VLOOKUP($B44,[1]Hedef!$A$4:$ES$45409,83,0))</f>
        <v>0</v>
      </c>
      <c r="AU44" s="23">
        <f>IF((AS44-AT44)&lt;0, "-", (AS44-AT44))</f>
        <v>0</v>
      </c>
      <c r="AV44" s="80" t="e">
        <f t="shared" si="137"/>
        <v>#DIV/0!</v>
      </c>
      <c r="AX44" s="32">
        <v>35.166666666666664</v>
      </c>
      <c r="AY44" s="11">
        <f>IF(ISERROR((AT44-AX44)/AX44),0,(AT44-AX44)/AX44)</f>
        <v>-1</v>
      </c>
      <c r="BA44" s="186"/>
      <c r="BB44" s="23">
        <f>IF(ISERROR(VLOOKUP($B44,[1]Hedef!$A$4:$ES$45409,85,0)),0,VLOOKUP($B44,[1]Hedef!$A$4:$ES$45409,85,0))</f>
        <v>0</v>
      </c>
      <c r="BC44" s="23">
        <f>IF((BA44-BB44)&lt;0, "-", (BA44-BB44))</f>
        <v>0</v>
      </c>
      <c r="BD44" s="179" t="e">
        <f t="shared" si="138"/>
        <v>#DIV/0!</v>
      </c>
      <c r="BF44" s="32"/>
      <c r="BG44" s="11">
        <f>IF(ISERROR((BB44-BF44)/BF44),0,(BB44-BF44)/BF44)</f>
        <v>0</v>
      </c>
      <c r="BI44" s="22">
        <f t="shared" si="139"/>
        <v>0</v>
      </c>
      <c r="BJ44" s="23">
        <f t="shared" si="139"/>
        <v>0</v>
      </c>
      <c r="BK44" s="23">
        <f>IF((BI44-BJ44)&lt;0, "-", (BI44-BJ44))</f>
        <v>0</v>
      </c>
      <c r="BL44" s="80" t="e">
        <f t="shared" si="140"/>
        <v>#DIV/0!</v>
      </c>
      <c r="BN44" s="32">
        <f t="shared" si="141"/>
        <v>35.166666666666664</v>
      </c>
      <c r="BO44" s="11">
        <f>IF(ISERROR((BJ44-BN44)/BN44),0,(BJ44-BN44)/BN44)</f>
        <v>-1</v>
      </c>
      <c r="BQ44" s="22">
        <f t="shared" si="142"/>
        <v>0</v>
      </c>
      <c r="BR44" s="23">
        <f>IF(ISERROR(VLOOKUP($B44,[1]Hedef!$A$4:$ES$45409,87,0)),0,VLOOKUP($B44,[1]Hedef!$A$4:$ES$45409,87,0))</f>
        <v>0.58333333333333304</v>
      </c>
      <c r="BS44" s="23" t="str">
        <f>IF((BQ44-BR44)&lt;0, "-", (BQ44-BR44))</f>
        <v>-</v>
      </c>
      <c r="BT44" s="80" t="e">
        <f t="shared" si="143"/>
        <v>#DIV/0!</v>
      </c>
      <c r="BV44" s="32">
        <f t="shared" si="144"/>
        <v>122.62499999999999</v>
      </c>
      <c r="BW44" s="11">
        <f t="shared" si="95"/>
        <v>-0.9952429493713898</v>
      </c>
      <c r="BX44" s="127">
        <f>BQ44-'GENEL HEDEF'!CF44</f>
        <v>-164</v>
      </c>
      <c r="BY44" s="15">
        <f t="shared" si="145"/>
        <v>0</v>
      </c>
    </row>
    <row r="45" spans="2:77" ht="14" thickTop="1" thickBot="1" x14ac:dyDescent="0.2">
      <c r="B45" s="18"/>
      <c r="C45" s="2" t="s">
        <v>28</v>
      </c>
      <c r="E45" s="67">
        <f>SUM(E40:E44)</f>
        <v>0</v>
      </c>
      <c r="F45" s="41">
        <f>SUM(F40:F44)</f>
        <v>18</v>
      </c>
      <c r="G45" s="41">
        <f>SUM(G41:G44)</f>
        <v>0</v>
      </c>
      <c r="H45" s="180" t="e">
        <f>TRUNC(IF((F45/E45)&gt;1.2,"120%",(F45/E45)),2)</f>
        <v>#DIV/0!</v>
      </c>
      <c r="I45" s="78"/>
      <c r="J45" s="41"/>
      <c r="K45" s="48"/>
      <c r="L45" s="78"/>
      <c r="M45" s="67">
        <f>SUM(M40:M44)</f>
        <v>0</v>
      </c>
      <c r="N45" s="41">
        <f>SUM(N40:N44)</f>
        <v>8.5833333333333321</v>
      </c>
      <c r="O45" s="41">
        <f>SUM(O41:O44)</f>
        <v>0</v>
      </c>
      <c r="P45" s="180" t="e">
        <f>TRUNC(IF((N45/M45)&gt;1.2,"120%",(N45/M45)),2)</f>
        <v>#DIV/0!</v>
      </c>
      <c r="Q45" s="78"/>
      <c r="R45" s="41"/>
      <c r="S45" s="48"/>
      <c r="T45" s="78"/>
      <c r="U45" s="67">
        <f>SUM(U40:U44)</f>
        <v>0</v>
      </c>
      <c r="V45" s="41">
        <f>SUM(V40:V44)</f>
        <v>50.555555555555593</v>
      </c>
      <c r="W45" s="41">
        <f>SUM(W41:W44)</f>
        <v>0</v>
      </c>
      <c r="X45" s="180" t="e">
        <f>TRUNC(IF((V45/U45)&gt;1.2,"120%",(V45/U45)),2)</f>
        <v>#DIV/0!</v>
      </c>
      <c r="Y45" s="78"/>
      <c r="Z45" s="41"/>
      <c r="AA45" s="48"/>
      <c r="AB45" s="114"/>
      <c r="AC45" s="67">
        <f>SUM(AC40:AC44)</f>
        <v>0</v>
      </c>
      <c r="AD45" s="41">
        <f>SUM(AD40:AD44)</f>
        <v>9.09375</v>
      </c>
      <c r="AE45" s="41">
        <f>SUM(AE41:AE44)</f>
        <v>0</v>
      </c>
      <c r="AF45" s="180" t="e">
        <f>TRUNC(IF((AD45/AC45)&gt;1.2,"120%",(AD45/AC45)),2)</f>
        <v>#DIV/0!</v>
      </c>
      <c r="AG45" s="78"/>
      <c r="AH45" s="41"/>
      <c r="AI45" s="48"/>
      <c r="AJ45" s="78"/>
      <c r="AK45" s="67">
        <f>SUM(AK40:AK44)</f>
        <v>0</v>
      </c>
      <c r="AL45" s="41">
        <f>SUM(AL40:AL44)</f>
        <v>68</v>
      </c>
      <c r="AM45" s="41">
        <f>SUM(AM41:AM44)</f>
        <v>0</v>
      </c>
      <c r="AN45" s="39" t="e">
        <f>TRUNC(IF((AL45/AK45)&gt;1.2,"120%",(AL45/AK45)),2)</f>
        <v>#DIV/0!</v>
      </c>
      <c r="AO45" s="174"/>
      <c r="AP45" s="41"/>
      <c r="AQ45" s="48"/>
      <c r="AR45" s="74"/>
      <c r="AS45" s="67">
        <f>SUM(AS40:AS44)</f>
        <v>0</v>
      </c>
      <c r="AT45" s="41">
        <f>SUM(AT40:AT44)</f>
        <v>62</v>
      </c>
      <c r="AU45" s="41">
        <f>SUM(AU41:AU44)</f>
        <v>0</v>
      </c>
      <c r="AV45" s="39" t="e">
        <f>TRUNC(IF((AT45/AS45)&gt;1.2,"120%",(AT45/AS45)),2)</f>
        <v>#DIV/0!</v>
      </c>
      <c r="AX45" s="41"/>
      <c r="AY45" s="48"/>
      <c r="AZ45" s="78"/>
      <c r="BA45" s="67">
        <f>SUM(BA40:BA44)</f>
        <v>0</v>
      </c>
      <c r="BB45" s="41">
        <f>SUM(BB40:BB44)</f>
        <v>40</v>
      </c>
      <c r="BC45" s="41">
        <f>SUM(BC41:BC44)</f>
        <v>0</v>
      </c>
      <c r="BD45" s="180" t="e">
        <f>TRUNC(IF((BB45/BA45)&gt;1.2,"120%",(BB45/BA45)),2)</f>
        <v>#DIV/0!</v>
      </c>
      <c r="BF45" s="41"/>
      <c r="BG45" s="48"/>
      <c r="BH45" s="78"/>
      <c r="BI45" s="67">
        <f>SUM(BI40:BI44)</f>
        <v>0</v>
      </c>
      <c r="BJ45" s="41">
        <f>SUM(BJ40:BJ44)</f>
        <v>102</v>
      </c>
      <c r="BK45" s="41">
        <f>SUM(BK41:BK44)</f>
        <v>0</v>
      </c>
      <c r="BL45" s="39" t="e">
        <f>TRUNC(IF((BJ45/BI45)&gt;1.2,"120%",(BJ45/BI45)),2)</f>
        <v>#DIV/0!</v>
      </c>
      <c r="BN45" s="41"/>
      <c r="BO45" s="48"/>
      <c r="BP45" s="78"/>
      <c r="BQ45" s="67">
        <f>SUM(BQ40:BQ44)</f>
        <v>0</v>
      </c>
      <c r="BR45" s="41">
        <f>SUM(BR40:BR44)</f>
        <v>256.23263888888891</v>
      </c>
      <c r="BS45" s="41">
        <f>SUM(BS41:BS44)</f>
        <v>0</v>
      </c>
      <c r="BT45" s="39" t="e">
        <f>TRUNC(IF((BR45/BQ45)&gt;1.2,"120%",(BR45/BQ45)),2)</f>
        <v>#DIV/0!</v>
      </c>
      <c r="BV45" s="41"/>
      <c r="BW45" s="48"/>
      <c r="BX45" s="41"/>
      <c r="BY45" s="89"/>
    </row>
    <row r="46" spans="2:77" ht="13" thickTop="1" x14ac:dyDescent="0.15">
      <c r="B46" s="18">
        <v>52</v>
      </c>
      <c r="C46" s="1" t="s">
        <v>68</v>
      </c>
      <c r="E46" s="186"/>
      <c r="F46" s="23">
        <f>IF(ISERROR(VLOOKUP($B46,[1]Hedef!$A$4:$ES$45409,75,0)),0,VLOOKUP($B46,[1]Hedef!$A$4:$ES$45409,75,0))</f>
        <v>0</v>
      </c>
      <c r="G46" s="23">
        <f t="shared" ref="G46:G56" si="150">IF((E46-F46)&lt;0, "-", (E46-F46))</f>
        <v>0</v>
      </c>
      <c r="H46" s="179" t="e">
        <f t="shared" ref="H46:H56" si="151">TRUNC(IF((F46/E46)&gt;1.2,"120%",(F46/E46)),2)</f>
        <v>#DIV/0!</v>
      </c>
      <c r="J46" s="32">
        <v>0.10896</v>
      </c>
      <c r="K46" s="11">
        <f>IF(ISERROR((F46-J46)/J46),0,(F46-J46)/J46)</f>
        <v>-1</v>
      </c>
      <c r="M46" s="186"/>
      <c r="N46" s="23">
        <f>IF(ISERROR(VLOOKUP($B46,[1]Hedef!$A$4:$ES$45409,79,0)),0,VLOOKUP($B46,[1]Hedef!$A$4:$ES$45409,79,0))</f>
        <v>0</v>
      </c>
      <c r="O46" s="23">
        <f t="shared" ref="O46:O56" si="152">IF((M46-N46)&lt;0, "-", (M46-N46))</f>
        <v>0</v>
      </c>
      <c r="P46" s="179"/>
      <c r="R46" s="32">
        <v>0.74399999999999999</v>
      </c>
      <c r="S46" s="11">
        <f t="shared" si="72"/>
        <v>-1</v>
      </c>
      <c r="U46" s="186"/>
      <c r="V46" s="23">
        <f>IF(ISERROR(VLOOKUP($B46,[1]Hedef!$A$4:$ES$45409,77,0)),0,VLOOKUP($B46,[1]Hedef!$A$4:$ES$45409,77,0))</f>
        <v>0.156</v>
      </c>
      <c r="W46" s="23" t="str">
        <f t="shared" ref="W46:W56" si="153">IF((U46-V46)&lt;0, "-", (U46-V46))</f>
        <v>-</v>
      </c>
      <c r="X46" s="179" t="e">
        <f t="shared" ref="X46:X56" si="154">TRUNC(IF((V46/U46)&gt;1.2,"120%",(V46/U46)),2)</f>
        <v>#DIV/0!</v>
      </c>
      <c r="Z46" s="32">
        <v>0.72980999999999996</v>
      </c>
      <c r="AA46" s="11">
        <f t="shared" si="75"/>
        <v>-0.7862457351913511</v>
      </c>
      <c r="AB46" s="72"/>
      <c r="AC46" s="186"/>
      <c r="AD46" s="23">
        <f>IF(ISERROR(VLOOKUP($B46,[1]Hedef!$A$4:$ES$45409,81,0)),0,VLOOKUP($B46,[1]Hedef!$A$4:$ES$45409,81,0))</f>
        <v>0</v>
      </c>
      <c r="AE46" s="23">
        <f t="shared" ref="AE46:AE56" si="155">IF((AC46-AD46)&lt;0, "-", (AC46-AD46))</f>
        <v>0</v>
      </c>
      <c r="AF46" s="179" t="e">
        <f t="shared" ref="AF46:AF48" si="156">TRUNC(IF((AD46/AC46)&gt;1.2,"120%",(AD46/AC46)),2)</f>
        <v>#DIV/0!</v>
      </c>
      <c r="AH46" s="32">
        <v>0.14448</v>
      </c>
      <c r="AI46" s="11">
        <f t="shared" ref="AI46:AI56" si="157">IF(ISERROR((AD46-AH46)/AH46),0,(AD46-AH46)/AH46)</f>
        <v>-1</v>
      </c>
      <c r="AK46" s="186"/>
      <c r="AL46" s="23">
        <f>IF(ISERROR(VLOOKUP($B46,[1]Hedef!$A$4:$ES$45409,73,0)),0,VLOOKUP($B46,[1]Hedef!$A$4:$ES$45409,73,0))</f>
        <v>0.108</v>
      </c>
      <c r="AM46" s="23" t="str">
        <f t="shared" ref="AM46:AM56" si="158">IF((AK46-AL46)&lt;0, "-", (AK46-AL46))</f>
        <v>-</v>
      </c>
      <c r="AN46" s="80" t="e">
        <f t="shared" ref="AN46:AN56" si="159">TRUNC(IF((AL46/AK46)&gt;1.2,"120%",(AL46/AK46)),2)</f>
        <v>#DIV/0!</v>
      </c>
      <c r="AO46" s="173"/>
      <c r="AP46" s="32">
        <v>0.192</v>
      </c>
      <c r="AQ46" s="11">
        <f t="shared" si="81"/>
        <v>-0.4375</v>
      </c>
      <c r="AR46" s="72"/>
      <c r="AS46" s="186"/>
      <c r="AT46" s="23">
        <f>IF(ISERROR(VLOOKUP($B46,[1]Hedef!$A$4:$ES$45409,83,0)),0,VLOOKUP($B46,[1]Hedef!$A$4:$ES$45409,83,0))</f>
        <v>0</v>
      </c>
      <c r="AU46" s="23">
        <f t="shared" ref="AU46:AU56" si="160">IF((AS46-AT46)&lt;0, "-", (AS46-AT46))</f>
        <v>0</v>
      </c>
      <c r="AV46" s="80"/>
      <c r="AX46" s="32">
        <v>0.504</v>
      </c>
      <c r="AY46" s="11">
        <f t="shared" ref="AY46:AY56" si="161">IF(ISERROR((AT46-AX46)/AX46),0,(AT46-AX46)/AX46)</f>
        <v>-1</v>
      </c>
      <c r="BA46" s="186"/>
      <c r="BB46" s="23">
        <f>IF(ISERROR(VLOOKUP($B46,[1]Hedef!$A$4:$ES$45409,85,0)),0,VLOOKUP($B46,[1]Hedef!$A$4:$ES$45409,85,0))</f>
        <v>9.6479999999999996E-2</v>
      </c>
      <c r="BC46" s="23" t="str">
        <f t="shared" ref="BC46" si="162">IF((BA46-BB46)&lt;0, "-", (BA46-BB46))</f>
        <v>-</v>
      </c>
      <c r="BD46" s="179" t="e">
        <f t="shared" ref="BD46:BD50" si="163">TRUNC(IF((BB46/BA46)&gt;1.2,"120%",(BB46/BA46)),2)</f>
        <v>#DIV/0!</v>
      </c>
      <c r="BF46" s="32"/>
      <c r="BG46" s="11">
        <f t="shared" ref="BG46" si="164">IF(ISERROR((BB46-BF46)/BF46),0,(BB46-BF46)/BF46)</f>
        <v>0</v>
      </c>
      <c r="BI46" s="22">
        <f t="shared" ref="BI46:BJ56" si="165">+BA46+AS46</f>
        <v>0</v>
      </c>
      <c r="BJ46" s="23">
        <f t="shared" si="165"/>
        <v>9.6479999999999996E-2</v>
      </c>
      <c r="BK46" s="23" t="str">
        <f t="shared" ref="BK46" si="166">IF((BI46-BJ46)&lt;0, "-", (BI46-BJ46))</f>
        <v>-</v>
      </c>
      <c r="BL46" s="80" t="e">
        <f t="shared" ref="BL46:BL56" si="167">TRUNC(IF((BJ46/BI46)&gt;1.2,"120%",(BJ46/BI46)),2)</f>
        <v>#DIV/0!</v>
      </c>
      <c r="BN46" s="32">
        <f t="shared" ref="BN46:BN56" si="168">+BF46+AX46</f>
        <v>0.504</v>
      </c>
      <c r="BO46" s="11">
        <f t="shared" ref="BO46" si="169">IF(ISERROR((BJ46-BN46)/BN46),0,(BJ46-BN46)/BN46)</f>
        <v>-0.80857142857142861</v>
      </c>
      <c r="BQ46" s="22">
        <f t="shared" ref="BQ46:BQ56" si="170">+AK46+AC46+M46+E46+U46+AS46+BA46</f>
        <v>0</v>
      </c>
      <c r="BR46" s="23">
        <f>IF(ISERROR(VLOOKUP($B46,[1]Hedef!$A$4:$ES$45409,87,0)),0,VLOOKUP($B46,[1]Hedef!$A$4:$ES$45409,87,0))</f>
        <v>0.36047999999999997</v>
      </c>
      <c r="BS46" s="23" t="str">
        <f t="shared" ref="BS46:BS56" si="171">IF((BQ46-BR46)&lt;0, "-", (BQ46-BR46))</f>
        <v>-</v>
      </c>
      <c r="BT46" s="80" t="e">
        <f t="shared" ref="BT46:BT56" si="172">TRUNC(IF((BR46/BQ46)&gt;1.2,"120%",(BR46/BQ46)),2)</f>
        <v>#DIV/0!</v>
      </c>
      <c r="BV46" s="32">
        <f t="shared" ref="BV46:BV56" si="173">+AX46+AP46+AH46+Z46+R46+J46</f>
        <v>2.4232499999999999</v>
      </c>
      <c r="BW46" s="11">
        <f t="shared" si="95"/>
        <v>-0.85124110182606005</v>
      </c>
      <c r="BX46" s="127">
        <f>BQ46-'GENEL HEDEF'!CF46</f>
        <v>-3.48</v>
      </c>
      <c r="BY46" s="15">
        <f t="shared" ref="BY46:BY56" si="174">BR46-AL46-AD46-V46-N46-F46-AT46-BB46</f>
        <v>0</v>
      </c>
    </row>
    <row r="47" spans="2:77" x14ac:dyDescent="0.15">
      <c r="B47" s="31">
        <v>55</v>
      </c>
      <c r="C47" s="1" t="s">
        <v>69</v>
      </c>
      <c r="E47" s="186"/>
      <c r="F47" s="23">
        <f>IF(ISERROR(VLOOKUP($B47,[1]Hedef!$A$4:$ES$45409,75,0)),0,VLOOKUP($B47,[1]Hedef!$A$4:$ES$45409,75,0))</f>
        <v>0</v>
      </c>
      <c r="G47" s="23">
        <f>IF((E47-F47)&lt;0, "-", (E47-F47))</f>
        <v>0</v>
      </c>
      <c r="H47" s="179" t="e">
        <f t="shared" si="151"/>
        <v>#DIV/0!</v>
      </c>
      <c r="J47" s="32">
        <v>1.24E-2</v>
      </c>
      <c r="K47" s="11">
        <f>IF(ISERROR((F47-J47)/J47),0,(F47-J47)/J47)</f>
        <v>-1</v>
      </c>
      <c r="M47" s="186"/>
      <c r="N47" s="23">
        <f>IF(ISERROR(VLOOKUP($B47,[1]Hedef!$A$4:$ES$45409,79,0)),0,VLOOKUP($B47,[1]Hedef!$A$4:$ES$45409,79,0))</f>
        <v>1.3599999999999999E-2</v>
      </c>
      <c r="O47" s="23" t="str">
        <f>IF((M47-N47)&lt;0, "-", (M47-N47))</f>
        <v>-</v>
      </c>
      <c r="P47" s="179" t="e">
        <f>TRUNC(IF((N47/M47)&gt;1.2,"120%",(N47/M47)),2)</f>
        <v>#DIV/0!</v>
      </c>
      <c r="R47" s="32">
        <v>6.0920000000000002E-2</v>
      </c>
      <c r="S47" s="11">
        <f>IF(ISERROR((N47-R47)/R47),0,(N47-R47)/R47)</f>
        <v>-0.77675640183847672</v>
      </c>
      <c r="U47" s="186"/>
      <c r="V47" s="23">
        <f>IF(ISERROR(VLOOKUP($B47,[1]Hedef!$A$4:$ES$45409,77,0)),0,VLOOKUP($B47,[1]Hedef!$A$4:$ES$45409,77,0))</f>
        <v>2.3599999999999999E-2</v>
      </c>
      <c r="W47" s="23" t="str">
        <f>IF((U47-V47)&lt;0, "-", (U47-V47))</f>
        <v>-</v>
      </c>
      <c r="X47" s="179" t="e">
        <f t="shared" si="154"/>
        <v>#DIV/0!</v>
      </c>
      <c r="Z47" s="32">
        <v>0.34064</v>
      </c>
      <c r="AA47" s="11">
        <f>IF(ISERROR((V47-Z47)/Z47),0,(V47-Z47)/Z47)</f>
        <v>-0.93071864725223108</v>
      </c>
      <c r="AB47" s="72"/>
      <c r="AC47" s="186"/>
      <c r="AD47" s="23">
        <f>IF(ISERROR(VLOOKUP($B47,[1]Hedef!$A$4:$ES$45409,81,0)),0,VLOOKUP($B47,[1]Hedef!$A$4:$ES$45409,81,0))</f>
        <v>0</v>
      </c>
      <c r="AE47" s="23">
        <f>IF((AC47-AD47)&lt;0, "-", (AC47-AD47))</f>
        <v>0</v>
      </c>
      <c r="AF47" s="179" t="e">
        <f t="shared" si="156"/>
        <v>#DIV/0!</v>
      </c>
      <c r="AH47" s="32">
        <v>0.10911999999999999</v>
      </c>
      <c r="AI47" s="11">
        <f>IF(ISERROR((AD47-AH47)/AH47),0,(AD47-AH47)/AH47)</f>
        <v>-1</v>
      </c>
      <c r="AK47" s="198"/>
      <c r="AL47" s="23">
        <f>IF(ISERROR(VLOOKUP($B47,[1]Hedef!$A$4:$ES$45409,73,0)),0,VLOOKUP($B47,[1]Hedef!$A$4:$ES$45409,73,0))</f>
        <v>0</v>
      </c>
      <c r="AM47" s="23">
        <f>IF((AK47-AL47)&lt;0, "-", (AK47-AL47))</f>
        <v>0</v>
      </c>
      <c r="AN47" s="80" t="e">
        <f t="shared" si="159"/>
        <v>#DIV/0!</v>
      </c>
      <c r="AO47" s="173"/>
      <c r="AP47" s="32">
        <v>1.37E-2</v>
      </c>
      <c r="AQ47" s="11">
        <f>IF(ISERROR((AL47-AP47)/AP47),0,(AL47-AP47)/AP47)</f>
        <v>-1</v>
      </c>
      <c r="AR47" s="72"/>
      <c r="AS47" s="186"/>
      <c r="AT47" s="23">
        <f>IF(ISERROR(VLOOKUP($B47,[1]Hedef!$A$4:$ES$45409,83,0)),0,VLOOKUP($B47,[1]Hedef!$A$4:$ES$45409,83,0))</f>
        <v>0</v>
      </c>
      <c r="AU47" s="23">
        <f>IF((AS47-AT47)&lt;0, "-", (AS47-AT47))</f>
        <v>0</v>
      </c>
      <c r="AV47" s="80" t="e">
        <f t="shared" ref="AV47:AV56" si="175">TRUNC(IF((AT47/AS47)&gt;1.2,"120%",(AT47/AS47)),2)</f>
        <v>#DIV/0!</v>
      </c>
      <c r="AX47" s="32">
        <v>6.1759999999999995E-2</v>
      </c>
      <c r="AY47" s="11">
        <f>IF(ISERROR((AT47-AX47)/AX47),0,(AT47-AX47)/AX47)</f>
        <v>-1</v>
      </c>
      <c r="BA47" s="186"/>
      <c r="BB47" s="23">
        <f>IF(ISERROR(VLOOKUP($B47,[1]Hedef!$A$4:$ES$45409,85,0)),0,VLOOKUP($B47,[1]Hedef!$A$4:$ES$45409,85,0))</f>
        <v>0</v>
      </c>
      <c r="BC47" s="23">
        <f>IF((BA47-BB47)&lt;0, "-", (BA47-BB47))</f>
        <v>0</v>
      </c>
      <c r="BD47" s="179" t="e">
        <f t="shared" si="163"/>
        <v>#DIV/0!</v>
      </c>
      <c r="BF47" s="32"/>
      <c r="BG47" s="11">
        <f>IF(ISERROR((BB47-BF47)/BF47),0,(BB47-BF47)/BF47)</f>
        <v>0</v>
      </c>
      <c r="BI47" s="22">
        <f t="shared" si="165"/>
        <v>0</v>
      </c>
      <c r="BJ47" s="23">
        <f t="shared" si="165"/>
        <v>0</v>
      </c>
      <c r="BK47" s="23">
        <f>IF((BI47-BJ47)&lt;0, "-", (BI47-BJ47))</f>
        <v>0</v>
      </c>
      <c r="BL47" s="80" t="e">
        <f t="shared" si="167"/>
        <v>#DIV/0!</v>
      </c>
      <c r="BN47" s="32">
        <f t="shared" si="168"/>
        <v>6.1759999999999995E-2</v>
      </c>
      <c r="BO47" s="11">
        <f>IF(ISERROR((BJ47-BN47)/BN47),0,(BJ47-BN47)/BN47)</f>
        <v>-1</v>
      </c>
      <c r="BQ47" s="22">
        <f t="shared" si="170"/>
        <v>0</v>
      </c>
      <c r="BR47" s="23">
        <f>IF(ISERROR(VLOOKUP($B47,[1]Hedef!$A$4:$ES$45409,87,0)),0,VLOOKUP($B47,[1]Hedef!$A$4:$ES$45409,87,0))</f>
        <v>3.7199999999999997E-2</v>
      </c>
      <c r="BS47" s="23" t="str">
        <f>IF((BQ47-BR47)&lt;0, "-", (BQ47-BR47))</f>
        <v>-</v>
      </c>
      <c r="BT47" s="80" t="e">
        <f t="shared" si="172"/>
        <v>#DIV/0!</v>
      </c>
      <c r="BV47" s="32">
        <f t="shared" si="173"/>
        <v>0.59853999999999996</v>
      </c>
      <c r="BW47" s="11">
        <f>IF(ISERROR((BR47-BV47)/BV47),0,(BR47-BV47)/BV47)</f>
        <v>-0.9378487653289671</v>
      </c>
      <c r="BX47" s="127">
        <f>BQ47-'GENEL HEDEF'!CF47</f>
        <v>-0.83</v>
      </c>
      <c r="BY47" s="15">
        <f t="shared" si="174"/>
        <v>-1.7347234759768071E-18</v>
      </c>
    </row>
    <row r="48" spans="2:77" x14ac:dyDescent="0.15">
      <c r="B48" s="18">
        <v>61</v>
      </c>
      <c r="C48" s="1" t="s">
        <v>46</v>
      </c>
      <c r="E48" s="186"/>
      <c r="F48" s="23">
        <f>IF(ISERROR(VLOOKUP($B48,[1]Hedef!$A$4:$ES$45409,75,0)),0,VLOOKUP($B48,[1]Hedef!$A$4:$ES$45409,75,0))</f>
        <v>0</v>
      </c>
      <c r="G48" s="23">
        <f t="shared" si="150"/>
        <v>0</v>
      </c>
      <c r="H48" s="179" t="e">
        <f t="shared" si="151"/>
        <v>#DIV/0!</v>
      </c>
      <c r="J48" s="32">
        <v>0</v>
      </c>
      <c r="K48" s="11">
        <f t="shared" ref="K48:K54" si="176">IF(ISERROR((F48-J48)/J48),0,(F48-J48)/J48)</f>
        <v>0</v>
      </c>
      <c r="M48" s="186"/>
      <c r="N48" s="23">
        <f>IF(ISERROR(VLOOKUP($B48,[1]Hedef!$A$4:$ES$45409,79,0)),0,VLOOKUP($B48,[1]Hedef!$A$4:$ES$45409,79,0))</f>
        <v>0</v>
      </c>
      <c r="O48" s="23">
        <f t="shared" si="152"/>
        <v>0</v>
      </c>
      <c r="P48" s="179"/>
      <c r="R48" s="32">
        <v>2.5000000000000001E-2</v>
      </c>
      <c r="S48" s="11">
        <f t="shared" si="72"/>
        <v>-1</v>
      </c>
      <c r="U48" s="186"/>
      <c r="V48" s="23">
        <f>IF(ISERROR(VLOOKUP($B48,[1]Hedef!$A$4:$ES$45409,77,0)),0,VLOOKUP($B48,[1]Hedef!$A$4:$ES$45409,77,0))</f>
        <v>0</v>
      </c>
      <c r="W48" s="23">
        <f t="shared" si="153"/>
        <v>0</v>
      </c>
      <c r="X48" s="179" t="e">
        <f t="shared" si="154"/>
        <v>#DIV/0!</v>
      </c>
      <c r="Z48" s="32">
        <v>7.4999999999999997E-2</v>
      </c>
      <c r="AA48" s="11">
        <f t="shared" si="75"/>
        <v>-1</v>
      </c>
      <c r="AB48" s="72"/>
      <c r="AC48" s="186"/>
      <c r="AD48" s="23">
        <f>IF(ISERROR(VLOOKUP($B48,[1]Hedef!$A$4:$ES$45409,81,0)),0,VLOOKUP($B48,[1]Hedef!$A$4:$ES$45409,81,0))</f>
        <v>0</v>
      </c>
      <c r="AE48" s="23">
        <f t="shared" si="155"/>
        <v>0</v>
      </c>
      <c r="AF48" s="179" t="e">
        <f t="shared" si="156"/>
        <v>#DIV/0!</v>
      </c>
      <c r="AH48" s="32">
        <v>0</v>
      </c>
      <c r="AI48" s="11">
        <f t="shared" si="157"/>
        <v>0</v>
      </c>
      <c r="AK48" s="186"/>
      <c r="AL48" s="23">
        <f>IF(ISERROR(VLOOKUP($B48,[1]Hedef!$A$4:$ES$45409,73,0)),0,VLOOKUP($B48,[1]Hedef!$A$4:$ES$45409,73,0))</f>
        <v>0</v>
      </c>
      <c r="AM48" s="23">
        <f t="shared" si="158"/>
        <v>0</v>
      </c>
      <c r="AN48" s="80"/>
      <c r="AO48" s="173"/>
      <c r="AP48" s="32">
        <v>2.5000000000000001E-2</v>
      </c>
      <c r="AQ48" s="11">
        <f t="shared" si="81"/>
        <v>-1</v>
      </c>
      <c r="AR48" s="72"/>
      <c r="AS48" s="189"/>
      <c r="AT48" s="23">
        <f>IF(ISERROR(VLOOKUP($B48,[1]Hedef!$A$4:$ES$45409,83,0)),0,VLOOKUP($B48,[1]Hedef!$A$4:$ES$45409,83,0))</f>
        <v>0</v>
      </c>
      <c r="AU48" s="23">
        <f t="shared" si="160"/>
        <v>0</v>
      </c>
      <c r="AV48" s="80" t="e">
        <f t="shared" si="175"/>
        <v>#DIV/0!</v>
      </c>
      <c r="AX48" s="32">
        <v>0.125</v>
      </c>
      <c r="AY48" s="11">
        <f t="shared" si="161"/>
        <v>-1</v>
      </c>
      <c r="BA48" s="186"/>
      <c r="BB48" s="23">
        <f>IF(ISERROR(VLOOKUP($B48,[1]Hedef!$A$4:$ES$45409,85,0)),0,VLOOKUP($B48,[1]Hedef!$A$4:$ES$45409,85,0))</f>
        <v>0</v>
      </c>
      <c r="BC48" s="23">
        <f t="shared" ref="BC48" si="177">IF((BA48-BB48)&lt;0, "-", (BA48-BB48))</f>
        <v>0</v>
      </c>
      <c r="BD48" s="179" t="e">
        <f t="shared" si="163"/>
        <v>#DIV/0!</v>
      </c>
      <c r="BF48" s="32"/>
      <c r="BG48" s="11">
        <f t="shared" ref="BG48" si="178">IF(ISERROR((BB48-BF48)/BF48),0,(BB48-BF48)/BF48)</f>
        <v>0</v>
      </c>
      <c r="BI48" s="22">
        <f t="shared" si="165"/>
        <v>0</v>
      </c>
      <c r="BJ48" s="23">
        <f t="shared" si="165"/>
        <v>0</v>
      </c>
      <c r="BK48" s="23">
        <f t="shared" ref="BK48" si="179">IF((BI48-BJ48)&lt;0, "-", (BI48-BJ48))</f>
        <v>0</v>
      </c>
      <c r="BL48" s="80" t="e">
        <f t="shared" si="167"/>
        <v>#DIV/0!</v>
      </c>
      <c r="BN48" s="32">
        <f t="shared" si="168"/>
        <v>0.125</v>
      </c>
      <c r="BO48" s="11">
        <f t="shared" ref="BO48" si="180">IF(ISERROR((BJ48-BN48)/BN48),0,(BJ48-BN48)/BN48)</f>
        <v>-1</v>
      </c>
      <c r="BQ48" s="22">
        <f t="shared" si="170"/>
        <v>0</v>
      </c>
      <c r="BR48" s="23">
        <f>IF(ISERROR(VLOOKUP($B48,[1]Hedef!$A$4:$ES$45409,87,0)),0,VLOOKUP($B48,[1]Hedef!$A$4:$ES$45409,87,0))</f>
        <v>0</v>
      </c>
      <c r="BS48" s="23">
        <f t="shared" si="171"/>
        <v>0</v>
      </c>
      <c r="BT48" s="80" t="e">
        <f t="shared" si="172"/>
        <v>#DIV/0!</v>
      </c>
      <c r="BV48" s="32">
        <f t="shared" si="173"/>
        <v>0.24999999999999997</v>
      </c>
      <c r="BW48" s="11">
        <f t="shared" si="95"/>
        <v>-1</v>
      </c>
      <c r="BX48" s="127">
        <f>BQ48-'GENEL HEDEF'!CF48</f>
        <v>-0.32</v>
      </c>
      <c r="BY48" s="15">
        <f t="shared" si="174"/>
        <v>0</v>
      </c>
    </row>
    <row r="49" spans="2:77" x14ac:dyDescent="0.15">
      <c r="B49" s="31">
        <v>27</v>
      </c>
      <c r="C49" s="1" t="s">
        <v>158</v>
      </c>
      <c r="E49" s="186"/>
      <c r="F49" s="23">
        <f>IF(ISERROR(VLOOKUP($B49,[1]Hedef!$A$4:$ES$45409,75,0)),0,VLOOKUP($B49,[1]Hedef!$A$4:$ES$45409,75,0))</f>
        <v>0</v>
      </c>
      <c r="G49" s="23">
        <f>IF((E49-F49)&lt;0, "-", (E49-F49))</f>
        <v>0</v>
      </c>
      <c r="H49" s="179"/>
      <c r="J49" s="32">
        <v>0</v>
      </c>
      <c r="K49" s="11">
        <f>IF(ISERROR((F49-J49)/J49),0,(F49-J49)/J49)</f>
        <v>0</v>
      </c>
      <c r="M49" s="186"/>
      <c r="N49" s="23">
        <f>IF(ISERROR(VLOOKUP($B49,[1]Hedef!$A$4:$ES$45409,79,0)),0,VLOOKUP($B49,[1]Hedef!$A$4:$ES$45409,79,0))</f>
        <v>0</v>
      </c>
      <c r="O49" s="23">
        <f>IF((M49-N49)&lt;0, "-", (M49-N49))</f>
        <v>0</v>
      </c>
      <c r="P49" s="179"/>
      <c r="R49" s="32">
        <v>0</v>
      </c>
      <c r="S49" s="11">
        <f>IF(ISERROR((N49-R49)/R49),0,(N49-R49)/R49)</f>
        <v>0</v>
      </c>
      <c r="U49" s="186"/>
      <c r="V49" s="23">
        <f>IF(ISERROR(VLOOKUP($B49,[1]Hedef!$A$4:$ES$45409,77,0)),0,VLOOKUP($B49,[1]Hedef!$A$4:$ES$45409,77,0))</f>
        <v>0</v>
      </c>
      <c r="W49" s="23">
        <f>IF((U49-V49)&lt;0, "-", (U49-V49))</f>
        <v>0</v>
      </c>
      <c r="X49" s="179"/>
      <c r="Z49" s="32">
        <v>2.5000000000000001E-2</v>
      </c>
      <c r="AA49" s="11">
        <f>IF(ISERROR((V49-Z49)/Z49),0,(V49-Z49)/Z49)</f>
        <v>-1</v>
      </c>
      <c r="AB49" s="72"/>
      <c r="AC49" s="186"/>
      <c r="AD49" s="23">
        <f>IF(ISERROR(VLOOKUP($B49,[1]Hedef!$A$4:$ES$45409,81,0)),0,VLOOKUP($B49,[1]Hedef!$A$4:$ES$45409,81,0))</f>
        <v>0</v>
      </c>
      <c r="AE49" s="23">
        <f>IF((AC49-AD49)&lt;0, "-", (AC49-AD49))</f>
        <v>0</v>
      </c>
      <c r="AF49" s="179"/>
      <c r="AH49" s="32">
        <v>0</v>
      </c>
      <c r="AI49" s="11">
        <f>IF(ISERROR((AD49-AH49)/AH49),0,(AD49-AH49)/AH49)</f>
        <v>0</v>
      </c>
      <c r="AK49" s="186"/>
      <c r="AL49" s="23">
        <f>IF(ISERROR(VLOOKUP($B49,[1]Hedef!$A$4:$ES$45409,73,0)),0,VLOOKUP($B49,[1]Hedef!$A$4:$ES$45409,73,0))</f>
        <v>0</v>
      </c>
      <c r="AM49" s="23">
        <f>IF((AK49-AL49)&lt;0, "-", (AK49-AL49))</f>
        <v>0</v>
      </c>
      <c r="AN49" s="80"/>
      <c r="AO49" s="173"/>
      <c r="AP49" s="32">
        <v>0</v>
      </c>
      <c r="AQ49" s="11">
        <f>IF(ISERROR((AL49-AP49)/AP49),0,(AL49-AP49)/AP49)</f>
        <v>0</v>
      </c>
      <c r="AR49" s="72"/>
      <c r="AS49" s="186"/>
      <c r="AT49" s="23">
        <f>IF(ISERROR(VLOOKUP($B49,[1]Hedef!$A$4:$ES$45409,83,0)),0,VLOOKUP($B49,[1]Hedef!$A$4:$ES$45409,83,0))</f>
        <v>0</v>
      </c>
      <c r="AU49" s="23">
        <f>IF((AS49-AT49)&lt;0, "-", (AS49-AT49))</f>
        <v>0</v>
      </c>
      <c r="AV49" s="80"/>
      <c r="AX49" s="32">
        <v>2.5000000000000001E-2</v>
      </c>
      <c r="AY49" s="11">
        <f>IF(ISERROR((AT49-AX49)/AX49),0,(AT49-AX49)/AX49)</f>
        <v>-1</v>
      </c>
      <c r="BA49" s="186"/>
      <c r="BB49" s="23">
        <f>IF(ISERROR(VLOOKUP($B49,[1]Hedef!$A$4:$ES$45409,85,0)),0,VLOOKUP($B49,[1]Hedef!$A$4:$ES$45409,85,0))</f>
        <v>0</v>
      </c>
      <c r="BC49" s="23">
        <f>IF((BA49-BB49)&lt;0, "-", (BA49-BB49))</f>
        <v>0</v>
      </c>
      <c r="BD49" s="179" t="e">
        <f t="shared" si="163"/>
        <v>#DIV/0!</v>
      </c>
      <c r="BF49" s="32"/>
      <c r="BG49" s="11">
        <f>IF(ISERROR((BB49-BF49)/BF49),0,(BB49-BF49)/BF49)</f>
        <v>0</v>
      </c>
      <c r="BI49" s="22"/>
      <c r="BJ49" s="23">
        <f t="shared" si="165"/>
        <v>0</v>
      </c>
      <c r="BK49" s="23">
        <f>IF((BI49-BJ49)&lt;0, "-", (BI49-BJ49))</f>
        <v>0</v>
      </c>
      <c r="BL49" s="80"/>
      <c r="BN49" s="32">
        <f t="shared" si="168"/>
        <v>2.5000000000000001E-2</v>
      </c>
      <c r="BO49" s="11">
        <f>IF(ISERROR((BJ49-BN49)/BN49),0,(BJ49-BN49)/BN49)</f>
        <v>-1</v>
      </c>
      <c r="BQ49" s="22">
        <f t="shared" si="170"/>
        <v>0</v>
      </c>
      <c r="BR49" s="23">
        <f>IF(ISERROR(VLOOKUP($B49,[1]Hedef!$A$4:$ES$45409,87,0)),0,VLOOKUP($B49,[1]Hedef!$A$4:$ES$45409,87,0))</f>
        <v>0</v>
      </c>
      <c r="BS49" s="23">
        <f>IF((BQ49-BR49)&lt;0, "-", (BQ49-BR49))</f>
        <v>0</v>
      </c>
      <c r="BT49" s="80" t="e">
        <f t="shared" si="172"/>
        <v>#DIV/0!</v>
      </c>
      <c r="BV49" s="32">
        <f t="shared" si="173"/>
        <v>0.05</v>
      </c>
      <c r="BW49" s="11">
        <f>IF(ISERROR((BR49-BV49)/BV49),0,(BR49-BV49)/BV49)</f>
        <v>-1</v>
      </c>
      <c r="BX49" s="127">
        <f>BQ49-'GENEL HEDEF'!CF49</f>
        <v>0</v>
      </c>
      <c r="BY49" s="15">
        <f t="shared" si="174"/>
        <v>0</v>
      </c>
    </row>
    <row r="50" spans="2:77" x14ac:dyDescent="0.15">
      <c r="B50" s="31">
        <v>71</v>
      </c>
      <c r="C50" s="1" t="s">
        <v>64</v>
      </c>
      <c r="E50" s="186"/>
      <c r="F50" s="23">
        <f>IF(ISERROR(VLOOKUP($B50,[1]Hedef!$A$4:$ES$45409,75,0)),0,VLOOKUP($B50,[1]Hedef!$A$4:$ES$45409,75,0))</f>
        <v>2.0500000000000001E-2</v>
      </c>
      <c r="G50" s="23" t="str">
        <f>IF((E50-F50)&lt;0, "-", (E50-F50))</f>
        <v>-</v>
      </c>
      <c r="H50" s="179" t="e">
        <f t="shared" si="151"/>
        <v>#DIV/0!</v>
      </c>
      <c r="J50" s="32">
        <v>5.219E-2</v>
      </c>
      <c r="K50" s="11">
        <f>IF(ISERROR((F50-J50)/J50),0,(F50-J50)/J50)</f>
        <v>-0.60720444529603368</v>
      </c>
      <c r="M50" s="186"/>
      <c r="N50" s="23">
        <f>IF(ISERROR(VLOOKUP($B50,[1]Hedef!$A$4:$ES$45409,79,0)),0,VLOOKUP($B50,[1]Hedef!$A$4:$ES$45409,79,0))</f>
        <v>5.1499999999999997E-2</v>
      </c>
      <c r="O50" s="23" t="str">
        <f>IF((M50-N50)&lt;0, "-", (M50-N50))</f>
        <v>-</v>
      </c>
      <c r="P50" s="179" t="e">
        <f t="shared" ref="P50:P52" si="181">TRUNC(IF((N50/M50)&gt;1.2,"120%",(N50/M50)),2)</f>
        <v>#DIV/0!</v>
      </c>
      <c r="R50" s="32">
        <v>0.17400000000000002</v>
      </c>
      <c r="S50" s="11">
        <f>IF(ISERROR((N50-R50)/R50),0,(N50-R50)/R50)</f>
        <v>-0.70402298850574718</v>
      </c>
      <c r="U50" s="186"/>
      <c r="V50" s="23">
        <f>IF(ISERROR(VLOOKUP($B50,[1]Hedef!$A$4:$ES$45409,77,0)),0,VLOOKUP($B50,[1]Hedef!$A$4:$ES$45409,77,0))</f>
        <v>1.1035E-2</v>
      </c>
      <c r="W50" s="23" t="str">
        <f>IF((U50-V50)&lt;0, "-", (U50-V50))</f>
        <v>-</v>
      </c>
      <c r="X50" s="179" t="e">
        <f t="shared" si="154"/>
        <v>#DIV/0!</v>
      </c>
      <c r="Z50" s="32">
        <v>6.2E-2</v>
      </c>
      <c r="AA50" s="11">
        <f>IF(ISERROR((V50-Z50)/Z50),0,(V50-Z50)/Z50)</f>
        <v>-0.82201612903225796</v>
      </c>
      <c r="AB50" s="72"/>
      <c r="AC50" s="186"/>
      <c r="AD50" s="23">
        <f>IF(ISERROR(VLOOKUP($B50,[1]Hedef!$A$4:$ES$45409,81,0)),0,VLOOKUP($B50,[1]Hedef!$A$4:$ES$45409,81,0))</f>
        <v>8.0000000000000002E-3</v>
      </c>
      <c r="AE50" s="23" t="str">
        <f>IF((AC50-AD50)&lt;0, "-", (AC50-AD50))</f>
        <v>-</v>
      </c>
      <c r="AF50" s="179" t="e">
        <f t="shared" ref="AF50:AF56" si="182">TRUNC(IF((AD50/AC50)&gt;1.2,"120%",(AD50/AC50)),2)</f>
        <v>#DIV/0!</v>
      </c>
      <c r="AH50" s="32">
        <v>2.0500000000000001E-2</v>
      </c>
      <c r="AI50" s="11">
        <f>IF(ISERROR((AD50-AH50)/AH50),0,(AD50-AH50)/AH50)</f>
        <v>-0.6097560975609756</v>
      </c>
      <c r="AK50" s="186"/>
      <c r="AL50" s="23">
        <f>IF(ISERROR(VLOOKUP($B50,[1]Hedef!$A$4:$ES$45409,73,0)),0,VLOOKUP($B50,[1]Hedef!$A$4:$ES$45409,73,0))</f>
        <v>0</v>
      </c>
      <c r="AM50" s="23">
        <f>IF((AK50-AL50)&lt;0, "-", (AK50-AL50))</f>
        <v>0</v>
      </c>
      <c r="AN50" s="80" t="e">
        <f t="shared" si="159"/>
        <v>#DIV/0!</v>
      </c>
      <c r="AO50" s="173"/>
      <c r="AP50" s="32">
        <v>3.2500000000000001E-2</v>
      </c>
      <c r="AQ50" s="11">
        <f>IF(ISERROR((AL50-AP50)/AP50),0,(AL50-AP50)/AP50)</f>
        <v>-1</v>
      </c>
      <c r="AR50" s="72"/>
      <c r="AS50" s="186"/>
      <c r="AT50" s="23">
        <f>IF(ISERROR(VLOOKUP($B50,[1]Hedef!$A$4:$ES$45409,83,0)),0,VLOOKUP($B50,[1]Hedef!$A$4:$ES$45409,83,0))</f>
        <v>1.8000000000000002E-2</v>
      </c>
      <c r="AU50" s="23" t="str">
        <f>IF((AS50-AT50)&lt;0, "-", (AS50-AT50))</f>
        <v>-</v>
      </c>
      <c r="AV50" s="80" t="e">
        <f t="shared" si="175"/>
        <v>#DIV/0!</v>
      </c>
      <c r="AX50" s="32">
        <v>0.26124999999999998</v>
      </c>
      <c r="AY50" s="11">
        <f>IF(ISERROR((AT50-AX50)/AX50),0,(AT50-AX50)/AX50)</f>
        <v>-0.93110047846889943</v>
      </c>
      <c r="BA50" s="186"/>
      <c r="BB50" s="23">
        <f>IF(ISERROR(VLOOKUP($B50,[1]Hedef!$A$4:$ES$45409,85,0)),0,VLOOKUP($B50,[1]Hedef!$A$4:$ES$45409,85,0))</f>
        <v>0</v>
      </c>
      <c r="BC50" s="23">
        <f>IF((BA50-BB50)&lt;0, "-", (BA50-BB50))</f>
        <v>0</v>
      </c>
      <c r="BD50" s="179" t="e">
        <f t="shared" si="163"/>
        <v>#DIV/0!</v>
      </c>
      <c r="BF50" s="32"/>
      <c r="BG50" s="11">
        <f>IF(ISERROR((BB50-BF50)/BF50),0,(BB50-BF50)/BF50)</f>
        <v>0</v>
      </c>
      <c r="BI50" s="22">
        <f t="shared" si="165"/>
        <v>0</v>
      </c>
      <c r="BJ50" s="23">
        <f t="shared" si="165"/>
        <v>1.8000000000000002E-2</v>
      </c>
      <c r="BK50" s="23" t="str">
        <f>IF((BI50-BJ50)&lt;0, "-", (BI50-BJ50))</f>
        <v>-</v>
      </c>
      <c r="BL50" s="80" t="e">
        <f t="shared" si="167"/>
        <v>#DIV/0!</v>
      </c>
      <c r="BN50" s="32">
        <f t="shared" si="168"/>
        <v>0.26124999999999998</v>
      </c>
      <c r="BO50" s="11">
        <f>IF(ISERROR((BJ50-BN50)/BN50),0,(BJ50-BN50)/BN50)</f>
        <v>-0.93110047846889943</v>
      </c>
      <c r="BQ50" s="22">
        <f t="shared" si="170"/>
        <v>0</v>
      </c>
      <c r="BR50" s="23">
        <f>IF(ISERROR(VLOOKUP($B50,[1]Hedef!$A$4:$ES$45409,87,0)),0,VLOOKUP($B50,[1]Hedef!$A$4:$ES$45409,87,0))</f>
        <v>0.10903499999999999</v>
      </c>
      <c r="BS50" s="23" t="str">
        <f>IF((BQ50-BR50)&lt;0, "-", (BQ50-BR50))</f>
        <v>-</v>
      </c>
      <c r="BT50" s="80" t="e">
        <f t="shared" si="172"/>
        <v>#DIV/0!</v>
      </c>
      <c r="BV50" s="32">
        <f t="shared" si="173"/>
        <v>0.60243999999999998</v>
      </c>
      <c r="BW50" s="11">
        <f>IF(ISERROR((BR50-BV50)/BV50),0,(BR50-BV50)/BV50)</f>
        <v>-0.81901102184449903</v>
      </c>
      <c r="BX50" s="127">
        <f>BQ50-'GENEL HEDEF'!CF50</f>
        <v>-1.38</v>
      </c>
      <c r="BY50" s="15">
        <f t="shared" si="174"/>
        <v>-1.7347234759768071E-17</v>
      </c>
    </row>
    <row r="51" spans="2:77" x14ac:dyDescent="0.15">
      <c r="B51" s="31">
        <v>111</v>
      </c>
      <c r="C51" s="1" t="s">
        <v>121</v>
      </c>
      <c r="E51" s="186"/>
      <c r="F51" s="23">
        <f>IF(ISERROR(VLOOKUP($B51,[1]Hedef!$A$4:$ES$45409,75,0)),0,VLOOKUP($B51,[1]Hedef!$A$4:$ES$45409,75,0))</f>
        <v>4.3205000000000007E-2</v>
      </c>
      <c r="G51" s="23" t="str">
        <f>IF((E51-F51)&lt;0, "-", (E51-F51))</f>
        <v>-</v>
      </c>
      <c r="H51" s="179" t="e">
        <f t="shared" si="151"/>
        <v>#DIV/0!</v>
      </c>
      <c r="J51" s="32">
        <v>0.16145500000000002</v>
      </c>
      <c r="K51" s="11">
        <f>IF(ISERROR((F51-J51)/J51),0,(F51-J51)/J51)</f>
        <v>-0.73240221733609978</v>
      </c>
      <c r="M51" s="186"/>
      <c r="N51" s="23">
        <f>IF(ISERROR(VLOOKUP($B51,[1]Hedef!$A$4:$ES$45409,79,0)),0,VLOOKUP($B51,[1]Hedef!$A$4:$ES$45409,79,0))</f>
        <v>3.4980000000000004E-2</v>
      </c>
      <c r="O51" s="23" t="str">
        <f>IF((M51-N51)&lt;0, "-", (M51-N51))</f>
        <v>-</v>
      </c>
      <c r="P51" s="179" t="e">
        <f t="shared" si="181"/>
        <v>#DIV/0!</v>
      </c>
      <c r="R51" s="32">
        <v>0.44340500000000005</v>
      </c>
      <c r="S51" s="11">
        <f>IF(ISERROR((N51-R51)/R51),0,(N51-R51)/R51)</f>
        <v>-0.92111049717526861</v>
      </c>
      <c r="U51" s="186"/>
      <c r="V51" s="23">
        <f>IF(ISERROR(VLOOKUP($B51,[1]Hedef!$A$4:$ES$45409,77,0)),0,VLOOKUP($B51,[1]Hedef!$A$4:$ES$45409,77,0))</f>
        <v>2.7449999999999999E-2</v>
      </c>
      <c r="W51" s="23" t="str">
        <f>IF((U51-V51)&lt;0, "-", (U51-V51))</f>
        <v>-</v>
      </c>
      <c r="X51" s="179" t="e">
        <f t="shared" si="154"/>
        <v>#DIV/0!</v>
      </c>
      <c r="Z51" s="32">
        <v>0.63925500000000002</v>
      </c>
      <c r="AA51" s="11">
        <f>IF(ISERROR((V51-Z51)/Z51),0,(V51-Z51)/Z51)</f>
        <v>-0.95705938944552649</v>
      </c>
      <c r="AB51" s="72"/>
      <c r="AC51" s="186"/>
      <c r="AD51" s="23">
        <f>IF(ISERROR(VLOOKUP($B51,[1]Hedef!$A$4:$ES$45409,81,0)),0,VLOOKUP($B51,[1]Hedef!$A$4:$ES$45409,81,0))</f>
        <v>1.155E-2</v>
      </c>
      <c r="AE51" s="23" t="str">
        <f>IF((AC51-AD51)&lt;0, "-", (AC51-AD51))</f>
        <v>-</v>
      </c>
      <c r="AF51" s="179" t="e">
        <f t="shared" si="182"/>
        <v>#DIV/0!</v>
      </c>
      <c r="AH51" s="32">
        <v>0.21307500000000001</v>
      </c>
      <c r="AI51" s="11">
        <f>IF(ISERROR((AD51-AH51)/AH51),0,(AD51-AH51)/AH51)</f>
        <v>-0.94579373460049276</v>
      </c>
      <c r="AK51" s="186"/>
      <c r="AL51" s="23">
        <f>IF(ISERROR(VLOOKUP($B51,[1]Hedef!$A$4:$ES$45409,73,0)),0,VLOOKUP($B51,[1]Hedef!$A$4:$ES$45409,73,0))</f>
        <v>3.6000000000000002E-4</v>
      </c>
      <c r="AM51" s="23" t="str">
        <f>IF((AK51-AL51)&lt;0, "-", (AK51-AL51))</f>
        <v>-</v>
      </c>
      <c r="AN51" s="80" t="e">
        <f t="shared" si="159"/>
        <v>#DIV/0!</v>
      </c>
      <c r="AO51" s="173"/>
      <c r="AP51" s="32">
        <v>0.11131499999999998</v>
      </c>
      <c r="AQ51" s="11">
        <f>IF(ISERROR((AL51-AP51)/AP51),0,(AL51-AP51)/AP51)</f>
        <v>-0.99676593451017381</v>
      </c>
      <c r="AR51" s="72"/>
      <c r="AS51" s="186"/>
      <c r="AT51" s="23">
        <f>IF(ISERROR(VLOOKUP($B51,[1]Hedef!$A$4:$ES$45409,83,0)),0,VLOOKUP($B51,[1]Hedef!$A$4:$ES$45409,83,0))</f>
        <v>8.3070000000000019E-2</v>
      </c>
      <c r="AU51" s="23" t="str">
        <f>IF((AS51-AT51)&lt;0, "-", (AS51-AT51))</f>
        <v>-</v>
      </c>
      <c r="AV51" s="80" t="e">
        <f t="shared" si="175"/>
        <v>#DIV/0!</v>
      </c>
      <c r="AX51" s="32">
        <v>1.4544349999999999</v>
      </c>
      <c r="AY51" s="11">
        <f>IF(ISERROR((AT51-AX51)/AX51),0,(AT51-AX51)/AX51)</f>
        <v>-0.94288503783256039</v>
      </c>
      <c r="BA51" s="186"/>
      <c r="BB51" s="23">
        <f>IF(ISERROR(VLOOKUP($B51,[1]Hedef!$A$4:$ES$45409,85,0)),0,VLOOKUP($B51,[1]Hedef!$A$4:$ES$45409,85,0))</f>
        <v>0</v>
      </c>
      <c r="BC51" s="23">
        <f>IF((BA51-BB51)&lt;0, "-", (BA51-BB51))</f>
        <v>0</v>
      </c>
      <c r="BD51" s="179"/>
      <c r="BF51" s="32"/>
      <c r="BG51" s="11">
        <f>IF(ISERROR((BB51-BF51)/BF51),0,(BB51-BF51)/BF51)</f>
        <v>0</v>
      </c>
      <c r="BI51" s="22">
        <f t="shared" si="165"/>
        <v>0</v>
      </c>
      <c r="BJ51" s="23">
        <f t="shared" si="165"/>
        <v>8.3070000000000019E-2</v>
      </c>
      <c r="BK51" s="23" t="str">
        <f>IF((BI51-BJ51)&lt;0, "-", (BI51-BJ51))</f>
        <v>-</v>
      </c>
      <c r="BL51" s="80" t="e">
        <f t="shared" si="167"/>
        <v>#DIV/0!</v>
      </c>
      <c r="BN51" s="32">
        <f t="shared" si="168"/>
        <v>1.4544349999999999</v>
      </c>
      <c r="BO51" s="11">
        <f>IF(ISERROR((BJ51-BN51)/BN51),0,(BJ51-BN51)/BN51)</f>
        <v>-0.94288503783256039</v>
      </c>
      <c r="BQ51" s="22">
        <f t="shared" si="170"/>
        <v>0</v>
      </c>
      <c r="BR51" s="23">
        <f>IF(ISERROR(VLOOKUP($B51,[1]Hedef!$A$4:$ES$45409,87,0)),0,VLOOKUP($B51,[1]Hedef!$A$4:$ES$45409,87,0))</f>
        <v>0.20277499999999998</v>
      </c>
      <c r="BS51" s="23" t="str">
        <f>IF((BQ51-BR51)&lt;0, "-", (BQ51-BR51))</f>
        <v>-</v>
      </c>
      <c r="BT51" s="80" t="e">
        <f t="shared" si="172"/>
        <v>#DIV/0!</v>
      </c>
      <c r="BV51" s="32">
        <f t="shared" si="173"/>
        <v>3.0229400000000002</v>
      </c>
      <c r="BW51" s="11">
        <f>IF(ISERROR((BR51-BV51)/BV51),0,(BR51-BV51)/BV51)</f>
        <v>-0.93292126208260839</v>
      </c>
      <c r="BX51" s="127">
        <f>BQ51-'GENEL HEDEF'!CF51</f>
        <v>-5.46</v>
      </c>
      <c r="BY51" s="15">
        <f t="shared" si="174"/>
        <v>2.1599999999999397E-3</v>
      </c>
    </row>
    <row r="52" spans="2:77" x14ac:dyDescent="0.15">
      <c r="B52" s="31">
        <v>135</v>
      </c>
      <c r="C52" s="1" t="s">
        <v>120</v>
      </c>
      <c r="E52" s="186"/>
      <c r="F52" s="23">
        <f>IF(ISERROR(VLOOKUP($B52,[1]Hedef!$A$4:$ES$45409,75,0)),0,VLOOKUP($B52,[1]Hedef!$A$4:$ES$45409,75,0))</f>
        <v>0.10935480000000003</v>
      </c>
      <c r="G52" s="23" t="str">
        <f t="shared" si="150"/>
        <v>-</v>
      </c>
      <c r="H52" s="179" t="e">
        <f t="shared" si="151"/>
        <v>#DIV/0!</v>
      </c>
      <c r="J52" s="32">
        <v>1.4586532000000001</v>
      </c>
      <c r="K52" s="11">
        <f t="shared" si="176"/>
        <v>-0.92503029506945178</v>
      </c>
      <c r="M52" s="187"/>
      <c r="N52" s="23">
        <f>IF(ISERROR(VLOOKUP($B52,[1]Hedef!$A$4:$ES$45409,79,0)),0,VLOOKUP($B52,[1]Hedef!$A$4:$ES$45409,79,0))</f>
        <v>8.8526999999999995E-2</v>
      </c>
      <c r="O52" s="23" t="str">
        <f t="shared" si="152"/>
        <v>-</v>
      </c>
      <c r="P52" s="179" t="e">
        <f t="shared" si="181"/>
        <v>#DIV/0!</v>
      </c>
      <c r="R52" s="32">
        <v>2.8850137999999985</v>
      </c>
      <c r="S52" s="11">
        <f t="shared" si="72"/>
        <v>-0.9693148781472033</v>
      </c>
      <c r="U52" s="186"/>
      <c r="V52" s="23">
        <f>IF(ISERROR(VLOOKUP($B52,[1]Hedef!$A$4:$ES$45409,77,0)),0,VLOOKUP($B52,[1]Hedef!$A$4:$ES$45409,77,0))</f>
        <v>0.10163000000000001</v>
      </c>
      <c r="W52" s="23" t="str">
        <f t="shared" si="153"/>
        <v>-</v>
      </c>
      <c r="X52" s="179" t="e">
        <f t="shared" si="154"/>
        <v>#DIV/0!</v>
      </c>
      <c r="Z52" s="32">
        <v>2.1066410000000002</v>
      </c>
      <c r="AA52" s="11">
        <f t="shared" si="75"/>
        <v>-0.95175732362562004</v>
      </c>
      <c r="AB52" s="72"/>
      <c r="AC52" s="186"/>
      <c r="AD52" s="23">
        <f>IF(ISERROR(VLOOKUP($B52,[1]Hedef!$A$4:$ES$45409,81,0)),0,VLOOKUP($B52,[1]Hedef!$A$4:$ES$45409,81,0))</f>
        <v>1.24E-2</v>
      </c>
      <c r="AE52" s="23" t="str">
        <f t="shared" si="155"/>
        <v>-</v>
      </c>
      <c r="AF52" s="179" t="e">
        <f t="shared" si="182"/>
        <v>#DIV/0!</v>
      </c>
      <c r="AH52" s="32">
        <v>0.4823117999999999</v>
      </c>
      <c r="AI52" s="11">
        <f t="shared" si="157"/>
        <v>-0.97429049009375257</v>
      </c>
      <c r="AK52" s="186"/>
      <c r="AL52" s="23">
        <f>IF(ISERROR(VLOOKUP($B52,[1]Hedef!$A$4:$ES$45409,73,0)),0,VLOOKUP($B52,[1]Hedef!$A$4:$ES$45409,73,0))</f>
        <v>8.5871400000000001E-2</v>
      </c>
      <c r="AM52" s="23" t="str">
        <f t="shared" si="158"/>
        <v>-</v>
      </c>
      <c r="AN52" s="80" t="e">
        <f t="shared" si="159"/>
        <v>#DIV/0!</v>
      </c>
      <c r="AO52" s="173"/>
      <c r="AP52" s="32">
        <v>0.71920260000000003</v>
      </c>
      <c r="AQ52" s="11">
        <f t="shared" si="81"/>
        <v>-0.88060193330780501</v>
      </c>
      <c r="AR52" s="72"/>
      <c r="AS52" s="186"/>
      <c r="AT52" s="23">
        <f>IF(ISERROR(VLOOKUP($B52,[1]Hedef!$A$4:$ES$45409,83,0)),0,VLOOKUP($B52,[1]Hedef!$A$4:$ES$45409,83,0))</f>
        <v>0.65728059999999999</v>
      </c>
      <c r="AU52" s="23" t="str">
        <f t="shared" si="160"/>
        <v>-</v>
      </c>
      <c r="AV52" s="80" t="e">
        <f t="shared" si="175"/>
        <v>#DIV/0!</v>
      </c>
      <c r="AX52" s="32">
        <v>6.1367133999999988</v>
      </c>
      <c r="AY52" s="11">
        <f t="shared" si="161"/>
        <v>-0.89289371082573288</v>
      </c>
      <c r="BA52" s="186"/>
      <c r="BB52" s="23">
        <f>IF(ISERROR(VLOOKUP($B52,[1]Hedef!$A$4:$ES$45409,85,0)),0,VLOOKUP($B52,[1]Hedef!$A$4:$ES$45409,85,0))</f>
        <v>0</v>
      </c>
      <c r="BC52" s="23">
        <f t="shared" ref="BC52" si="183">IF((BA52-BB52)&lt;0, "-", (BA52-BB52))</f>
        <v>0</v>
      </c>
      <c r="BD52" s="179"/>
      <c r="BF52" s="32"/>
      <c r="BG52" s="11">
        <f t="shared" ref="BG52" si="184">IF(ISERROR((BB52-BF52)/BF52),0,(BB52-BF52)/BF52)</f>
        <v>0</v>
      </c>
      <c r="BI52" s="22">
        <f t="shared" si="165"/>
        <v>0</v>
      </c>
      <c r="BJ52" s="23">
        <f t="shared" si="165"/>
        <v>0.65728059999999999</v>
      </c>
      <c r="BK52" s="23" t="str">
        <f t="shared" ref="BK52" si="185">IF((BI52-BJ52)&lt;0, "-", (BI52-BJ52))</f>
        <v>-</v>
      </c>
      <c r="BL52" s="80" t="e">
        <f t="shared" si="167"/>
        <v>#DIV/0!</v>
      </c>
      <c r="BN52" s="32">
        <f t="shared" si="168"/>
        <v>6.1367133999999988</v>
      </c>
      <c r="BO52" s="11">
        <f t="shared" ref="BO52" si="186">IF(ISERROR((BJ52-BN52)/BN52),0,(BJ52-BN52)/BN52)</f>
        <v>-0.89289371082573288</v>
      </c>
      <c r="BQ52" s="22">
        <f t="shared" si="170"/>
        <v>0</v>
      </c>
      <c r="BR52" s="23">
        <f>IF(ISERROR(VLOOKUP($B52,[1]Hedef!$A$4:$ES$45409,87,0)),0,VLOOKUP($B52,[1]Hedef!$A$4:$ES$45409,87,0))</f>
        <v>1.0550637999999997</v>
      </c>
      <c r="BS52" s="23" t="str">
        <f t="shared" si="171"/>
        <v>-</v>
      </c>
      <c r="BT52" s="80" t="e">
        <f t="shared" si="172"/>
        <v>#DIV/0!</v>
      </c>
      <c r="BV52" s="32">
        <f t="shared" si="173"/>
        <v>13.788535799999998</v>
      </c>
      <c r="BW52" s="11">
        <f t="shared" si="95"/>
        <v>-0.92348253539726821</v>
      </c>
      <c r="BX52" s="127">
        <f>BQ52-'GENEL HEDEF'!CF52</f>
        <v>-14.44</v>
      </c>
      <c r="BY52" s="15">
        <f t="shared" si="174"/>
        <v>-4.4408920985006262E-16</v>
      </c>
    </row>
    <row r="53" spans="2:77" x14ac:dyDescent="0.15">
      <c r="B53" s="31">
        <v>222</v>
      </c>
      <c r="C53" s="1" t="s">
        <v>174</v>
      </c>
      <c r="E53" s="189"/>
      <c r="F53" s="23">
        <f>IF(ISERROR(VLOOKUP($B53,[1]Hedef!$A$4:$ES$45409,75,0)),0,VLOOKUP($B53,[1]Hedef!$A$4:$ES$45409,75,0))</f>
        <v>0</v>
      </c>
      <c r="G53" s="23">
        <f>IF((E53-F53)&lt;0, "-", (E53-F53))</f>
        <v>0</v>
      </c>
      <c r="H53" s="179" t="e">
        <f t="shared" ref="H53:H54" si="187">TRUNC(IF((F53/E53)&gt;1.2,"120%",(F53/E53)),2)</f>
        <v>#DIV/0!</v>
      </c>
      <c r="J53" s="32"/>
      <c r="K53" s="11">
        <f t="shared" ref="K53" si="188">IF(ISERROR((F53-J53)/J53),0,(F53-J53)/J53)</f>
        <v>0</v>
      </c>
      <c r="M53" s="189"/>
      <c r="N53" s="23">
        <f>IF(ISERROR(VLOOKUP($B53,[1]Hedef!$A$4:$ES$45409,79,0)),0,VLOOKUP($B53,[1]Hedef!$A$4:$ES$45409,79,0))</f>
        <v>0</v>
      </c>
      <c r="O53" s="23">
        <f>IF((M53-N53)&lt;0, "-", (M53-N53))</f>
        <v>0</v>
      </c>
      <c r="P53" s="179" t="e">
        <f t="shared" ref="P53:P55" si="189">TRUNC(IF((N53/M53)&gt;1.2,"120%",(N53/M53)),2)</f>
        <v>#DIV/0!</v>
      </c>
      <c r="R53" s="32"/>
      <c r="S53" s="11">
        <f>IF(ISERROR((N53-R53)/R53),0,(N53-R53)/R53)</f>
        <v>0</v>
      </c>
      <c r="U53" s="189"/>
      <c r="V53" s="23">
        <f>IF(ISERROR(VLOOKUP($B53,[1]Hedef!$A$4:$ES$45409,77,0)),0,VLOOKUP($B53,[1]Hedef!$A$4:$ES$45409,77,0))</f>
        <v>0</v>
      </c>
      <c r="W53" s="23">
        <f>IF((U53-V53)&lt;0, "-", (U53-V53))</f>
        <v>0</v>
      </c>
      <c r="X53" s="179" t="e">
        <f t="shared" ref="X53" si="190">TRUNC(IF((V53/U53)&gt;1.2,"120%",(V53/U53)),2)</f>
        <v>#DIV/0!</v>
      </c>
      <c r="Z53" s="32"/>
      <c r="AA53" s="11">
        <f>IF(ISERROR((V53-Z53)/Z53),0,(V53-Z53)/Z53)</f>
        <v>0</v>
      </c>
      <c r="AB53" s="72"/>
      <c r="AC53" s="189"/>
      <c r="AD53" s="23">
        <f>IF(ISERROR(VLOOKUP($B53,[1]Hedef!$A$4:$ES$45409,81,0)),0,VLOOKUP($B53,[1]Hedef!$A$4:$ES$45409,81,0))</f>
        <v>0</v>
      </c>
      <c r="AE53" s="23">
        <f>IF((AC53-AD53)&lt;0, "-", (AC53-AD53))</f>
        <v>0</v>
      </c>
      <c r="AF53" s="179" t="e">
        <f t="shared" ref="AF53" si="191">TRUNC(IF((AD53/AC53)&gt;1.2,"120%",(AD53/AC53)),2)</f>
        <v>#DIV/0!</v>
      </c>
      <c r="AH53" s="32"/>
      <c r="AI53" s="11">
        <f>IF(ISERROR((AD53-AH53)/AH53),0,(AD53-AH53)/AH53)</f>
        <v>0</v>
      </c>
      <c r="AK53" s="186"/>
      <c r="AL53" s="23">
        <f>IF(ISERROR(VLOOKUP($B53,[1]Hedef!$A$4:$ES$45409,73,0)),0,VLOOKUP($B53,[1]Hedef!$A$4:$ES$45409,73,0))</f>
        <v>0</v>
      </c>
      <c r="AM53" s="23">
        <f>IF((AK53-AL53)&lt;0, "-", (AK53-AL53))</f>
        <v>0</v>
      </c>
      <c r="AN53" s="80" t="e">
        <f t="shared" ref="AN53" si="192">TRUNC(IF((AL53/AK53)&gt;1.2,"120%",(AL53/AK53)),2)</f>
        <v>#DIV/0!</v>
      </c>
      <c r="AO53" s="173"/>
      <c r="AP53" s="32"/>
      <c r="AQ53" s="11">
        <f>IF(ISERROR((AL53-AP53)/AP53),0,(AL53-AP53)/AP53)</f>
        <v>0</v>
      </c>
      <c r="AR53" s="72"/>
      <c r="AS53" s="186"/>
      <c r="AT53" s="23">
        <f>IF(ISERROR(VLOOKUP($B53,[1]Hedef!$A$4:$ES$45409,83,0)),0,VLOOKUP($B53,[1]Hedef!$A$4:$ES$45409,83,0))</f>
        <v>0</v>
      </c>
      <c r="AU53" s="23">
        <f>IF((AS53-AT53)&lt;0, "-", (AS53-AT53))</f>
        <v>0</v>
      </c>
      <c r="AV53" s="80" t="e">
        <f t="shared" ref="AV53:AV54" si="193">TRUNC(IF((AT53/AS53)&gt;1.2,"120%",(AT53/AS53)),2)</f>
        <v>#DIV/0!</v>
      </c>
      <c r="AX53" s="32"/>
      <c r="AY53" s="11">
        <f>IF(ISERROR((AT53-AX53)/AX53),0,(AT53-AX53)/AX53)</f>
        <v>0</v>
      </c>
      <c r="BA53" s="186"/>
      <c r="BB53" s="23">
        <f>IF(ISERROR(VLOOKUP($B53,[1]Hedef!$A$4:$ES$45409,85,0)),0,VLOOKUP($B53,[1]Hedef!$A$4:$ES$45409,85,0))</f>
        <v>0</v>
      </c>
      <c r="BC53" s="23">
        <f>IF((BA53-BB53)&lt;0, "-", (BA53-BB53))</f>
        <v>0</v>
      </c>
      <c r="BD53" s="179"/>
      <c r="BF53" s="32"/>
      <c r="BG53" s="11">
        <f>IF(ISERROR((BB53-BF53)/BF53),0,(BB53-BF53)/BF53)</f>
        <v>0</v>
      </c>
      <c r="BI53" s="22">
        <f t="shared" si="165"/>
        <v>0</v>
      </c>
      <c r="BJ53" s="23">
        <f t="shared" si="165"/>
        <v>0</v>
      </c>
      <c r="BK53" s="23">
        <f>IF((BI53-BJ53)&lt;0, "-", (BI53-BJ53))</f>
        <v>0</v>
      </c>
      <c r="BL53" s="80" t="e">
        <f t="shared" si="167"/>
        <v>#DIV/0!</v>
      </c>
      <c r="BN53" s="32">
        <f t="shared" si="168"/>
        <v>0</v>
      </c>
      <c r="BO53" s="11">
        <f>IF(ISERROR((BJ53-BN53)/BN53),0,(BJ53-BN53)/BN53)</f>
        <v>0</v>
      </c>
      <c r="BQ53" s="22">
        <f t="shared" si="170"/>
        <v>0</v>
      </c>
      <c r="BR53" s="23">
        <f>IF(ISERROR(VLOOKUP($B53,[1]Hedef!$A$4:$ES$45409,87,0)),0,VLOOKUP($B53,[1]Hedef!$A$4:$ES$45409,87,0))</f>
        <v>0</v>
      </c>
      <c r="BS53" s="23">
        <f>IF((BQ53-BR53)&lt;0, "-", (BQ53-BR53))</f>
        <v>0</v>
      </c>
      <c r="BT53" s="80" t="e">
        <f t="shared" ref="BT53" si="194">TRUNC(IF((BR53/BQ53)&gt;1.2,"120%",(BR53/BQ53)),2)</f>
        <v>#DIV/0!</v>
      </c>
      <c r="BV53" s="32">
        <f t="shared" ref="BV53" si="195">+AX53+AP53+AH53+Z53+R53+J53</f>
        <v>0</v>
      </c>
      <c r="BW53" s="11">
        <f>IF(ISERROR((BR53-BV53)/BV53),0,(BR53-BV53)/BV53)</f>
        <v>0</v>
      </c>
      <c r="BX53" s="127">
        <f>BQ53-'GENEL HEDEF'!CF53</f>
        <v>-0.3</v>
      </c>
      <c r="BY53" s="15">
        <f t="shared" si="174"/>
        <v>0</v>
      </c>
    </row>
    <row r="54" spans="2:77" x14ac:dyDescent="0.15">
      <c r="B54" s="31">
        <v>28</v>
      </c>
      <c r="C54" s="1" t="s">
        <v>29</v>
      </c>
      <c r="E54" s="186"/>
      <c r="F54" s="23">
        <f>IF(ISERROR(VLOOKUP($B54,[1]Hedef!$A$4:$ES$45409,75,0)),0,VLOOKUP($B54,[1]Hedef!$A$4:$ES$45409,75,0))</f>
        <v>2.5000000000000001E-2</v>
      </c>
      <c r="G54" s="23" t="str">
        <f>IF((E54-F54)&lt;0, "-", (E54-F54))</f>
        <v>-</v>
      </c>
      <c r="H54" s="179" t="e">
        <f t="shared" si="187"/>
        <v>#DIV/0!</v>
      </c>
      <c r="J54" s="32">
        <v>2.4400000000000002E-2</v>
      </c>
      <c r="K54" s="11">
        <f t="shared" si="176"/>
        <v>2.4590163934426222E-2</v>
      </c>
      <c r="M54" s="186"/>
      <c r="N54" s="23">
        <f>IF(ISERROR(VLOOKUP($B54,[1]Hedef!$A$4:$ES$45409,79,0)),0,VLOOKUP($B54,[1]Hedef!$A$4:$ES$45409,79,0))</f>
        <v>0</v>
      </c>
      <c r="O54" s="23">
        <f>IF((M54-N54)&lt;0, "-", (M54-N54))</f>
        <v>0</v>
      </c>
      <c r="P54" s="179"/>
      <c r="R54" s="32">
        <v>3.1960000000000002E-2</v>
      </c>
      <c r="S54" s="11">
        <f>IF(ISERROR((N54-R54)/R54),0,(N54-R54)/R54)</f>
        <v>-1</v>
      </c>
      <c r="U54" s="186"/>
      <c r="V54" s="23">
        <f>IF(ISERROR(VLOOKUP($B54,[1]Hedef!$A$4:$ES$45409,77,0)),0,VLOOKUP($B54,[1]Hedef!$A$4:$ES$45409,77,0))</f>
        <v>2.5000000000000001E-2</v>
      </c>
      <c r="W54" s="23" t="str">
        <f>IF((U54-V54)&lt;0, "-", (U54-V54))</f>
        <v>-</v>
      </c>
      <c r="X54" s="179" t="e">
        <f t="shared" si="154"/>
        <v>#DIV/0!</v>
      </c>
      <c r="Z54" s="32">
        <v>0.18795999999999999</v>
      </c>
      <c r="AA54" s="11">
        <f>IF(ISERROR((V54-Z54)/Z54),0,(V54-Z54)/Z54)</f>
        <v>-0.86699297722919777</v>
      </c>
      <c r="AB54" s="72"/>
      <c r="AC54" s="186"/>
      <c r="AD54" s="23">
        <f>IF(ISERROR(VLOOKUP($B54,[1]Hedef!$A$4:$ES$45409,81,0)),0,VLOOKUP($B54,[1]Hedef!$A$4:$ES$45409,81,0))</f>
        <v>0</v>
      </c>
      <c r="AE54" s="23">
        <f>IF((AC54-AD54)&lt;0, "-", (AC54-AD54))</f>
        <v>0</v>
      </c>
      <c r="AF54" s="179" t="e">
        <f t="shared" si="182"/>
        <v>#DIV/0!</v>
      </c>
      <c r="AH54" s="32">
        <v>2.5000000000000001E-2</v>
      </c>
      <c r="AI54" s="11">
        <f>IF(ISERROR((AD54-AH54)/AH54),0,(AD54-AH54)/AH54)</f>
        <v>-1</v>
      </c>
      <c r="AK54" s="186"/>
      <c r="AL54" s="23">
        <f>IF(ISERROR(VLOOKUP($B54,[1]Hedef!$A$4:$ES$45409,73,0)),0,VLOOKUP($B54,[1]Hedef!$A$4:$ES$45409,73,0))</f>
        <v>0</v>
      </c>
      <c r="AM54" s="23">
        <f>IF((AK54-AL54)&lt;0, "-", (AK54-AL54))</f>
        <v>0</v>
      </c>
      <c r="AN54" s="80" t="e">
        <f t="shared" si="159"/>
        <v>#DIV/0!</v>
      </c>
      <c r="AO54" s="173"/>
      <c r="AP54" s="32">
        <v>2.5000000000000001E-2</v>
      </c>
      <c r="AQ54" s="11">
        <f>IF(ISERROR((AL54-AP54)/AP54),0,(AL54-AP54)/AP54)</f>
        <v>-1</v>
      </c>
      <c r="AR54" s="72"/>
      <c r="AS54" s="186"/>
      <c r="AT54" s="23">
        <f>IF(ISERROR(VLOOKUP($B54,[1]Hedef!$A$4:$ES$45409,83,0)),0,VLOOKUP($B54,[1]Hedef!$A$4:$ES$45409,83,0))</f>
        <v>0</v>
      </c>
      <c r="AU54" s="23">
        <f>IF((AS54-AT54)&lt;0, "-", (AS54-AT54))</f>
        <v>0</v>
      </c>
      <c r="AV54" s="80" t="e">
        <f t="shared" si="193"/>
        <v>#DIV/0!</v>
      </c>
      <c r="AX54" s="32">
        <v>0.40864</v>
      </c>
      <c r="AY54" s="11">
        <f>IF(ISERROR((AT54-AX54)/AX54),0,(AT54-AX54)/AX54)</f>
        <v>-1</v>
      </c>
      <c r="BA54" s="186"/>
      <c r="BB54" s="23">
        <f>IF(ISERROR(VLOOKUP($B54,[1]Hedef!$A$4:$ES$45409,85,0)),0,VLOOKUP($B54,[1]Hedef!$A$4:$ES$45409,85,0))</f>
        <v>0</v>
      </c>
      <c r="BC54" s="23">
        <f>IF((BA54-BB54)&lt;0, "-", (BA54-BB54))</f>
        <v>0</v>
      </c>
      <c r="BD54" s="179" t="e">
        <f t="shared" ref="BD54:BD56" si="196">TRUNC(IF((BB54/BA54)&gt;1.2,"120%",(BB54/BA54)),2)</f>
        <v>#DIV/0!</v>
      </c>
      <c r="BF54" s="32"/>
      <c r="BG54" s="11">
        <f>IF(ISERROR((BB54-BF54)/BF54),0,(BB54-BF54)/BF54)</f>
        <v>0</v>
      </c>
      <c r="BI54" s="22">
        <f t="shared" si="165"/>
        <v>0</v>
      </c>
      <c r="BJ54" s="23">
        <f t="shared" si="165"/>
        <v>0</v>
      </c>
      <c r="BK54" s="23">
        <f>IF((BI54-BJ54)&lt;0, "-", (BI54-BJ54))</f>
        <v>0</v>
      </c>
      <c r="BL54" s="80" t="e">
        <f t="shared" si="167"/>
        <v>#DIV/0!</v>
      </c>
      <c r="BN54" s="32">
        <f t="shared" si="168"/>
        <v>0.40864</v>
      </c>
      <c r="BO54" s="11">
        <f>IF(ISERROR((BJ54-BN54)/BN54),0,(BJ54-BN54)/BN54)</f>
        <v>-1</v>
      </c>
      <c r="BQ54" s="22">
        <f t="shared" si="170"/>
        <v>0</v>
      </c>
      <c r="BR54" s="23">
        <f>IF(ISERROR(VLOOKUP($B54,[1]Hedef!$A$4:$ES$45409,87,0)),0,VLOOKUP($B54,[1]Hedef!$A$4:$ES$45409,87,0))</f>
        <v>0.05</v>
      </c>
      <c r="BS54" s="23" t="str">
        <f>IF((BQ54-BR54)&lt;0, "-", (BQ54-BR54))</f>
        <v>-</v>
      </c>
      <c r="BT54" s="80" t="e">
        <f t="shared" si="172"/>
        <v>#DIV/0!</v>
      </c>
      <c r="BV54" s="32">
        <f t="shared" si="173"/>
        <v>0.70296000000000003</v>
      </c>
      <c r="BW54" s="11">
        <f>IF(ISERROR((BR54-BV54)/BV54),0,(BR54-BV54)/BV54)</f>
        <v>-0.92887219756458395</v>
      </c>
      <c r="BX54" s="127">
        <f>BQ54-'GENEL HEDEF'!CF54</f>
        <v>-1.04</v>
      </c>
      <c r="BY54" s="15">
        <f t="shared" si="174"/>
        <v>0</v>
      </c>
    </row>
    <row r="55" spans="2:77" x14ac:dyDescent="0.15">
      <c r="B55" s="18">
        <v>32</v>
      </c>
      <c r="C55" s="1" t="s">
        <v>30</v>
      </c>
      <c r="E55" s="186"/>
      <c r="F55" s="23">
        <f>IF(ISERROR(VLOOKUP($B55,[1]Hedef!$A$4:$ES$45409,75,0)),0,VLOOKUP($B55,[1]Hedef!$A$4:$ES$45409,75,0))</f>
        <v>2.2200000000000002E-3</v>
      </c>
      <c r="G55" s="23" t="str">
        <f t="shared" si="150"/>
        <v>-</v>
      </c>
      <c r="H55" s="179" t="e">
        <f t="shared" si="151"/>
        <v>#DIV/0!</v>
      </c>
      <c r="J55" s="32">
        <v>0.15621000000000002</v>
      </c>
      <c r="K55" s="11">
        <f>IF(ISERROR((F55-J55)/J55),0,(F55-J55)/J55)</f>
        <v>-0.98578836182062612</v>
      </c>
      <c r="M55" s="186"/>
      <c r="N55" s="23">
        <f>IF(ISERROR(VLOOKUP($B55,[1]Hedef!$A$4:$ES$45409,79,0)),0,VLOOKUP($B55,[1]Hedef!$A$4:$ES$45409,79,0))</f>
        <v>2.886E-2</v>
      </c>
      <c r="O55" s="23" t="str">
        <f t="shared" si="152"/>
        <v>-</v>
      </c>
      <c r="P55" s="179" t="e">
        <f t="shared" si="189"/>
        <v>#DIV/0!</v>
      </c>
      <c r="R55" s="32">
        <v>0.12104000000000001</v>
      </c>
      <c r="S55" s="11">
        <f t="shared" si="72"/>
        <v>-0.76156642432253807</v>
      </c>
      <c r="U55" s="186"/>
      <c r="V55" s="23">
        <f>IF(ISERROR(VLOOKUP($B55,[1]Hedef!$A$4:$ES$45409,77,0)),0,VLOOKUP($B55,[1]Hedef!$A$4:$ES$45409,77,0))</f>
        <v>7.4000000000000003E-3</v>
      </c>
      <c r="W55" s="23" t="str">
        <f t="shared" si="153"/>
        <v>-</v>
      </c>
      <c r="X55" s="179" t="e">
        <f t="shared" si="154"/>
        <v>#DIV/0!</v>
      </c>
      <c r="Z55" s="32">
        <v>0.33621999999999996</v>
      </c>
      <c r="AA55" s="11">
        <f t="shared" si="75"/>
        <v>-0.97799060139194571</v>
      </c>
      <c r="AB55" s="72"/>
      <c r="AC55" s="186"/>
      <c r="AD55" s="23">
        <f>IF(ISERROR(VLOOKUP($B55,[1]Hedef!$A$4:$ES$45409,81,0)),0,VLOOKUP($B55,[1]Hedef!$A$4:$ES$45409,81,0))</f>
        <v>4.9000000000000002E-2</v>
      </c>
      <c r="AE55" s="23" t="str">
        <f t="shared" si="155"/>
        <v>-</v>
      </c>
      <c r="AF55" s="179" t="e">
        <f t="shared" si="182"/>
        <v>#DIV/0!</v>
      </c>
      <c r="AH55" s="32">
        <v>6.3170000000000004E-2</v>
      </c>
      <c r="AI55" s="11">
        <f t="shared" si="157"/>
        <v>-0.2243153395599177</v>
      </c>
      <c r="AK55" s="186"/>
      <c r="AL55" s="23">
        <f>IF(ISERROR(VLOOKUP($B55,[1]Hedef!$A$4:$ES$45409,73,0)),0,VLOOKUP($B55,[1]Hedef!$A$4:$ES$45409,73,0))</f>
        <v>0</v>
      </c>
      <c r="AM55" s="23">
        <f t="shared" si="158"/>
        <v>0</v>
      </c>
      <c r="AN55" s="80" t="e">
        <f t="shared" si="159"/>
        <v>#DIV/0!</v>
      </c>
      <c r="AO55" s="173"/>
      <c r="AP55" s="32">
        <v>1.4719999999999999E-2</v>
      </c>
      <c r="AQ55" s="11">
        <f t="shared" si="81"/>
        <v>-1</v>
      </c>
      <c r="AR55" s="72"/>
      <c r="AS55" s="186"/>
      <c r="AT55" s="23">
        <f>IF(ISERROR(VLOOKUP($B55,[1]Hedef!$A$4:$ES$45409,83,0)),0,VLOOKUP($B55,[1]Hedef!$A$4:$ES$45409,83,0))</f>
        <v>0</v>
      </c>
      <c r="AU55" s="23">
        <f t="shared" si="160"/>
        <v>0</v>
      </c>
      <c r="AV55" s="80" t="e">
        <f t="shared" si="175"/>
        <v>#DIV/0!</v>
      </c>
      <c r="AX55" s="32">
        <v>0.71536</v>
      </c>
      <c r="AY55" s="11">
        <f t="shared" si="161"/>
        <v>-1</v>
      </c>
      <c r="BA55" s="186"/>
      <c r="BB55" s="23">
        <f>IF(ISERROR(VLOOKUP($B55,[1]Hedef!$A$4:$ES$45409,85,0)),0,VLOOKUP($B55,[1]Hedef!$A$4:$ES$45409,85,0))</f>
        <v>0</v>
      </c>
      <c r="BC55" s="23">
        <f t="shared" ref="BC55:BC56" si="197">IF((BA55-BB55)&lt;0, "-", (BA55-BB55))</f>
        <v>0</v>
      </c>
      <c r="BD55" s="179" t="e">
        <f t="shared" si="196"/>
        <v>#DIV/0!</v>
      </c>
      <c r="BF55" s="32"/>
      <c r="BG55" s="11">
        <f t="shared" ref="BG55:BG56" si="198">IF(ISERROR((BB55-BF55)/BF55),0,(BB55-BF55)/BF55)</f>
        <v>0</v>
      </c>
      <c r="BI55" s="22">
        <f t="shared" si="165"/>
        <v>0</v>
      </c>
      <c r="BJ55" s="23">
        <f t="shared" si="165"/>
        <v>0</v>
      </c>
      <c r="BK55" s="23">
        <f t="shared" ref="BK55:BK56" si="199">IF((BI55-BJ55)&lt;0, "-", (BI55-BJ55))</f>
        <v>0</v>
      </c>
      <c r="BL55" s="80" t="e">
        <f t="shared" si="167"/>
        <v>#DIV/0!</v>
      </c>
      <c r="BN55" s="32">
        <f t="shared" si="168"/>
        <v>0.71536</v>
      </c>
      <c r="BO55" s="11">
        <f t="shared" ref="BO55:BO56" si="200">IF(ISERROR((BJ55-BN55)/BN55),0,(BJ55-BN55)/BN55)</f>
        <v>-1</v>
      </c>
      <c r="BQ55" s="22">
        <f t="shared" si="170"/>
        <v>0</v>
      </c>
      <c r="BR55" s="23">
        <f>IF(ISERROR(VLOOKUP($B55,[1]Hedef!$A$4:$ES$45409,87,0)),0,VLOOKUP($B55,[1]Hedef!$A$4:$ES$45409,87,0))</f>
        <v>8.7480000000000002E-2</v>
      </c>
      <c r="BS55" s="23" t="str">
        <f t="shared" si="171"/>
        <v>-</v>
      </c>
      <c r="BT55" s="80" t="e">
        <f t="shared" si="172"/>
        <v>#DIV/0!</v>
      </c>
      <c r="BV55" s="32">
        <f t="shared" si="173"/>
        <v>1.40672</v>
      </c>
      <c r="BW55" s="11">
        <f t="shared" si="95"/>
        <v>-0.93781278434940851</v>
      </c>
      <c r="BX55" s="127">
        <f>BQ55-'GENEL HEDEF'!CF55</f>
        <v>-1.42</v>
      </c>
      <c r="BY55" s="15">
        <f t="shared" si="174"/>
        <v>-4.3368086899420177E-19</v>
      </c>
    </row>
    <row r="56" spans="2:77" ht="13" thickBot="1" x14ac:dyDescent="0.2">
      <c r="B56" s="18">
        <v>42</v>
      </c>
      <c r="C56" s="1" t="s">
        <v>31</v>
      </c>
      <c r="E56" s="186"/>
      <c r="F56" s="23">
        <f>IF(ISERROR(VLOOKUP($B56,[1]Hedef!$A$4:$ES$45409,75,0)),0,VLOOKUP($B56,[1]Hedef!$A$4:$ES$45409,75,0))</f>
        <v>10</v>
      </c>
      <c r="G56" s="23" t="str">
        <f t="shared" si="150"/>
        <v>-</v>
      </c>
      <c r="H56" s="179" t="e">
        <f t="shared" si="151"/>
        <v>#DIV/0!</v>
      </c>
      <c r="J56" s="32">
        <v>1</v>
      </c>
      <c r="K56" s="11">
        <f>IF(ISERROR((F56-J56)/J56),0,(F56-J56)/J56)</f>
        <v>9</v>
      </c>
      <c r="M56" s="186"/>
      <c r="N56" s="23">
        <f>IF(ISERROR(VLOOKUP($B56,[1]Hedef!$A$4:$ES$45409,79,0)),0,VLOOKUP($B56,[1]Hedef!$A$4:$ES$45409,79,0))</f>
        <v>0</v>
      </c>
      <c r="O56" s="23">
        <f t="shared" si="152"/>
        <v>0</v>
      </c>
      <c r="P56" s="179"/>
      <c r="R56" s="32">
        <v>9</v>
      </c>
      <c r="S56" s="11">
        <f t="shared" si="72"/>
        <v>-1</v>
      </c>
      <c r="U56" s="186"/>
      <c r="V56" s="23">
        <f>IF(ISERROR(VLOOKUP($B56,[1]Hedef!$A$4:$ES$45409,77,0)),0,VLOOKUP($B56,[1]Hedef!$A$4:$ES$45409,77,0))</f>
        <v>0</v>
      </c>
      <c r="W56" s="23">
        <f t="shared" si="153"/>
        <v>0</v>
      </c>
      <c r="X56" s="179" t="e">
        <f t="shared" si="154"/>
        <v>#DIV/0!</v>
      </c>
      <c r="Z56" s="32">
        <v>17</v>
      </c>
      <c r="AA56" s="11">
        <f t="shared" si="75"/>
        <v>-1</v>
      </c>
      <c r="AB56" s="72"/>
      <c r="AC56" s="186"/>
      <c r="AD56" s="23">
        <f>IF(ISERROR(VLOOKUP($B56,[1]Hedef!$A$4:$ES$45409,81,0)),0,VLOOKUP($B56,[1]Hedef!$A$4:$ES$45409,81,0))</f>
        <v>0</v>
      </c>
      <c r="AE56" s="23">
        <f t="shared" si="155"/>
        <v>0</v>
      </c>
      <c r="AF56" s="179" t="e">
        <f t="shared" si="182"/>
        <v>#DIV/0!</v>
      </c>
      <c r="AH56" s="32">
        <v>4</v>
      </c>
      <c r="AI56" s="11">
        <f t="shared" si="157"/>
        <v>-1</v>
      </c>
      <c r="AK56" s="186"/>
      <c r="AL56" s="23">
        <f>IF(ISERROR(VLOOKUP($B56,[1]Hedef!$A$4:$ES$45409,73,0)),0,VLOOKUP($B56,[1]Hedef!$A$4:$ES$45409,73,0))</f>
        <v>0</v>
      </c>
      <c r="AM56" s="23">
        <f t="shared" si="158"/>
        <v>0</v>
      </c>
      <c r="AN56" s="80" t="e">
        <f t="shared" si="159"/>
        <v>#DIV/0!</v>
      </c>
      <c r="AO56" s="173"/>
      <c r="AP56" s="32">
        <v>3</v>
      </c>
      <c r="AQ56" s="11">
        <f t="shared" si="81"/>
        <v>-1</v>
      </c>
      <c r="AR56" s="72"/>
      <c r="AS56" s="186"/>
      <c r="AT56" s="23">
        <f>IF(ISERROR(VLOOKUP($B56,[1]Hedef!$A$4:$ES$45409,83,0)),0,VLOOKUP($B56,[1]Hedef!$A$4:$ES$45409,83,0))</f>
        <v>0</v>
      </c>
      <c r="AU56" s="23">
        <f t="shared" si="160"/>
        <v>0</v>
      </c>
      <c r="AV56" s="80" t="e">
        <f t="shared" si="175"/>
        <v>#DIV/0!</v>
      </c>
      <c r="AX56" s="32">
        <v>20</v>
      </c>
      <c r="AY56" s="11">
        <f t="shared" si="161"/>
        <v>-1</v>
      </c>
      <c r="BA56" s="186"/>
      <c r="BB56" s="23">
        <f>IF(ISERROR(VLOOKUP($B56,[1]Hedef!$A$4:$ES$45409,85,0)),0,VLOOKUP($B56,[1]Hedef!$A$4:$ES$45409,85,0))</f>
        <v>0</v>
      </c>
      <c r="BC56" s="23">
        <f t="shared" si="197"/>
        <v>0</v>
      </c>
      <c r="BD56" s="179" t="e">
        <f t="shared" si="196"/>
        <v>#DIV/0!</v>
      </c>
      <c r="BF56" s="32"/>
      <c r="BG56" s="11">
        <f t="shared" si="198"/>
        <v>0</v>
      </c>
      <c r="BI56" s="22">
        <f t="shared" si="165"/>
        <v>0</v>
      </c>
      <c r="BJ56" s="23">
        <f t="shared" si="165"/>
        <v>0</v>
      </c>
      <c r="BK56" s="23">
        <f t="shared" si="199"/>
        <v>0</v>
      </c>
      <c r="BL56" s="80" t="e">
        <f t="shared" si="167"/>
        <v>#DIV/0!</v>
      </c>
      <c r="BN56" s="32">
        <f t="shared" si="168"/>
        <v>20</v>
      </c>
      <c r="BO56" s="11">
        <f t="shared" si="200"/>
        <v>-1</v>
      </c>
      <c r="BQ56" s="22">
        <f t="shared" si="170"/>
        <v>0</v>
      </c>
      <c r="BR56" s="23">
        <f>IF(ISERROR(VLOOKUP($B56,[1]Hedef!$A$4:$ES$45409,87,0)),0,VLOOKUP($B56,[1]Hedef!$A$4:$ES$45409,87,0))</f>
        <v>10</v>
      </c>
      <c r="BS56" s="23" t="str">
        <f t="shared" si="171"/>
        <v>-</v>
      </c>
      <c r="BT56" s="80" t="e">
        <f t="shared" si="172"/>
        <v>#DIV/0!</v>
      </c>
      <c r="BV56" s="32">
        <f t="shared" si="173"/>
        <v>54</v>
      </c>
      <c r="BW56" s="11">
        <f t="shared" si="95"/>
        <v>-0.81481481481481477</v>
      </c>
      <c r="BX56" s="127">
        <f>BQ56-'GENEL HEDEF'!CF56</f>
        <v>-63</v>
      </c>
      <c r="BY56" s="15">
        <f t="shared" si="174"/>
        <v>0</v>
      </c>
    </row>
    <row r="57" spans="2:77" ht="14" thickTop="1" thickBot="1" x14ac:dyDescent="0.2">
      <c r="B57" s="18"/>
      <c r="C57" s="2" t="s">
        <v>32</v>
      </c>
      <c r="E57" s="67">
        <f>SUM(E49:E56)</f>
        <v>0</v>
      </c>
      <c r="F57" s="67">
        <f>SUM(F46:F56)</f>
        <v>10.200279800000001</v>
      </c>
      <c r="G57" s="67">
        <f>SUM(G46:G56)</f>
        <v>0</v>
      </c>
      <c r="H57" s="180" t="e">
        <f>TRUNC(IF((F57/E57)&gt;1.2,"120%",(F57/E57)),2)</f>
        <v>#DIV/0!</v>
      </c>
      <c r="I57" s="78"/>
      <c r="J57" s="67"/>
      <c r="K57" s="48"/>
      <c r="L57" s="78"/>
      <c r="M57" s="67">
        <f>SUM(M49:M56)</f>
        <v>0</v>
      </c>
      <c r="N57" s="67">
        <f>SUM(N46:N56)</f>
        <v>0.21746699999999999</v>
      </c>
      <c r="O57" s="67">
        <f>SUM(O46:O56)</f>
        <v>0</v>
      </c>
      <c r="P57" s="180" t="e">
        <f>TRUNC(IF((N57/M57)&gt;1.2,"120%",(N57/M57)),2)</f>
        <v>#DIV/0!</v>
      </c>
      <c r="Q57" s="78"/>
      <c r="R57" s="67"/>
      <c r="S57" s="48"/>
      <c r="T57" s="78"/>
      <c r="U57" s="67">
        <f>SUM(U49:U56)</f>
        <v>0</v>
      </c>
      <c r="V57" s="67">
        <f>SUM(V46:V56)</f>
        <v>0.35211500000000007</v>
      </c>
      <c r="W57" s="67">
        <f>SUM(W46:W56)</f>
        <v>0</v>
      </c>
      <c r="X57" s="180" t="e">
        <f>TRUNC(IF((V57/U57)&gt;1.2,"120%",(V57/U57)),2)</f>
        <v>#DIV/0!</v>
      </c>
      <c r="Y57" s="78"/>
      <c r="Z57" s="67"/>
      <c r="AA57" s="48"/>
      <c r="AB57" s="114"/>
      <c r="AC57" s="67">
        <f>SUM(AC49:AC56)</f>
        <v>0</v>
      </c>
      <c r="AD57" s="67">
        <f>SUM(AD46:AD56)</f>
        <v>8.0949999999999994E-2</v>
      </c>
      <c r="AE57" s="67">
        <f>SUM(AE46:AE56)</f>
        <v>0</v>
      </c>
      <c r="AF57" s="180" t="e">
        <f>TRUNC(IF((AD57/AC57)&gt;1.2,"120%",(AD57/AC57)),2)</f>
        <v>#DIV/0!</v>
      </c>
      <c r="AG57" s="78"/>
      <c r="AH57" s="67"/>
      <c r="AI57" s="48"/>
      <c r="AJ57" s="78"/>
      <c r="AK57" s="67">
        <f>SUM(AK49:AK56)</f>
        <v>0</v>
      </c>
      <c r="AL57" s="67">
        <f>SUM(AL46:AL56)</f>
        <v>0.1942314</v>
      </c>
      <c r="AM57" s="67">
        <f>SUM(AM46:AM56)</f>
        <v>0</v>
      </c>
      <c r="AN57" s="39" t="e">
        <f>TRUNC(IF((AL57/AK57)&gt;1.2,"120%",(AL57/AK57)),2)</f>
        <v>#DIV/0!</v>
      </c>
      <c r="AO57" s="175"/>
      <c r="AP57" s="67"/>
      <c r="AQ57" s="48"/>
      <c r="AR57" s="74"/>
      <c r="AS57" s="67">
        <f>SUM(AS49:AS56)</f>
        <v>0</v>
      </c>
      <c r="AT57" s="67">
        <f>SUM(AT46:AT56)</f>
        <v>0.75835059999999999</v>
      </c>
      <c r="AU57" s="67">
        <f>SUM(AU46:AU56)</f>
        <v>0</v>
      </c>
      <c r="AV57" s="39" t="e">
        <f>TRUNC(IF((AT57/AS57)&gt;1.2,"120%",(AT57/AS57)),2)</f>
        <v>#DIV/0!</v>
      </c>
      <c r="AX57" s="67"/>
      <c r="AY57" s="48"/>
      <c r="AZ57" s="78"/>
      <c r="BA57" s="67">
        <f>SUM(BA49:BA56)</f>
        <v>0</v>
      </c>
      <c r="BB57" s="67">
        <f>SUM(BB46:BB56)</f>
        <v>9.6479999999999996E-2</v>
      </c>
      <c r="BC57" s="67">
        <f>SUM(BC46:BC56)</f>
        <v>0</v>
      </c>
      <c r="BD57" s="180" t="e">
        <f>TRUNC(IF((BB57/BA57)&gt;1.2,"120%",(BB57/BA57)),2)</f>
        <v>#DIV/0!</v>
      </c>
      <c r="BF57" s="67"/>
      <c r="BG57" s="48"/>
      <c r="BH57" s="78"/>
      <c r="BI57" s="67">
        <f>SUM(BI49:BI56)</f>
        <v>0</v>
      </c>
      <c r="BJ57" s="67">
        <f>SUM(BJ46:BJ56)</f>
        <v>0.8548306</v>
      </c>
      <c r="BK57" s="67">
        <f>SUM(BK46:BK56)</f>
        <v>0</v>
      </c>
      <c r="BL57" s="39" t="e">
        <f>TRUNC(IF((BJ57/BI57)&gt;1.2,"120%",(BJ57/BI57)),2)</f>
        <v>#DIV/0!</v>
      </c>
      <c r="BN57" s="67"/>
      <c r="BO57" s="48"/>
      <c r="BP57" s="78"/>
      <c r="BQ57" s="67">
        <f>SUM(BQ46:BQ56)</f>
        <v>0</v>
      </c>
      <c r="BR57" s="67">
        <f>SUM(BR46:BR56)</f>
        <v>11.9020338</v>
      </c>
      <c r="BS57" s="67">
        <f>SUM(BS46:BS56)</f>
        <v>0</v>
      </c>
      <c r="BT57" s="39" t="e">
        <f>TRUNC(IF((BR57/BQ57)&gt;1.2,"120%",(BR57/BQ57)),2)</f>
        <v>#DIV/0!</v>
      </c>
      <c r="BV57" s="67"/>
      <c r="BW57" s="48"/>
      <c r="BX57" s="67"/>
      <c r="BY57" s="9"/>
    </row>
    <row r="58" spans="2:77" ht="16" thickTop="1" x14ac:dyDescent="0.2">
      <c r="M58"/>
      <c r="AM58" s="13"/>
      <c r="AN58" s="13"/>
    </row>
    <row r="59" spans="2:77" x14ac:dyDescent="0.15">
      <c r="H59" s="37" t="e">
        <f>TRUNC((H56+H55+H46+H44+H41+H40+H38+H37+H36+H35+H34+H33+H32+H31+H11+H29+H28+H27+H26+H25+H23+H22+H19+H18+H16+H15+H14+H12+H10+H9+H8+H7+H6+H5+H48+H24+H52+H42+H54+H43+H50+H47+H51+H49+H53)/44,2)</f>
        <v>#DIV/0!</v>
      </c>
      <c r="J59" s="69" t="s">
        <v>41</v>
      </c>
      <c r="K59" s="52">
        <f>COUNTIF(K5:K56,"&gt;10%")</f>
        <v>1</v>
      </c>
      <c r="P59" s="37" t="e">
        <f>TRUNC((P56+P55+P46+P44+P41+P40+P38+P37+P36+P35+P34+P33+P32+P31+P11+P29+P28+P27+P26+P25+P23+P22+P19+P18+P16+P15+P14+P12+P10+P9+P8+P7+P6+P5+P48+P24+P52+P42+P54+P43+P50+P47+P51+P49+P53)/38,2)</f>
        <v>#DIV/0!</v>
      </c>
      <c r="R59" s="69" t="s">
        <v>41</v>
      </c>
      <c r="S59" s="52">
        <f>COUNTIF(S5:S56,"&gt;10%")</f>
        <v>0</v>
      </c>
      <c r="X59" s="37" t="e">
        <f>TRUNC((X56+X55+X46+X44+X41+X40+X38+X37+X36+X35+X34+X33+X32+X31+X11+X29+X28+X27+X26+X25+X23+X22+X19+X18+X16+X15+X14+X12+X10+X9+X8+X7+X6+X5+X48+X24+X52+X42+X54+X43+X50+X47+X51+X49+X53)/44,2)</f>
        <v>#DIV/0!</v>
      </c>
      <c r="Z59" s="69" t="s">
        <v>41</v>
      </c>
      <c r="AA59" s="52">
        <f>COUNTIF(AA5:AA56,"&gt;10%")</f>
        <v>0</v>
      </c>
      <c r="AB59" s="52"/>
      <c r="AF59" s="37" t="e">
        <f>TRUNC((AF56+AF55+AF46+AF44+AF41+AF40+AF38+AF37+AF36+AF35+AF34+AF33+AF32+AF31+AF11+AF29+AF28+AF27+AF26+AF25+AF23+AF22+AF19+AF18+AF16+AF15+AF14+AF12+AF10+AF9+AF8+AF7+AF6+AF5+AF48+AF24+AF52+AF42+AF54+AF43+AF50+AF47+AF51+AF49+AF53)/44,2)</f>
        <v>#DIV/0!</v>
      </c>
      <c r="AH59" s="69" t="s">
        <v>41</v>
      </c>
      <c r="AI59" s="52">
        <f>COUNTIF(AI5:AI56,"&gt;10%")</f>
        <v>0</v>
      </c>
      <c r="AN59" s="37" t="e">
        <f>TRUNC((AN56+AN55+AN46+AN44+AN41+AN40+AN38+AN37+AN36+AN35+AN34+AN33+AN32+AN31+AN11+AN29+AN28+AN27+AN26+AN25+AN23+AN22+AN19+AN18+AN16+AN15+AN14+AN12+AN10+AN9+AN8+AN7+AN6+AN5+AN48+AN24+AN52+AN42+AN54+AN43+AN50+AN47+AN51+AN49+AN53)/43,2)</f>
        <v>#DIV/0!</v>
      </c>
      <c r="AP59" s="69" t="s">
        <v>41</v>
      </c>
      <c r="AQ59" s="52">
        <f>COUNTIF(AQ5:AQ56,"&gt;10%")</f>
        <v>0</v>
      </c>
      <c r="AR59" s="52"/>
      <c r="AV59" s="37" t="e">
        <f>TRUNC((AV56+AV55+AV46+AV44+AV41+AV40+AV38+AV37+AV36+AV35+AV34+AV33+AV32+AV31+AV11+AV29+AV28+AV27+AV26+AV25+AV23+AV22+AV19+AV18+AV16+AV15+AV14+AV12+AV10+AV9+AV8+AV7+AV6+AV5+AV48+AV24+AV52+AV42+AV54+AV43+AV50+AV47+AV51+AV49+AV53)/42,2)</f>
        <v>#DIV/0!</v>
      </c>
      <c r="AX59" s="54" t="s">
        <v>41</v>
      </c>
      <c r="AY59" s="52">
        <f>COUNTIF(AY5:AY56,"&gt;10%")</f>
        <v>0</v>
      </c>
      <c r="BD59" s="37" t="e">
        <f>TRUNC((BD56+BD55+BD46+BD44+BD41+BD40+BD38+BD37+BD36+BD35+BD34+BD33+BD32+BD31+BD11+BD29+BD28+BD27+BD26+BD25+BD23+BD22+BD20+BD17+BD16+BD15+BD14+BD12+BD10+BD9+BD8+BD7+BD6+BD5+BD48+BD24+BD52+BD42+BD54+BD43+BD50+BD47+BD51+BD49+BD53)/36,2)</f>
        <v>#DIV/0!</v>
      </c>
      <c r="BF59" s="54" t="s">
        <v>41</v>
      </c>
      <c r="BG59" s="52">
        <f>COUNTIF(BG5:BG56,"&gt;10%")</f>
        <v>0</v>
      </c>
      <c r="BL59" s="37" t="e">
        <f>TRUNC((BL56+BL55+BL46+BL44+BL41+BL40+BL38+BL37+BL36+BL35+BL34+BL33+BL32+BL31+BL11+BL29+BL28+BL27+BL26+BL25+BL23+BL22+BL19+BL18+BL16+BL15+BL14+BL12+BL10+BL9+BL8+BL7+BL6+BL5+BL48+BL24+BL52+BL42+BL54+BL43+BL50+BL47+BL51+BL49+BL53)/44,2)</f>
        <v>#DIV/0!</v>
      </c>
      <c r="BN59" s="54" t="s">
        <v>41</v>
      </c>
      <c r="BO59" s="52">
        <f>COUNTIF(BO5:BO56,"&gt;10%")</f>
        <v>0</v>
      </c>
      <c r="BT59" s="37" t="e">
        <f>TRUNC((BT56+BT55+BT46+BT44+BT41+BT40+BT38+BT37+BT36+BT35+BT34+BT33+BT32+BT31+BT11+BT29+BT28+BT27+BT26+BT25+BT23+BT22+BT19+BT18+BT16+BT15+BT14+BT12+BT10+BT9+BT8+BT7+BT6+BT5+BT48+BT24+BT52+BT42+BT54+BT43+BT50+BT47+BT51+BT49+BT53)/45,2)</f>
        <v>#DIV/0!</v>
      </c>
      <c r="BV59" s="69" t="s">
        <v>41</v>
      </c>
      <c r="BW59" s="52">
        <f>COUNTIF(BW5:BW56,"&gt;10%")</f>
        <v>0</v>
      </c>
    </row>
    <row r="60" spans="2:77" x14ac:dyDescent="0.15">
      <c r="J60" s="54"/>
      <c r="K60" s="53"/>
      <c r="R60" s="54"/>
      <c r="S60" s="53"/>
      <c r="Z60" s="54"/>
      <c r="AA60" s="53"/>
      <c r="AB60" s="53"/>
      <c r="AH60" s="54"/>
      <c r="AI60" s="53"/>
      <c r="AP60" s="54"/>
      <c r="AQ60" s="53"/>
      <c r="AR60" s="53"/>
      <c r="AX60" s="54"/>
      <c r="AY60" s="53"/>
      <c r="BF60" s="54"/>
      <c r="BG60" s="53"/>
      <c r="BN60" s="54"/>
      <c r="BO60" s="53"/>
      <c r="BW60" s="53"/>
    </row>
    <row r="61" spans="2:77" ht="13" thickBot="1" x14ac:dyDescent="0.2">
      <c r="B61" s="18"/>
      <c r="BX61" s="4"/>
      <c r="BY61" s="13"/>
    </row>
    <row r="62" spans="2:77" ht="14" thickTop="1" thickBot="1" x14ac:dyDescent="0.2">
      <c r="B62" s="18" t="s">
        <v>40</v>
      </c>
      <c r="C62" s="2" t="s">
        <v>39</v>
      </c>
      <c r="E62" s="63"/>
      <c r="F62" s="36">
        <f>IF(ISERROR(VLOOKUP($B62,[1]Hedef!$A$4:$ES$45409,76,0)),0,VLOOKUP($B62,[1]Hedef!$A$4:$ES$45409,76,0))</f>
        <v>8440.5</v>
      </c>
      <c r="G62" s="36" t="str">
        <f>IF((E62-F62)&lt;0, "-", (E62-F62))</f>
        <v>-</v>
      </c>
      <c r="H62" s="34" t="e">
        <f>IF((F62/E62)&gt;1,"100.0%",(F62/E62))</f>
        <v>#DIV/0!</v>
      </c>
      <c r="M62" s="63"/>
      <c r="N62" s="36">
        <f>IF(ISERROR(VLOOKUP($B62,[1]Hedef!$A$4:$ES$45409,80,0)),0,VLOOKUP($B62,[1]Hedef!$A$4:$ES$45409,80,0))</f>
        <v>14132.3</v>
      </c>
      <c r="O62" s="36" t="str">
        <f>IF((M62-N62)&lt;0, "-", (M62-N62))</f>
        <v>-</v>
      </c>
      <c r="P62" s="34" t="e">
        <f>IF((N62/M62)&gt;1,"100.0%",(N62/M62))</f>
        <v>#DIV/0!</v>
      </c>
      <c r="U62" s="63"/>
      <c r="V62" s="36">
        <f>IF(ISERROR(VLOOKUP($B62,[1]Hedef!$A$4:$ES$45409,78,0)),0,VLOOKUP($B62,[1]Hedef!$A$4:$ES$45409,78,0))</f>
        <v>11075.87</v>
      </c>
      <c r="W62" s="36" t="str">
        <f>IF((U62-V62)&lt;0, "-", (U62-V62))</f>
        <v>-</v>
      </c>
      <c r="X62" s="34" t="e">
        <f>IF((V62/U62)&gt;1,"100.0%",(V62/U62))</f>
        <v>#DIV/0!</v>
      </c>
      <c r="AC62" s="63"/>
      <c r="AD62" s="36">
        <f>IF(ISERROR(VLOOKUP($B62,[1]Hedef!$A$4:$ES$45409,82,0)),0,VLOOKUP($B62,[1]Hedef!$A$4:$ES$45409,82,0))</f>
        <v>6624.72</v>
      </c>
      <c r="AE62" s="36" t="str">
        <f>IF((AC62-AD62)&lt;0, "-", (AC62-AD62))</f>
        <v>-</v>
      </c>
      <c r="AF62" s="34" t="e">
        <f>IF((AD62/AC62)&gt;1,"100.0%",(AD62/AC62))</f>
        <v>#DIV/0!</v>
      </c>
      <c r="AK62" s="63"/>
      <c r="AL62" s="36">
        <f>IF(ISERROR(VLOOKUP($B62,[1]Hedef!$A$4:$ES$45409,74,0)),0,VLOOKUP($B62,[1]Hedef!$A$4:$ES$45409,74,0))</f>
        <v>9143.76</v>
      </c>
      <c r="AM62" s="36" t="str">
        <f>IF((AK62-AL62)&lt;0, "-", (AK62-AL62))</f>
        <v>-</v>
      </c>
      <c r="AN62" s="34" t="e">
        <f>IF((AL62/AK62)&gt;1,"100.0%",(AL62/AK62))</f>
        <v>#DIV/0!</v>
      </c>
      <c r="AS62" s="63"/>
      <c r="AT62" s="36">
        <f>IF(ISERROR(VLOOKUP($B62,[1]Hedef!$A$4:$ES$45409,84,0)),0,VLOOKUP($B62,[1]Hedef!$A$4:$ES$45409,84,0))</f>
        <v>26531.89</v>
      </c>
      <c r="AU62" s="36" t="str">
        <f>IF((AS62-AT62)&lt;0, "-", (AS62-AT62))</f>
        <v>-</v>
      </c>
      <c r="AV62" s="34" t="e">
        <f>IF((AT62/AS62)&gt;1,"100.0%",(AT62/AS62))</f>
        <v>#DIV/0!</v>
      </c>
      <c r="BA62" s="63"/>
      <c r="BB62" s="36">
        <f>IF(ISERROR(VLOOKUP($B62,[1]Hedef!$A$4:$ES$45409,86,0)),0,VLOOKUP($B62,[1]Hedef!$A$4:$ES$45409,86,0))</f>
        <v>7932.64</v>
      </c>
      <c r="BC62" s="36" t="str">
        <f>IF((BA62-BB62)&lt;0, "-", (BA62-BB62))</f>
        <v>-</v>
      </c>
      <c r="BD62" s="34" t="e">
        <f>IF((BB62/BA62)&gt;1,"100.0%",(BB62/BA62))</f>
        <v>#DIV/0!</v>
      </c>
      <c r="BI62" s="36">
        <v>0</v>
      </c>
      <c r="BJ62" s="36">
        <f>+BB62+AT62</f>
        <v>34464.53</v>
      </c>
      <c r="BK62" s="36" t="str">
        <f>IF((BI62-BJ62)&lt;0, "-", (BI62-BJ62))</f>
        <v>-</v>
      </c>
      <c r="BL62" s="34" t="e">
        <f>IF((BJ62/BI62)&gt;1,"100.0%",(BJ62/BI62))</f>
        <v>#DIV/0!</v>
      </c>
      <c r="BQ62" s="36">
        <v>0</v>
      </c>
      <c r="BR62" s="36">
        <f>IF(ISERROR(VLOOKUP($B62,[1]Hedef!$A$4:$ES$45409,88,0)),0,VLOOKUP($B62,[1]Hedef!$A$4:$ES$45409,88,0))</f>
        <v>83931.839999999997</v>
      </c>
      <c r="BS62" s="36" t="str">
        <f>IF((BQ62-BR62)&lt;0, "-", (BQ62-BR62))</f>
        <v>-</v>
      </c>
      <c r="BT62" s="34" t="e">
        <f>IF((BR62/BQ62)&gt;1,"100.0%",(BR62/BQ62))</f>
        <v>#DIV/0!</v>
      </c>
      <c r="BX62" s="4"/>
      <c r="BY62" s="13"/>
    </row>
    <row r="63" spans="2:77" ht="14" thickTop="1" thickBot="1" x14ac:dyDescent="0.2"/>
    <row r="64" spans="2:77" ht="14" thickTop="1" thickBot="1" x14ac:dyDescent="0.2">
      <c r="B64" s="55" t="s">
        <v>42</v>
      </c>
      <c r="C64" s="2" t="s">
        <v>43</v>
      </c>
      <c r="F64" s="36">
        <f>IF(ISERROR(VLOOKUP($B64,[1]Hedef!$A$4:$ES$45409,76,0)),0,VLOOKUP($B64,[1]Hedef!$A$4:$ES$45409,76,0))</f>
        <v>0</v>
      </c>
      <c r="G64" s="56">
        <f>F64/F62</f>
        <v>0</v>
      </c>
      <c r="H64" s="25"/>
      <c r="N64" s="36">
        <f>IF(ISERROR(VLOOKUP($B64,[1]Hedef!$A$4:$ES$45409,80,0)),0,VLOOKUP($B64,[1]Hedef!$A$4:$ES$45409,80,0))</f>
        <v>0</v>
      </c>
      <c r="O64" s="56">
        <f>N64/N62</f>
        <v>0</v>
      </c>
      <c r="P64" s="25"/>
      <c r="V64" s="36">
        <f>IF(ISERROR(VLOOKUP($B64,[1]Hedef!$A$4:$ES$45409,78,0)),0,VLOOKUP($B64,[1]Hedef!$A$4:$ES$45409,78,0))</f>
        <v>0</v>
      </c>
      <c r="W64" s="56">
        <f>V64/V62</f>
        <v>0</v>
      </c>
      <c r="X64" s="25"/>
      <c r="AD64" s="36">
        <f>IF(ISERROR(VLOOKUP($B64,[1]Hedef!$A$4:$ES$45409,82,0)),0,VLOOKUP($B64,[1]Hedef!$A$4:$ES$45409,82,0))</f>
        <v>291.14</v>
      </c>
      <c r="AE64" s="56">
        <f>AD64/AD62</f>
        <v>4.3947517781883605E-2</v>
      </c>
      <c r="AF64" s="25"/>
      <c r="AL64" s="36">
        <f>IF(ISERROR(VLOOKUP($B64,[1]Hedef!$A$4:$ES$45409,74,0)),0,VLOOKUP($B64,[1]Hedef!$A$4:$ES$45409,74,0))</f>
        <v>0</v>
      </c>
      <c r="AM64" s="58">
        <f>AL64/AL62</f>
        <v>0</v>
      </c>
      <c r="AT64" s="36">
        <f>IF(ISERROR(VLOOKUP($B64,[1]Hedef!$A$4:$ES$45409,84,0)),0,VLOOKUP($B64,[1]Hedef!$A$4:$ES$45409,84,0))</f>
        <v>0</v>
      </c>
      <c r="AU64" s="58">
        <f>AT64/AT62</f>
        <v>0</v>
      </c>
      <c r="BB64" s="36">
        <f>IF(ISERROR(VLOOKUP($B64,[1]Hedef!$A$4:$ES$45409,86,0)),0,VLOOKUP($B64,[1]Hedef!$A$4:$ES$45409,86,0))</f>
        <v>0</v>
      </c>
      <c r="BC64" s="58">
        <f>BB64/BB62</f>
        <v>0</v>
      </c>
      <c r="BJ64" s="36">
        <f>IF(ISERROR(VLOOKUP($B64,[1]Hedef!$A$4:$ES$45409,87,0)),0,VLOOKUP($B64,[1]Hedef!$A$4:$ES$45409,87,0))</f>
        <v>0</v>
      </c>
      <c r="BK64" s="58">
        <f>BJ64/BJ62</f>
        <v>0</v>
      </c>
      <c r="BR64" s="36">
        <f>IF(ISERROR(VLOOKUP($B64,[1]Hedef!$A$4:$ES$45409,87,0)),0,VLOOKUP($B64,[1]Hedef!$A$4:$ES$45409,87,0))</f>
        <v>0</v>
      </c>
      <c r="BS64" s="58">
        <f>BR64/BR62</f>
        <v>0</v>
      </c>
      <c r="BX64" s="4"/>
      <c r="BY64" s="13"/>
    </row>
    <row r="65" spans="3:3" ht="13" thickTop="1" x14ac:dyDescent="0.15"/>
    <row r="68" spans="3:3" x14ac:dyDescent="0.15">
      <c r="C68" s="150"/>
    </row>
    <row r="69" spans="3:3" x14ac:dyDescent="0.15">
      <c r="C69" s="150"/>
    </row>
    <row r="70" spans="3:3" x14ac:dyDescent="0.15">
      <c r="C70" s="150"/>
    </row>
  </sheetData>
  <autoFilter ref="A4:BY57" xr:uid="{00000000-0009-0000-0000-000008000000}">
    <filterColumn colId="75" showButton="0"/>
  </autoFilter>
  <mergeCells count="11">
    <mergeCell ref="U2:X3"/>
    <mergeCell ref="AK2:AN3"/>
    <mergeCell ref="BQ2:BT3"/>
    <mergeCell ref="BX4:BY4"/>
    <mergeCell ref="C2:C4"/>
    <mergeCell ref="E2:H3"/>
    <mergeCell ref="M2:P3"/>
    <mergeCell ref="AC2:AF3"/>
    <mergeCell ref="AS2:AV3"/>
    <mergeCell ref="BI2:BL3"/>
    <mergeCell ref="BA2:BD3"/>
  </mergeCells>
  <conditionalFormatting sqref="H5:H12 P5:P12 X5:X12 AF5:AF12 AN5:AN12 AV5:AV12 BT5:BT12 H14:H16 P14:P16 X14:X16 AF14:AF16 AN14:AN16 AV14:AV16 BT14:BT16 H18:H19 P18:P19 X18:X19 AF18:AF19 AN18:AN19 AV18:AV19 BT18:BT19 H22:H29 P22:P29 X22:X29 AF22:AF29 AN22:AN29 AV22:AV29 BT22:BT29 H31:H38 P31:P38 X31:X38 AF31:AF38 AN31:AN38 AV31:AV38 BT31:BT38 H40:H44 P40:P44 X40:X44 AF40:AF44 AN40:AN44 AV40:AV44 BT40:BT44 H46:H56 P46:P56 X46:X56 AN46:AN56 AV46:AV56 BD46:BD56 BL46:BL56 BT46:BT56">
    <cfRule type="cellIs" dxfId="19" priority="131" operator="greaterThanOrEqual">
      <formula>1.2</formula>
    </cfRule>
    <cfRule type="cellIs" dxfId="18" priority="132" operator="greaterThanOrEqual">
      <formula>120</formula>
    </cfRule>
  </conditionalFormatting>
  <conditionalFormatting sqref="AF46:AF56">
    <cfRule type="cellIs" dxfId="17" priority="15" operator="greaterThanOrEqual">
      <formula>1.2</formula>
    </cfRule>
    <cfRule type="cellIs" dxfId="16" priority="16" operator="greaterThanOrEqual">
      <formula>120</formula>
    </cfRule>
  </conditionalFormatting>
  <conditionalFormatting sqref="AN66:AN1048576 AV66:AV1048576 BT66:BT1048576">
    <cfRule type="cellIs" dxfId="15" priority="16686" operator="greaterThanOrEqual">
      <formula>100</formula>
    </cfRule>
    <cfRule type="cellIs" dxfId="14" priority="16687" operator="equal">
      <formula>1</formula>
    </cfRule>
    <cfRule type="cellIs" dxfId="13" priority="16688" operator="equal">
      <formula>1</formula>
    </cfRule>
    <cfRule type="cellIs" dxfId="12" priority="16689" operator="equal">
      <formula>100</formula>
    </cfRule>
  </conditionalFormatting>
  <conditionalFormatting sqref="BD5:BD12 BD14:BD16 BD18:BD19 BD22:BD29 BD31:BD38 BD40:BD44">
    <cfRule type="cellIs" dxfId="11" priority="1" operator="greaterThanOrEqual">
      <formula>1.2</formula>
    </cfRule>
    <cfRule type="cellIs" dxfId="10" priority="2" operator="greaterThanOrEqual">
      <formula>120</formula>
    </cfRule>
  </conditionalFormatting>
  <conditionalFormatting sqref="BD66:BD1048576">
    <cfRule type="cellIs" dxfId="9" priority="3" operator="greaterThanOrEqual">
      <formula>100</formula>
    </cfRule>
    <cfRule type="cellIs" dxfId="8" priority="4" operator="equal">
      <formula>1</formula>
    </cfRule>
    <cfRule type="cellIs" dxfId="7" priority="5" operator="equal">
      <formula>1</formula>
    </cfRule>
    <cfRule type="cellIs" dxfId="6" priority="6" operator="equal">
      <formula>100</formula>
    </cfRule>
  </conditionalFormatting>
  <conditionalFormatting sqref="BL5:BL12 BL14:BL16 BL18:BL19 BL22:BL29 BL31:BL38 BL40:BL44">
    <cfRule type="cellIs" dxfId="5" priority="9" operator="greaterThanOrEqual">
      <formula>1.2</formula>
    </cfRule>
    <cfRule type="cellIs" dxfId="4" priority="10" operator="greaterThanOrEqual">
      <formula>120</formula>
    </cfRule>
  </conditionalFormatting>
  <conditionalFormatting sqref="BL66:BL1048576">
    <cfRule type="cellIs" dxfId="3" priority="11" operator="greaterThanOrEqual">
      <formula>100</formula>
    </cfRule>
    <cfRule type="cellIs" dxfId="2" priority="12" operator="equal">
      <formula>1</formula>
    </cfRule>
    <cfRule type="cellIs" dxfId="1" priority="13" operator="equal">
      <formula>1</formula>
    </cfRule>
    <cfRule type="cellIs" dxfId="0" priority="14" operator="equal">
      <formula>100</formula>
    </cfRule>
  </conditionalFormatting>
  <pageMargins left="0.7" right="0.7" top="0.75" bottom="0.75" header="0.3" footer="0.3"/>
  <pageSetup orientation="portrait" r:id="rId1"/>
  <ignoredErrors>
    <ignoredError sqref="I59 Q59 AJ59 AO59 F59:G59 N59:O59 V59:W59 Y59 K59:L59 S59:T59 AA59 BW59 AQ59 AL59:AM59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H76"/>
  <sheetViews>
    <sheetView workbookViewId="0">
      <selection activeCell="C44" sqref="C44"/>
    </sheetView>
  </sheetViews>
  <sheetFormatPr baseColWidth="10" defaultColWidth="8.83203125" defaultRowHeight="15" x14ac:dyDescent="0.2"/>
  <cols>
    <col min="2" max="2" width="16.33203125" customWidth="1"/>
    <col min="3" max="3" width="22.1640625" customWidth="1"/>
    <col min="5" max="6" width="9.1640625" customWidth="1"/>
    <col min="7" max="7" width="11.1640625" customWidth="1"/>
  </cols>
  <sheetData>
    <row r="1" spans="2:8" x14ac:dyDescent="0.2">
      <c r="E1" s="96" t="s">
        <v>91</v>
      </c>
      <c r="F1" s="96" t="s">
        <v>92</v>
      </c>
      <c r="G1" s="96" t="s">
        <v>93</v>
      </c>
    </row>
    <row r="2" spans="2:8" x14ac:dyDescent="0.2">
      <c r="B2" s="93" t="s">
        <v>161</v>
      </c>
      <c r="C2" s="95" t="s">
        <v>78</v>
      </c>
      <c r="D2" s="94">
        <v>16</v>
      </c>
      <c r="E2" s="97" t="e">
        <f>'Toptan-Horeka'!H59</f>
        <v>#DIV/0!</v>
      </c>
      <c r="F2" s="97" t="e">
        <f>VLOOKUP($B2,'Toptan-Horeka'!$C$5:$AY$104,6,0)</f>
        <v>#N/A</v>
      </c>
      <c r="G2" s="98" t="e">
        <f>VLOOKUP($B2,[1]Hedef!$B$6:$DX$6610,19,0)</f>
        <v>#N/A</v>
      </c>
      <c r="H2">
        <v>19</v>
      </c>
    </row>
    <row r="3" spans="2:8" x14ac:dyDescent="0.2">
      <c r="B3" s="93" t="s">
        <v>161</v>
      </c>
      <c r="C3" s="95" t="s">
        <v>77</v>
      </c>
      <c r="D3" s="94">
        <v>11</v>
      </c>
      <c r="E3" s="97" t="e">
        <f>'Toptan-Horeka'!P59</f>
        <v>#DIV/0!</v>
      </c>
      <c r="F3" s="97" t="e">
        <f>VLOOKUP($B3,'Toptan-Horeka'!$C$5:$AY$104,14,0)</f>
        <v>#N/A</v>
      </c>
      <c r="G3" s="98" t="e">
        <f>VLOOKUP($B3,[1]Hedef!$B$6:$DX$6610,17,0)</f>
        <v>#N/A</v>
      </c>
      <c r="H3">
        <v>17</v>
      </c>
    </row>
    <row r="4" spans="2:8" x14ac:dyDescent="0.2">
      <c r="B4" s="93" t="s">
        <v>161</v>
      </c>
      <c r="C4" s="95" t="s">
        <v>75</v>
      </c>
      <c r="D4" s="94">
        <v>25</v>
      </c>
      <c r="E4" s="97" t="e">
        <f>'Toptan-Horeka'!X59</f>
        <v>#DIV/0!</v>
      </c>
      <c r="F4" s="97" t="e">
        <f>VLOOKUP($B4,'Toptan-Horeka'!$C$5:$AY$104,22,0)</f>
        <v>#N/A</v>
      </c>
      <c r="G4" s="98" t="e">
        <f>VLOOKUP($B4,[1]Hedef!$B$6:$DX$6610,5,0)</f>
        <v>#N/A</v>
      </c>
      <c r="H4">
        <v>5</v>
      </c>
    </row>
    <row r="5" spans="2:8" x14ac:dyDescent="0.2">
      <c r="B5" s="93" t="s">
        <v>161</v>
      </c>
      <c r="C5" s="95" t="s">
        <v>156</v>
      </c>
      <c r="D5" s="94">
        <v>31</v>
      </c>
      <c r="E5" s="97" t="e">
        <f>'Toptan-Horeka'!AF59</f>
        <v>#DIV/0!</v>
      </c>
      <c r="F5" s="97" t="e">
        <f>VLOOKUP($B5,'Toptan-Horeka'!$C$5:$AY$104,30,0)</f>
        <v>#N/A</v>
      </c>
      <c r="G5" s="98" t="e">
        <f>VLOOKUP($B5,[1]Hedef!$B$6:$DX$6610,7,0)</f>
        <v>#N/A</v>
      </c>
      <c r="H5">
        <v>7</v>
      </c>
    </row>
    <row r="6" spans="2:8" x14ac:dyDescent="0.2">
      <c r="B6" s="93" t="s">
        <v>161</v>
      </c>
      <c r="C6" s="95" t="s">
        <v>132</v>
      </c>
      <c r="D6" s="94">
        <v>42</v>
      </c>
      <c r="E6" s="97" t="e">
        <f>'Toptan-Horeka'!AN59</f>
        <v>#DIV/0!</v>
      </c>
      <c r="F6" s="97" t="e">
        <f>VLOOKUP($B6,'Toptan-Horeka'!$C$5:$AY$104,38,0)</f>
        <v>#N/A</v>
      </c>
      <c r="G6" s="98" t="e">
        <f>VLOOKUP($B6,[1]Hedef!$B$6:$DX$6610,9,0)</f>
        <v>#N/A</v>
      </c>
      <c r="H6">
        <v>9</v>
      </c>
    </row>
    <row r="7" spans="2:8" x14ac:dyDescent="0.2">
      <c r="B7" s="93" t="s">
        <v>161</v>
      </c>
      <c r="C7" s="95" t="s">
        <v>141</v>
      </c>
      <c r="D7" s="94" t="s">
        <v>108</v>
      </c>
      <c r="E7" s="97" t="e">
        <f>'Toptan-Horeka'!AV59</f>
        <v>#DIV/0!</v>
      </c>
      <c r="F7" s="97" t="e">
        <f>VLOOKUP($B7,'Toptan-Horeka'!$C$5:$AY$104,46,0)</f>
        <v>#N/A</v>
      </c>
      <c r="G7" s="98" t="e">
        <f>VLOOKUP($B7,[1]Hedef!$B$6:$DX$6610,25,0)+VLOOKUP($B7,[1]Hedef!$B$6:$DX$6610,15,0)</f>
        <v>#N/A</v>
      </c>
      <c r="H7" t="s">
        <v>137</v>
      </c>
    </row>
    <row r="8" spans="2:8" x14ac:dyDescent="0.2">
      <c r="B8" s="93" t="s">
        <v>161</v>
      </c>
      <c r="C8" s="95" t="s">
        <v>157</v>
      </c>
      <c r="D8" s="94">
        <v>55</v>
      </c>
      <c r="E8" s="97" t="e">
        <f>PLS!H59</f>
        <v>#DIV/0!</v>
      </c>
      <c r="F8" s="97" t="e">
        <f>VLOOKUP($B8,PLS!C5:H66,6,0)</f>
        <v>#N/A</v>
      </c>
      <c r="G8" s="98" t="e">
        <f>VLOOKUP($B8,[1]Hedef!$B$6:$DX$6610,37,0)</f>
        <v>#N/A</v>
      </c>
      <c r="H8">
        <v>37</v>
      </c>
    </row>
    <row r="9" spans="2:8" x14ac:dyDescent="0.2">
      <c r="B9" s="93" t="s">
        <v>161</v>
      </c>
      <c r="C9" s="95" t="s">
        <v>200</v>
      </c>
      <c r="D9" s="94">
        <v>51</v>
      </c>
      <c r="E9" s="97" t="e">
        <f>PLS!P59</f>
        <v>#DIV/0!</v>
      </c>
      <c r="F9" s="97" t="e">
        <f>VLOOKUP($B9,PLS!C5:P122,14,0)</f>
        <v>#N/A</v>
      </c>
      <c r="G9" s="98" t="e">
        <f>VLOOKUP($B9,[1]Hedef!$B$6:$DX$6610,35,0)</f>
        <v>#N/A</v>
      </c>
      <c r="H9">
        <v>35</v>
      </c>
    </row>
    <row r="10" spans="2:8" x14ac:dyDescent="0.2">
      <c r="B10" s="93" t="s">
        <v>161</v>
      </c>
      <c r="C10" s="95" t="s">
        <v>76</v>
      </c>
      <c r="D10" s="94">
        <v>39</v>
      </c>
      <c r="E10" s="97" t="e">
        <f>PLS!X59</f>
        <v>#DIV/0!</v>
      </c>
      <c r="F10" s="97" t="e">
        <f>VLOOKUP($B10,PLS!C5:X82,22,0)</f>
        <v>#N/A</v>
      </c>
      <c r="G10" s="98" t="e">
        <f>VLOOKUP($B10,[1]Hedef!$B$6:$DX$6610,33,0)</f>
        <v>#N/A</v>
      </c>
      <c r="H10">
        <v>33</v>
      </c>
    </row>
    <row r="11" spans="2:8" x14ac:dyDescent="0.2">
      <c r="B11" s="93" t="s">
        <v>161</v>
      </c>
      <c r="C11" s="95" t="s">
        <v>201</v>
      </c>
      <c r="D11" s="94">
        <v>20</v>
      </c>
      <c r="E11" s="97" t="e">
        <f>PLS!AF59</f>
        <v>#DIV/0!</v>
      </c>
      <c r="F11" s="97" t="e">
        <f>VLOOKUP($B11,PLS!C5:AF72,30,0)</f>
        <v>#N/A</v>
      </c>
      <c r="G11" s="98" t="e">
        <f>VLOOKUP($B11,[1]Hedef!$B$6:$DX$6610,29,0)</f>
        <v>#N/A</v>
      </c>
      <c r="H11">
        <v>29</v>
      </c>
    </row>
    <row r="12" spans="2:8" x14ac:dyDescent="0.2">
      <c r="B12" s="93" t="s">
        <v>161</v>
      </c>
      <c r="C12" s="95" t="s">
        <v>153</v>
      </c>
      <c r="D12" s="94" t="s">
        <v>109</v>
      </c>
      <c r="E12" s="97" t="e">
        <f>PLS!AP59</f>
        <v>#DIV/0!</v>
      </c>
      <c r="F12" s="97" t="e">
        <f>VLOOKUP($B12,PLS!C5:AP14988,40,0)</f>
        <v>#N/A</v>
      </c>
      <c r="G12" s="98" t="e">
        <f>VLOOKUP($B12,[1]Hedef!$B$6:$DX$6610,41,0)</f>
        <v>#N/A</v>
      </c>
      <c r="H12">
        <v>41</v>
      </c>
    </row>
    <row r="13" spans="2:8" x14ac:dyDescent="0.2">
      <c r="B13" s="93" t="s">
        <v>161</v>
      </c>
      <c r="C13" s="95" t="s">
        <v>149</v>
      </c>
      <c r="D13" s="94">
        <v>23</v>
      </c>
      <c r="E13" s="97" t="e">
        <f>RUSTAVI!H59</f>
        <v>#DIV/0!</v>
      </c>
      <c r="F13" s="97" t="e">
        <f>VLOOKUP($B13,RUSTAVI!C5:X65,6,0)</f>
        <v>#N/A</v>
      </c>
      <c r="G13" s="98" t="e">
        <f>VLOOKUP($B13,[1]Hedef!$B$6:$DX$6610,51,0)</f>
        <v>#N/A</v>
      </c>
      <c r="H13">
        <v>51</v>
      </c>
    </row>
    <row r="14" spans="2:8" x14ac:dyDescent="0.2">
      <c r="B14" s="93" t="s">
        <v>161</v>
      </c>
      <c r="C14" s="95" t="s">
        <v>171</v>
      </c>
      <c r="D14" s="94">
        <v>70</v>
      </c>
      <c r="E14" s="97" t="e">
        <f>RUSTAVI!P59</f>
        <v>#DIV/0!</v>
      </c>
      <c r="F14" s="97" t="e">
        <f>VLOOKUP($B14,RUSTAVI!C5:X65,14,0)</f>
        <v>#N/A</v>
      </c>
      <c r="G14" s="98" t="e">
        <f>VLOOKUP($B14,[1]Hedef!$B$6:$DX$6610,55,0)</f>
        <v>#N/A</v>
      </c>
      <c r="H14">
        <v>55</v>
      </c>
    </row>
    <row r="15" spans="2:8" x14ac:dyDescent="0.2">
      <c r="B15" s="93" t="s">
        <v>161</v>
      </c>
      <c r="C15" s="95" t="s">
        <v>74</v>
      </c>
      <c r="D15" s="94" t="s">
        <v>110</v>
      </c>
      <c r="E15" s="97" t="e">
        <f>RUSTAVI!X59</f>
        <v>#DIV/0!</v>
      </c>
      <c r="F15" s="97" t="e">
        <f>VLOOKUP($B15,RUSTAVI!C5:X65,22,0)</f>
        <v>#N/A</v>
      </c>
      <c r="G15" s="98" t="e">
        <f>VLOOKUP($B15,[1]Hedef!$B$6:$DX$6610,57,0)</f>
        <v>#N/A</v>
      </c>
      <c r="H15">
        <v>57</v>
      </c>
    </row>
    <row r="16" spans="2:8" x14ac:dyDescent="0.2">
      <c r="B16" s="93" t="s">
        <v>161</v>
      </c>
      <c r="C16" s="95" t="s">
        <v>163</v>
      </c>
      <c r="D16" s="94">
        <v>14</v>
      </c>
      <c r="E16" s="97" t="e">
        <f>KILIT!H59</f>
        <v>#DIV/0!</v>
      </c>
      <c r="F16" s="97" t="e">
        <f>VLOOKUP($B16,KILIT!C5:H57,6,0)</f>
        <v>#N/A</v>
      </c>
      <c r="G16" s="98" t="e">
        <f>VLOOKUP($B16,[1]Hedef!$B$6:$DX$6610,103,0)</f>
        <v>#N/A</v>
      </c>
      <c r="H16">
        <v>103</v>
      </c>
    </row>
    <row r="17" spans="2:8" x14ac:dyDescent="0.2">
      <c r="B17" s="93" t="s">
        <v>161</v>
      </c>
      <c r="C17" s="95" t="s">
        <v>163</v>
      </c>
      <c r="D17" s="94">
        <v>19</v>
      </c>
      <c r="E17" s="97" t="e">
        <f>KILIT!P59</f>
        <v>#DIV/0!</v>
      </c>
      <c r="F17" s="97" t="e">
        <f>VLOOKUP($B17,KILIT!C5:P57,14,0)</f>
        <v>#N/A</v>
      </c>
      <c r="G17" s="98" t="e">
        <f>VLOOKUP($B17,[1]Hedef!$B$6:$DX$6610,105,0)</f>
        <v>#N/A</v>
      </c>
      <c r="H17">
        <v>105</v>
      </c>
    </row>
    <row r="18" spans="2:8" x14ac:dyDescent="0.2">
      <c r="B18" s="93" t="s">
        <v>161</v>
      </c>
      <c r="C18" s="95" t="s">
        <v>134</v>
      </c>
      <c r="D18" s="94">
        <v>26</v>
      </c>
      <c r="E18" s="97" t="e">
        <f>KILIT!X59</f>
        <v>#DIV/0!</v>
      </c>
      <c r="F18" s="97" t="e">
        <f>VLOOKUP($B18,KILIT!C5:X58,22,0)</f>
        <v>#N/A</v>
      </c>
      <c r="G18" s="98" t="e">
        <f>VLOOKUP($B18,[1]Hedef!$B$6:$DX$6610,107,0)</f>
        <v>#N/A</v>
      </c>
      <c r="H18">
        <v>107</v>
      </c>
    </row>
    <row r="19" spans="2:8" x14ac:dyDescent="0.2">
      <c r="B19" s="93" t="s">
        <v>161</v>
      </c>
      <c r="C19" s="95" t="s">
        <v>133</v>
      </c>
      <c r="D19" s="94" t="s">
        <v>111</v>
      </c>
      <c r="E19" s="97" t="e">
        <f>KILIT!AO59</f>
        <v>#DIV/0!</v>
      </c>
      <c r="F19" s="97" t="e">
        <f>VLOOKUP($B19,KILIT!C5:AO57,39,0)</f>
        <v>#N/A</v>
      </c>
      <c r="G19" s="98" t="e">
        <f>VLOOKUP($B19,[1]Hedef!$B$6:$DX$6610,109,0)+VLOOKUP($B19,[1]Hedef!$B$6:$DX$6610,45,0)</f>
        <v>#N/A</v>
      </c>
      <c r="H19" t="s">
        <v>125</v>
      </c>
    </row>
    <row r="20" spans="2:8" x14ac:dyDescent="0.2">
      <c r="B20" s="93" t="s">
        <v>161</v>
      </c>
      <c r="C20" s="95" t="s">
        <v>164</v>
      </c>
      <c r="D20" s="94">
        <v>76</v>
      </c>
      <c r="E20" s="97" t="e">
        <f>TELAVI!H59</f>
        <v>#DIV/0!</v>
      </c>
      <c r="F20" s="97" t="e">
        <f>VLOOKUP($B20,TELAVI!C5:H65,6,0)</f>
        <v>#N/A</v>
      </c>
      <c r="G20" s="98" t="e">
        <f>VLOOKUP($B20,[1]Hedef!$B$6:$DX$6610,111,0)</f>
        <v>#N/A</v>
      </c>
      <c r="H20">
        <v>111</v>
      </c>
    </row>
    <row r="21" spans="2:8" x14ac:dyDescent="0.2">
      <c r="B21" s="93" t="s">
        <v>161</v>
      </c>
      <c r="C21" s="95" t="s">
        <v>135</v>
      </c>
      <c r="D21" s="94">
        <v>77</v>
      </c>
      <c r="E21" s="97" t="e">
        <f>TELAVI!P59</f>
        <v>#DIV/0!</v>
      </c>
      <c r="F21" s="97" t="e">
        <f>VLOOKUP($B21,TELAVI!C5:P65,14,0)</f>
        <v>#N/A</v>
      </c>
      <c r="G21" s="98" t="e">
        <f>VLOOKUP($B21,[1]Hedef!$B$6:$DX$6610,113,0)</f>
        <v>#N/A</v>
      </c>
      <c r="H21">
        <v>113</v>
      </c>
    </row>
    <row r="22" spans="2:8" x14ac:dyDescent="0.2">
      <c r="B22" s="93" t="s">
        <v>161</v>
      </c>
      <c r="C22" s="95" t="s">
        <v>136</v>
      </c>
      <c r="D22" s="94">
        <v>78</v>
      </c>
      <c r="E22" s="97" t="e">
        <f>TELAVI!X59</f>
        <v>#DIV/0!</v>
      </c>
      <c r="F22" s="97" t="e">
        <f>VLOOKUP($B22,TELAVI!C5:X72,22,0)</f>
        <v>#N/A</v>
      </c>
      <c r="G22" s="98" t="e">
        <f>VLOOKUP($B22,[1]Hedef!$B$6:$DX$6610,115,0)</f>
        <v>#N/A</v>
      </c>
      <c r="H22">
        <v>115</v>
      </c>
    </row>
    <row r="23" spans="2:8" x14ac:dyDescent="0.2">
      <c r="B23" s="93" t="s">
        <v>161</v>
      </c>
      <c r="C23" s="95" t="s">
        <v>80</v>
      </c>
      <c r="D23" s="94" t="s">
        <v>112</v>
      </c>
      <c r="E23" s="97" t="e">
        <f>TELAVI!AF59</f>
        <v>#DIV/0!</v>
      </c>
      <c r="F23" s="97" t="e">
        <f>VLOOKUP($B23,TELAVI!C5:AF65,30,0)</f>
        <v>#N/A</v>
      </c>
      <c r="G23" s="98" t="e">
        <f>VLOOKUP($B23,[1]Hedef!$B$6:$DX$6610,117,0)</f>
        <v>#N/A</v>
      </c>
      <c r="H23">
        <v>117</v>
      </c>
    </row>
    <row r="24" spans="2:8" x14ac:dyDescent="0.2">
      <c r="B24" s="93" t="s">
        <v>161</v>
      </c>
      <c r="C24" s="95" t="s">
        <v>81</v>
      </c>
      <c r="D24" s="94">
        <v>81</v>
      </c>
      <c r="E24" s="97">
        <f>MARNEULI!H59</f>
        <v>0</v>
      </c>
      <c r="F24" s="97" t="e">
        <f>VLOOKUP($B24,MARNEULI!C5:H65,6,0)</f>
        <v>#N/A</v>
      </c>
      <c r="G24" s="98" t="e">
        <f>VLOOKUP($B24,[1]Hedef!$B$6:$DX$6610,119,0)</f>
        <v>#N/A</v>
      </c>
      <c r="H24">
        <v>119</v>
      </c>
    </row>
    <row r="25" spans="2:8" x14ac:dyDescent="0.2">
      <c r="B25" s="93" t="s">
        <v>161</v>
      </c>
      <c r="C25" s="95" t="s">
        <v>82</v>
      </c>
      <c r="D25" s="94">
        <v>82</v>
      </c>
      <c r="E25" s="97">
        <f>MARNEULI!P59</f>
        <v>0</v>
      </c>
      <c r="F25" s="97" t="e">
        <f>VLOOKUP($B25,MARNEULI!C5:P65,14,0)</f>
        <v>#N/A</v>
      </c>
      <c r="G25" s="98" t="e">
        <f>VLOOKUP($B25,[1]Hedef!$B$6:$DX$6610,121,0)</f>
        <v>#N/A</v>
      </c>
      <c r="H25">
        <v>121</v>
      </c>
    </row>
    <row r="26" spans="2:8" x14ac:dyDescent="0.2">
      <c r="B26" s="93" t="s">
        <v>161</v>
      </c>
      <c r="C26" s="95" t="s">
        <v>185</v>
      </c>
      <c r="D26" s="94">
        <v>83</v>
      </c>
      <c r="E26" s="97">
        <f>MARNEULI!X59</f>
        <v>0</v>
      </c>
      <c r="F26" s="97" t="e">
        <f>VLOOKUP($B26,MARNEULI!C5:X72,22,0)</f>
        <v>#N/A</v>
      </c>
      <c r="G26" s="98" t="e">
        <f>VLOOKUP($B26,[1]Hedef!$B$6:$DX$6610,123,0)</f>
        <v>#N/A</v>
      </c>
      <c r="H26">
        <v>123</v>
      </c>
    </row>
    <row r="27" spans="2:8" x14ac:dyDescent="0.2">
      <c r="B27" s="93" t="s">
        <v>161</v>
      </c>
      <c r="C27" s="95" t="s">
        <v>83</v>
      </c>
      <c r="D27" s="94" t="s">
        <v>113</v>
      </c>
      <c r="E27" s="97">
        <f>MARNEULI!AF59</f>
        <v>0</v>
      </c>
      <c r="F27" s="97" t="e">
        <f>VLOOKUP($B27,MARNEULI!C5:AF72,30,0)</f>
        <v>#N/A</v>
      </c>
      <c r="G27" s="98" t="e">
        <f>VLOOKUP($B27,[1]Hedef!$B$6:$DX$6610,125,0)</f>
        <v>#N/A</v>
      </c>
      <c r="H27">
        <v>125</v>
      </c>
    </row>
    <row r="28" spans="2:8" x14ac:dyDescent="0.2">
      <c r="B28" s="93" t="s">
        <v>161</v>
      </c>
      <c r="C28" s="95" t="s">
        <v>186</v>
      </c>
      <c r="D28" s="94">
        <v>60</v>
      </c>
      <c r="E28" s="97">
        <f>QUTAISI!H59</f>
        <v>7.0000000000000007E-2</v>
      </c>
      <c r="F28" s="97" t="e">
        <f>VLOOKUP($B28,QUTAISI!C5:H66,6,0)</f>
        <v>#N/A</v>
      </c>
      <c r="G28" s="98" t="e">
        <f>VLOOKUP($B28,[1]Hedef!$B$6:$DX$6610,61,0)</f>
        <v>#N/A</v>
      </c>
      <c r="H28">
        <v>61</v>
      </c>
    </row>
    <row r="29" spans="2:8" x14ac:dyDescent="0.2">
      <c r="B29" s="93" t="s">
        <v>161</v>
      </c>
      <c r="C29" s="95" t="s">
        <v>84</v>
      </c>
      <c r="D29" s="94">
        <v>63</v>
      </c>
      <c r="E29" s="97">
        <f>QUTAISI!P59</f>
        <v>0.15</v>
      </c>
      <c r="F29" s="97" t="e">
        <f>VLOOKUP($B29,QUTAISI!C5:P56,14,0)</f>
        <v>#N/A</v>
      </c>
      <c r="G29" s="98" t="e">
        <f>VLOOKUP($B29,[1]Hedef!$B$6:$DX$6610,65,0)</f>
        <v>#N/A</v>
      </c>
      <c r="H29">
        <v>65</v>
      </c>
    </row>
    <row r="30" spans="2:8" x14ac:dyDescent="0.2">
      <c r="B30" s="93" t="s">
        <v>161</v>
      </c>
      <c r="C30" s="95" t="s">
        <v>187</v>
      </c>
      <c r="D30" s="94">
        <v>41</v>
      </c>
      <c r="E30" s="97">
        <f>QUTAISI!X59</f>
        <v>0.11</v>
      </c>
      <c r="F30" s="97" t="e">
        <f>VLOOKUP($B30,QUTAISI!C5:X66,22,0)</f>
        <v>#N/A</v>
      </c>
      <c r="G30" s="98" t="e">
        <f>VLOOKUP($B30,[1]Hedef!$B$6:$DX$6610,59,0)</f>
        <v>#N/A</v>
      </c>
      <c r="H30">
        <v>59</v>
      </c>
    </row>
    <row r="31" spans="2:8" x14ac:dyDescent="0.2">
      <c r="B31" s="93" t="s">
        <v>161</v>
      </c>
      <c r="C31" s="95" t="s">
        <v>188</v>
      </c>
      <c r="D31" s="94">
        <v>62</v>
      </c>
      <c r="E31" s="97">
        <f>QUTAISI!AF59</f>
        <v>0.14000000000000001</v>
      </c>
      <c r="F31" s="97" t="e">
        <f>VLOOKUP($B31,QUTAISI!C5:AF65,30,0)</f>
        <v>#N/A</v>
      </c>
      <c r="G31" s="98" t="e">
        <f>VLOOKUP($B31,[1]Hedef!$B$6:$DX$6610,67,0)</f>
        <v>#N/A</v>
      </c>
      <c r="H31">
        <v>67</v>
      </c>
    </row>
    <row r="32" spans="2:8" x14ac:dyDescent="0.2">
      <c r="B32" s="93" t="s">
        <v>161</v>
      </c>
      <c r="C32" s="95" t="s">
        <v>86</v>
      </c>
      <c r="D32" s="94">
        <v>61</v>
      </c>
      <c r="E32" s="97">
        <f>QUTAISI!AN59</f>
        <v>0.13</v>
      </c>
      <c r="F32" s="97" t="e">
        <f>VLOOKUP($B32,QUTAISI!C5:AN65,38,0)</f>
        <v>#N/A</v>
      </c>
      <c r="G32" s="98" t="e">
        <f>VLOOKUP($B32,[1]Hedef!$B$6:$DX$6610,63,0)</f>
        <v>#N/A</v>
      </c>
      <c r="H32">
        <v>63</v>
      </c>
    </row>
    <row r="33" spans="2:8" x14ac:dyDescent="0.2">
      <c r="B33" s="93" t="s">
        <v>161</v>
      </c>
      <c r="C33" s="95" t="s">
        <v>85</v>
      </c>
      <c r="D33" s="94" t="s">
        <v>114</v>
      </c>
      <c r="E33" s="97">
        <f>QUTAISI!AV59</f>
        <v>0.14000000000000001</v>
      </c>
      <c r="F33" s="97" t="e">
        <f>VLOOKUP($B33,QUTAISI!C5:AV65,46,0)</f>
        <v>#N/A</v>
      </c>
      <c r="G33" s="98" t="e">
        <f>VLOOKUP($B33,[1]Hedef!$B$6:$DX$6610,71,0)</f>
        <v>#N/A</v>
      </c>
      <c r="H33">
        <v>71</v>
      </c>
    </row>
    <row r="34" spans="2:8" x14ac:dyDescent="0.2">
      <c r="B34" s="93" t="s">
        <v>161</v>
      </c>
      <c r="C34" s="95" t="s">
        <v>184</v>
      </c>
      <c r="D34" s="94">
        <v>47</v>
      </c>
      <c r="E34" s="97" t="e">
        <f>BATUMI!H59</f>
        <v>#DIV/0!</v>
      </c>
      <c r="F34" s="97" t="e">
        <f>VLOOKUP($B34,BATUMI!$C$5:$BT$69,6,0)</f>
        <v>#N/A</v>
      </c>
      <c r="G34" s="98" t="e">
        <f>VLOOKUP($B34,[1]Hedef!$B$6:$DX$6610,75,0)</f>
        <v>#N/A</v>
      </c>
      <c r="H34">
        <v>75</v>
      </c>
    </row>
    <row r="35" spans="2:8" x14ac:dyDescent="0.2">
      <c r="B35" s="93" t="s">
        <v>161</v>
      </c>
      <c r="C35" s="95" t="s">
        <v>146</v>
      </c>
      <c r="D35" s="94">
        <v>68</v>
      </c>
      <c r="E35" s="97" t="e">
        <f>BATUMI!P59</f>
        <v>#DIV/0!</v>
      </c>
      <c r="F35" s="97" t="e">
        <f>VLOOKUP($B35,BATUMI!$C$5:$BT$69,14,0)</f>
        <v>#N/A</v>
      </c>
      <c r="G35" s="98" t="e">
        <f>VLOOKUP($B35,[1]Hedef!$B$6:$DX$6610,79,0)</f>
        <v>#N/A</v>
      </c>
      <c r="H35">
        <v>79</v>
      </c>
    </row>
    <row r="36" spans="2:8" x14ac:dyDescent="0.2">
      <c r="B36" s="93" t="s">
        <v>161</v>
      </c>
      <c r="C36" s="95" t="s">
        <v>147</v>
      </c>
      <c r="D36" s="94">
        <v>56</v>
      </c>
      <c r="E36" s="97" t="e">
        <f>BATUMI!X59</f>
        <v>#DIV/0!</v>
      </c>
      <c r="F36" s="97" t="e">
        <f>VLOOKUP($B36,BATUMI!$C$5:$BT$69,22,0)</f>
        <v>#N/A</v>
      </c>
      <c r="G36" s="98" t="e">
        <f>VLOOKUP($B36,[1]Hedef!$B$6:$DX$6610,77,0)</f>
        <v>#N/A</v>
      </c>
      <c r="H36">
        <v>77</v>
      </c>
    </row>
    <row r="37" spans="2:8" x14ac:dyDescent="0.2">
      <c r="B37" s="93" t="s">
        <v>161</v>
      </c>
      <c r="C37" s="95" t="s">
        <v>172</v>
      </c>
      <c r="D37" s="94">
        <v>49</v>
      </c>
      <c r="E37" s="97" t="e">
        <f>BATUMI!AF59</f>
        <v>#DIV/0!</v>
      </c>
      <c r="F37" s="97" t="e">
        <f>VLOOKUP($B37,BATUMI!$C$5:$BT$69,30,0)</f>
        <v>#N/A</v>
      </c>
      <c r="G37" s="98" t="e">
        <f>VLOOKUP($B37,[1]Hedef!$B$6:$DX$6610,81,0)</f>
        <v>#N/A</v>
      </c>
      <c r="H37">
        <v>81</v>
      </c>
    </row>
    <row r="38" spans="2:8" x14ac:dyDescent="0.2">
      <c r="B38" s="93" t="s">
        <v>161</v>
      </c>
      <c r="C38" s="95" t="s">
        <v>148</v>
      </c>
      <c r="D38" s="94">
        <v>35</v>
      </c>
      <c r="E38" s="97" t="e">
        <f>BATUMI!AN59</f>
        <v>#DIV/0!</v>
      </c>
      <c r="F38" s="97" t="e">
        <f>VLOOKUP($B38,BATUMI!$C$5:$BT$69,38,0)</f>
        <v>#N/A</v>
      </c>
      <c r="G38" s="98" t="e">
        <f>VLOOKUP($B38,[1]Hedef!$B$6:$DX$6610,73,0)</f>
        <v>#N/A</v>
      </c>
      <c r="H38">
        <v>73</v>
      </c>
    </row>
    <row r="39" spans="2:8" x14ac:dyDescent="0.2">
      <c r="B39" s="93" t="s">
        <v>161</v>
      </c>
      <c r="C39" s="95" t="s">
        <v>183</v>
      </c>
      <c r="D39" s="94">
        <v>38</v>
      </c>
      <c r="E39" s="97" t="e">
        <f>BATUMI!AV59</f>
        <v>#DIV/0!</v>
      </c>
      <c r="F39" s="97" t="e">
        <f>VLOOKUP($B39,BATUMI!$C$5:$BT$69,46,0)</f>
        <v>#N/A</v>
      </c>
      <c r="G39" s="98" t="e">
        <f>VLOOKUP($B39,[1]Hedef!$B$6:$DX$6610,83,0)</f>
        <v>#N/A</v>
      </c>
      <c r="H39">
        <v>83</v>
      </c>
    </row>
    <row r="40" spans="2:8" x14ac:dyDescent="0.2">
      <c r="B40" s="93" t="s">
        <v>161</v>
      </c>
      <c r="C40" s="95" t="s">
        <v>145</v>
      </c>
      <c r="D40" s="94">
        <v>67</v>
      </c>
      <c r="E40" s="97" t="e">
        <f>BATUMI!BD59</f>
        <v>#DIV/0!</v>
      </c>
      <c r="F40" s="97" t="e">
        <f>VLOOKUP($B40,BATUMI!$C$5:$BT$69,54,0)</f>
        <v>#N/A</v>
      </c>
      <c r="G40" s="98" t="e">
        <f>VLOOKUP($B40,[1]Hedef!$B$6:$DX$6610,85,0)</f>
        <v>#N/A</v>
      </c>
      <c r="H40">
        <v>85</v>
      </c>
    </row>
    <row r="41" spans="2:8" x14ac:dyDescent="0.2">
      <c r="B41" s="93" t="s">
        <v>161</v>
      </c>
      <c r="C41" s="95" t="s">
        <v>87</v>
      </c>
      <c r="D41" s="94" t="s">
        <v>179</v>
      </c>
      <c r="E41" s="97" t="e">
        <f>BATUMI!BL59</f>
        <v>#DIV/0!</v>
      </c>
      <c r="F41" s="97" t="e">
        <f>VLOOKUP($B41,BATUMI!$C$5:$BT$69,62,0)</f>
        <v>#N/A</v>
      </c>
      <c r="G41" s="98" t="e">
        <f>VLOOKUP($B41,[1]Hedef!$B$6:$DX$6610,87,0)</f>
        <v>#N/A</v>
      </c>
      <c r="H41" t="s">
        <v>189</v>
      </c>
    </row>
    <row r="42" spans="2:8" x14ac:dyDescent="0.2">
      <c r="B42" s="93" t="s">
        <v>161</v>
      </c>
      <c r="C42" s="95" t="s">
        <v>88</v>
      </c>
      <c r="D42" s="94" t="s">
        <v>115</v>
      </c>
      <c r="E42" s="97" t="e">
        <f>BATUMI!BT59</f>
        <v>#DIV/0!</v>
      </c>
      <c r="F42" s="97" t="e">
        <f>VLOOKUP($B42,BATUMI!$C$5:$BT$69,70,0)</f>
        <v>#N/A</v>
      </c>
      <c r="G42" s="98" t="e">
        <f>VLOOKUP($B42,[1]Hedef!$B$6:$DX$6610,87,0)</f>
        <v>#N/A</v>
      </c>
      <c r="H42">
        <v>87</v>
      </c>
    </row>
    <row r="43" spans="2:8" x14ac:dyDescent="0.2">
      <c r="B43" s="93" t="s">
        <v>161</v>
      </c>
      <c r="C43" s="95" t="s">
        <v>89</v>
      </c>
      <c r="D43" s="94" t="s">
        <v>89</v>
      </c>
      <c r="E43" s="97" t="e">
        <f>'GENEL HEDEF'!AN59</f>
        <v>#VALUE!</v>
      </c>
      <c r="F43" s="97" t="e">
        <f>VLOOKUP($B43,'GENEL HEDEF'!$C$5:$CY$65,38,0)</f>
        <v>#N/A</v>
      </c>
      <c r="G43" s="98" t="e">
        <f>VLOOKUP($B43,[1]Hedef!$B$6:$DX$6610,97,0)</f>
        <v>#N/A</v>
      </c>
      <c r="H43">
        <v>97</v>
      </c>
    </row>
    <row r="44" spans="2:8" x14ac:dyDescent="0.2">
      <c r="B44" s="93" t="s">
        <v>161</v>
      </c>
      <c r="C44" s="95" t="s">
        <v>124</v>
      </c>
      <c r="D44" s="94" t="s">
        <v>117</v>
      </c>
      <c r="E44" s="97">
        <f>'GENEL HEDEF'!CP59</f>
        <v>0.09</v>
      </c>
      <c r="F44" s="97" t="e">
        <f>VLOOKUP($B44,'GENEL HEDEF'!$C$5:$CY$65,92,0)</f>
        <v>#N/A</v>
      </c>
      <c r="G44" s="153" t="e">
        <f>VLOOKUP($B44,[1]Hedef!$B$6:$DX$6610,71,0)+VLOOKUP($B44,[1]Hedef!$B$6:$DX$6610,87,0)</f>
        <v>#N/A</v>
      </c>
      <c r="H44" t="s">
        <v>126</v>
      </c>
    </row>
    <row r="45" spans="2:8" x14ac:dyDescent="0.2">
      <c r="B45" s="93" t="s">
        <v>161</v>
      </c>
      <c r="C45" s="95" t="s">
        <v>165</v>
      </c>
      <c r="D45" s="94" t="s">
        <v>118</v>
      </c>
      <c r="E45" s="97">
        <f>'GENEL HEDEF'!BT59</f>
        <v>0.06</v>
      </c>
      <c r="F45" s="97" t="e">
        <f>VLOOKUP($B45,'GENEL HEDEF'!$C$5:$CY$65,70,0)</f>
        <v>#N/A</v>
      </c>
      <c r="G45" s="153" t="e">
        <f>VLOOKUP($B45,[1]Hedef!$B$6:$DX$6610,57,0)+VLOOKUP($B45,[1]Hedef!$B$6:$DX$6610,97,0)+VLOOKUP($B45,[1]Hedef!$B$6:$DX$6610,117,0)+VLOOKUP($B45,[1]Hedef!$B$6:$DX$6610,125,0)</f>
        <v>#N/A</v>
      </c>
      <c r="H45" t="s">
        <v>127</v>
      </c>
    </row>
    <row r="46" spans="2:8" x14ac:dyDescent="0.2">
      <c r="B46" s="93" t="s">
        <v>161</v>
      </c>
      <c r="C46" s="95" t="s">
        <v>90</v>
      </c>
      <c r="D46" s="94" t="s">
        <v>119</v>
      </c>
      <c r="E46" s="97">
        <f>'GENEL HEDEF'!AF59</f>
        <v>0.08</v>
      </c>
      <c r="F46" s="97" t="e">
        <f>VLOOKUP($B46,'GENEL HEDEF'!$C$5:$CY$65,30,0)</f>
        <v>#N/A</v>
      </c>
      <c r="G46" s="98" t="e">
        <f>VLOOKUP($B46,[1]Hedef!$B$6:$DX$6610,15,0)+VLOOKUP($B46,[1]Hedef!$B$6:$DX$6610,25,0)+VLOOKUP($B46,[1]Hedef!$B$6:$DX$6610,41,0)+VLOOKUP($B46,[1]Hedef!$B$6:$DX$6610,45,0)+VLOOKUP($B46,[1]Hedef!$B$6:$DX$6610,109,0)</f>
        <v>#N/A</v>
      </c>
      <c r="H46" t="s">
        <v>128</v>
      </c>
    </row>
    <row r="47" spans="2:8" x14ac:dyDescent="0.2">
      <c r="B47" s="93" t="s">
        <v>161</v>
      </c>
      <c r="C47" s="95" t="s">
        <v>198</v>
      </c>
      <c r="D47" s="94" t="s">
        <v>196</v>
      </c>
      <c r="E47" s="97">
        <f>'GENEL HEDEF'!CY21</f>
        <v>0.03</v>
      </c>
      <c r="F47" s="97" t="e">
        <f>VLOOKUP($B47,'GENEL HEDEF'!$C$5:$CY$65,101,0)</f>
        <v>#N/A</v>
      </c>
      <c r="G47" s="98" t="e">
        <f>+G46+G45+G44</f>
        <v>#N/A</v>
      </c>
    </row>
    <row r="48" spans="2:8" x14ac:dyDescent="0.2">
      <c r="B48" s="93" t="s">
        <v>161</v>
      </c>
      <c r="C48" s="95" t="s">
        <v>199</v>
      </c>
      <c r="D48" s="94" t="s">
        <v>197</v>
      </c>
      <c r="E48" s="97">
        <f>('GENEL HEDEF'!CY51+'GENEL HEDEF'!CY52+'GENEL HEDEF'!CY53)/3</f>
        <v>3.3333333333333333E-2</v>
      </c>
      <c r="F48" s="97" t="e">
        <f>VLOOKUP($B48,'GENEL HEDEF'!$C$5:$CY$65,101,0)</f>
        <v>#N/A</v>
      </c>
      <c r="G48" s="98" t="e">
        <f>+G46+G45+G44</f>
        <v>#N/A</v>
      </c>
    </row>
    <row r="49" spans="2:8" x14ac:dyDescent="0.2">
      <c r="B49" s="93" t="s">
        <v>161</v>
      </c>
      <c r="C49" s="95" t="s">
        <v>116</v>
      </c>
      <c r="D49" s="94"/>
      <c r="E49" s="97"/>
      <c r="F49" s="97"/>
      <c r="G49" s="98" t="e">
        <f>VLOOKUP($B49,[1]Hedef!$B$6:$DX$6610,127,0)</f>
        <v>#N/A</v>
      </c>
      <c r="H49">
        <v>127</v>
      </c>
    </row>
    <row r="51" spans="2:8" x14ac:dyDescent="0.2">
      <c r="G51" s="106" t="e">
        <f>G49-G46-G45-G44</f>
        <v>#N/A</v>
      </c>
    </row>
    <row r="76" spans="3:3" x14ac:dyDescent="0.2">
      <c r="C76" s="151"/>
    </row>
  </sheetData>
  <phoneticPr fontId="4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Toptan-Horeka</vt:lpstr>
      <vt:lpstr>PLS</vt:lpstr>
      <vt:lpstr>KILIT</vt:lpstr>
      <vt:lpstr>RUSTAVI</vt:lpstr>
      <vt:lpstr>GENEL HEDEF</vt:lpstr>
      <vt:lpstr>MARNEULI</vt:lpstr>
      <vt:lpstr>TELAVI</vt:lpstr>
      <vt:lpstr>QUTAISI</vt:lpstr>
      <vt:lpstr>BATUMI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2023-06-16T06:00:06Z</dcterms:modified>
</cp:coreProperties>
</file>