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arcortes/Dropbox/Isamar/Papers_In_Prep/Paper_1/SupplementaryMaterial/SupplementaryFinalized/Data/"/>
    </mc:Choice>
  </mc:AlternateContent>
  <xr:revisionPtr revIDLastSave="0" documentId="13_ncr:1_{C8EB02CF-7BD6-D84D-A85B-548AB8F61EB4}" xr6:coauthVersionLast="47" xr6:coauthVersionMax="47" xr10:uidLastSave="{00000000-0000-0000-0000-000000000000}"/>
  <bookViews>
    <workbookView xWindow="200" yWindow="460" windowWidth="25400" windowHeight="14500" activeTab="2" xr2:uid="{22B54AD6-23EB-284B-AD07-9FF6AC944E5C}"/>
  </bookViews>
  <sheets>
    <sheet name="Database" sheetId="1" r:id="rId1"/>
    <sheet name="Database_DiffDCValues" sheetId="10" r:id="rId2"/>
    <sheet name="BiomassData" sheetId="7" r:id="rId3"/>
    <sheet name="C_Flux_FigData" sheetId="8" r:id="rId4"/>
    <sheet name="AGBFigData" sheetId="9" r:id="rId5"/>
    <sheet name="DatabaseFLWholeRange" sheetId="5" r:id="rId6"/>
    <sheet name="FloridaOnly" sheetId="6" r:id="rId7"/>
    <sheet name="SoAT60" sheetId="2" r:id="rId8"/>
    <sheet name="SoAT10" sheetId="3" r:id="rId9"/>
    <sheet name="GDP_PerCapita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" i="7"/>
  <c r="I3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S2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R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H30" i="10"/>
  <c r="N30" i="10" s="1"/>
  <c r="Q30" i="10" s="1"/>
  <c r="E30" i="10"/>
  <c r="D30" i="10"/>
  <c r="H29" i="10"/>
  <c r="I29" i="10" s="1"/>
  <c r="E29" i="10"/>
  <c r="D29" i="10"/>
  <c r="H28" i="10"/>
  <c r="N28" i="10" s="1"/>
  <c r="Q28" i="10" s="1"/>
  <c r="E28" i="10"/>
  <c r="D28" i="10"/>
  <c r="H27" i="10"/>
  <c r="N27" i="10" s="1"/>
  <c r="Q27" i="10" s="1"/>
  <c r="E27" i="10"/>
  <c r="D27" i="10"/>
  <c r="H26" i="10"/>
  <c r="N26" i="10" s="1"/>
  <c r="Q26" i="10" s="1"/>
  <c r="E26" i="10"/>
  <c r="D26" i="10"/>
  <c r="H25" i="10"/>
  <c r="I25" i="10" s="1"/>
  <c r="E25" i="10"/>
  <c r="D25" i="10"/>
  <c r="H24" i="10"/>
  <c r="N24" i="10" s="1"/>
  <c r="Q24" i="10" s="1"/>
  <c r="E24" i="10"/>
  <c r="D24" i="10"/>
  <c r="H23" i="10"/>
  <c r="N23" i="10" s="1"/>
  <c r="Q23" i="10" s="1"/>
  <c r="E23" i="10"/>
  <c r="D23" i="10"/>
  <c r="H22" i="10"/>
  <c r="N22" i="10" s="1"/>
  <c r="Q22" i="10" s="1"/>
  <c r="E22" i="10"/>
  <c r="D22" i="10"/>
  <c r="H21" i="10"/>
  <c r="I21" i="10" s="1"/>
  <c r="E21" i="10"/>
  <c r="D21" i="10"/>
  <c r="H20" i="10"/>
  <c r="N20" i="10" s="1"/>
  <c r="Q20" i="10" s="1"/>
  <c r="E20" i="10"/>
  <c r="D20" i="10"/>
  <c r="H19" i="10"/>
  <c r="N19" i="10" s="1"/>
  <c r="Q19" i="10" s="1"/>
  <c r="E19" i="10"/>
  <c r="D19" i="10"/>
  <c r="H18" i="10"/>
  <c r="N18" i="10" s="1"/>
  <c r="Q18" i="10" s="1"/>
  <c r="E18" i="10"/>
  <c r="D18" i="10"/>
  <c r="H17" i="10"/>
  <c r="I17" i="10" s="1"/>
  <c r="E17" i="10"/>
  <c r="D17" i="10"/>
  <c r="H16" i="10"/>
  <c r="N16" i="10" s="1"/>
  <c r="Q16" i="10" s="1"/>
  <c r="E16" i="10"/>
  <c r="D16" i="10"/>
  <c r="H15" i="10"/>
  <c r="N15" i="10" s="1"/>
  <c r="Q15" i="10" s="1"/>
  <c r="E15" i="10"/>
  <c r="D15" i="10"/>
  <c r="H14" i="10"/>
  <c r="N14" i="10" s="1"/>
  <c r="Q14" i="10" s="1"/>
  <c r="E14" i="10"/>
  <c r="D14" i="10"/>
  <c r="H13" i="10"/>
  <c r="I13" i="10" s="1"/>
  <c r="E13" i="10"/>
  <c r="D13" i="10"/>
  <c r="H12" i="10"/>
  <c r="N12" i="10" s="1"/>
  <c r="Q12" i="10" s="1"/>
  <c r="E12" i="10"/>
  <c r="D12" i="10"/>
  <c r="H11" i="10"/>
  <c r="N11" i="10" s="1"/>
  <c r="Q11" i="10" s="1"/>
  <c r="E11" i="10"/>
  <c r="D11" i="10"/>
  <c r="H10" i="10"/>
  <c r="N10" i="10" s="1"/>
  <c r="Q10" i="10" s="1"/>
  <c r="E10" i="10"/>
  <c r="D10" i="10"/>
  <c r="H9" i="10"/>
  <c r="I9" i="10" s="1"/>
  <c r="E9" i="10"/>
  <c r="D9" i="10"/>
  <c r="H8" i="10"/>
  <c r="N8" i="10" s="1"/>
  <c r="Q8" i="10" s="1"/>
  <c r="E8" i="10"/>
  <c r="D8" i="10"/>
  <c r="H7" i="10"/>
  <c r="N7" i="10" s="1"/>
  <c r="Q7" i="10" s="1"/>
  <c r="E7" i="10"/>
  <c r="D7" i="10"/>
  <c r="H6" i="10"/>
  <c r="N6" i="10" s="1"/>
  <c r="Q6" i="10" s="1"/>
  <c r="E6" i="10"/>
  <c r="D6" i="10"/>
  <c r="H5" i="10"/>
  <c r="I5" i="10" s="1"/>
  <c r="E5" i="10"/>
  <c r="D5" i="10"/>
  <c r="H4" i="10"/>
  <c r="N4" i="10" s="1"/>
  <c r="Q4" i="10" s="1"/>
  <c r="E4" i="10"/>
  <c r="D4" i="10"/>
  <c r="H3" i="10"/>
  <c r="N3" i="10" s="1"/>
  <c r="Q3" i="10" s="1"/>
  <c r="E3" i="10"/>
  <c r="D3" i="10"/>
  <c r="H2" i="10"/>
  <c r="N2" i="10" s="1"/>
  <c r="Q2" i="10" s="1"/>
  <c r="E2" i="10"/>
  <c r="D2" i="10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7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50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26" i="9"/>
  <c r="Z28" i="7"/>
  <c r="W28" i="7"/>
  <c r="T28" i="7"/>
  <c r="R3" i="7"/>
  <c r="R4" i="7"/>
  <c r="R5" i="7"/>
  <c r="R6" i="7"/>
  <c r="R7" i="7"/>
  <c r="R8" i="7"/>
  <c r="R9" i="7"/>
  <c r="R10" i="7"/>
  <c r="R11" i="7"/>
  <c r="R29" i="7"/>
  <c r="R12" i="7"/>
  <c r="R13" i="7"/>
  <c r="R30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" i="7"/>
  <c r="L3" i="7"/>
  <c r="N3" i="7" s="1"/>
  <c r="L4" i="7"/>
  <c r="N4" i="7" s="1"/>
  <c r="L5" i="7"/>
  <c r="N5" i="7" s="1"/>
  <c r="L6" i="7"/>
  <c r="N6" i="7" s="1"/>
  <c r="L7" i="7"/>
  <c r="N7" i="7" s="1"/>
  <c r="L8" i="7"/>
  <c r="N8" i="7" s="1"/>
  <c r="L9" i="7"/>
  <c r="N9" i="7" s="1"/>
  <c r="L10" i="7"/>
  <c r="N10" i="7" s="1"/>
  <c r="L11" i="7"/>
  <c r="N11" i="7" s="1"/>
  <c r="L29" i="7"/>
  <c r="L12" i="7"/>
  <c r="N12" i="7" s="1"/>
  <c r="L13" i="7"/>
  <c r="N13" i="7" s="1"/>
  <c r="L30" i="7"/>
  <c r="L14" i="7"/>
  <c r="N14" i="7" s="1"/>
  <c r="L15" i="7"/>
  <c r="N15" i="7" s="1"/>
  <c r="L16" i="7"/>
  <c r="N16" i="7" s="1"/>
  <c r="L17" i="7"/>
  <c r="N17" i="7" s="1"/>
  <c r="L18" i="7"/>
  <c r="N18" i="7" s="1"/>
  <c r="L19" i="7"/>
  <c r="N19" i="7" s="1"/>
  <c r="L20" i="7"/>
  <c r="N20" i="7" s="1"/>
  <c r="L21" i="7"/>
  <c r="N21" i="7" s="1"/>
  <c r="L22" i="7"/>
  <c r="N22" i="7" s="1"/>
  <c r="L23" i="7"/>
  <c r="N23" i="7" s="1"/>
  <c r="L24" i="7"/>
  <c r="N24" i="7" s="1"/>
  <c r="L25" i="7"/>
  <c r="N25" i="7" s="1"/>
  <c r="L26" i="7"/>
  <c r="N26" i="7" s="1"/>
  <c r="L27" i="7"/>
  <c r="N27" i="7" s="1"/>
  <c r="L28" i="7"/>
  <c r="N28" i="7" s="1"/>
  <c r="L2" i="7"/>
  <c r="N2" i="7" s="1"/>
  <c r="N29" i="10" l="1"/>
  <c r="Q29" i="10" s="1"/>
  <c r="J30" i="10"/>
  <c r="J22" i="10"/>
  <c r="J14" i="10"/>
  <c r="J26" i="10"/>
  <c r="K27" i="10"/>
  <c r="K11" i="10"/>
  <c r="N25" i="10"/>
  <c r="Q25" i="10" s="1"/>
  <c r="J18" i="10"/>
  <c r="K7" i="10"/>
  <c r="N13" i="10"/>
  <c r="Q13" i="10" s="1"/>
  <c r="J28" i="10"/>
  <c r="J24" i="10"/>
  <c r="J20" i="10"/>
  <c r="J16" i="10"/>
  <c r="J12" i="10"/>
  <c r="J8" i="10"/>
  <c r="J4" i="10"/>
  <c r="K29" i="10"/>
  <c r="K25" i="10"/>
  <c r="K21" i="10"/>
  <c r="K17" i="10"/>
  <c r="K13" i="10"/>
  <c r="K9" i="10"/>
  <c r="K5" i="10"/>
  <c r="J27" i="10"/>
  <c r="J23" i="10"/>
  <c r="J19" i="10"/>
  <c r="J15" i="10"/>
  <c r="J11" i="10"/>
  <c r="J7" i="10"/>
  <c r="J3" i="10"/>
  <c r="K28" i="10"/>
  <c r="K24" i="10"/>
  <c r="K20" i="10"/>
  <c r="K16" i="10"/>
  <c r="K12" i="10"/>
  <c r="K8" i="10"/>
  <c r="K4" i="10"/>
  <c r="J10" i="10"/>
  <c r="J6" i="10"/>
  <c r="J2" i="10"/>
  <c r="K23" i="10"/>
  <c r="K19" i="10"/>
  <c r="K15" i="10"/>
  <c r="K3" i="10"/>
  <c r="J29" i="10"/>
  <c r="J25" i="10"/>
  <c r="J21" i="10"/>
  <c r="J17" i="10"/>
  <c r="J13" i="10"/>
  <c r="J9" i="10"/>
  <c r="J5" i="10"/>
  <c r="K30" i="10"/>
  <c r="K26" i="10"/>
  <c r="K22" i="10"/>
  <c r="K18" i="10"/>
  <c r="K14" i="10"/>
  <c r="K10" i="10"/>
  <c r="K6" i="10"/>
  <c r="K2" i="10"/>
  <c r="N17" i="10"/>
  <c r="Q17" i="10" s="1"/>
  <c r="N5" i="10"/>
  <c r="Q5" i="10" s="1"/>
  <c r="N21" i="10"/>
  <c r="Q21" i="10" s="1"/>
  <c r="N9" i="10"/>
  <c r="Q9" i="10" s="1"/>
  <c r="I3" i="10"/>
  <c r="I7" i="10"/>
  <c r="I26" i="10"/>
  <c r="I27" i="10"/>
  <c r="I2" i="10"/>
  <c r="I6" i="10"/>
  <c r="I10" i="10"/>
  <c r="I11" i="10"/>
  <c r="I14" i="10"/>
  <c r="I15" i="10"/>
  <c r="I18" i="10"/>
  <c r="I19" i="10"/>
  <c r="I22" i="10"/>
  <c r="I23" i="10"/>
  <c r="I4" i="10"/>
  <c r="I8" i="10"/>
  <c r="I12" i="10"/>
  <c r="I16" i="10"/>
  <c r="I20" i="10"/>
  <c r="I24" i="10"/>
  <c r="I28" i="10"/>
  <c r="I30" i="10"/>
  <c r="AA30" i="7"/>
  <c r="AA29" i="7"/>
  <c r="X30" i="7"/>
  <c r="X29" i="7"/>
  <c r="U29" i="7"/>
  <c r="U30" i="7"/>
  <c r="C3" i="7"/>
  <c r="O3" i="7" s="1"/>
  <c r="C4" i="7"/>
  <c r="O4" i="7" s="1"/>
  <c r="C5" i="7"/>
  <c r="O5" i="7" s="1"/>
  <c r="C6" i="7"/>
  <c r="O6" i="7" s="1"/>
  <c r="C7" i="7"/>
  <c r="O7" i="7" s="1"/>
  <c r="C8" i="7"/>
  <c r="O8" i="7" s="1"/>
  <c r="C9" i="7"/>
  <c r="O9" i="7" s="1"/>
  <c r="C10" i="7"/>
  <c r="O10" i="7" s="1"/>
  <c r="C11" i="7"/>
  <c r="O11" i="7" s="1"/>
  <c r="C29" i="7"/>
  <c r="O29" i="7" s="1"/>
  <c r="C12" i="7"/>
  <c r="O12" i="7" s="1"/>
  <c r="C13" i="7"/>
  <c r="O13" i="7" s="1"/>
  <c r="C30" i="7"/>
  <c r="O30" i="7" s="1"/>
  <c r="C14" i="7"/>
  <c r="O14" i="7" s="1"/>
  <c r="C15" i="7"/>
  <c r="O15" i="7" s="1"/>
  <c r="C16" i="7"/>
  <c r="O16" i="7" s="1"/>
  <c r="C17" i="7"/>
  <c r="O17" i="7" s="1"/>
  <c r="C18" i="7"/>
  <c r="O18" i="7" s="1"/>
  <c r="C19" i="7"/>
  <c r="O19" i="7" s="1"/>
  <c r="C20" i="7"/>
  <c r="O20" i="7" s="1"/>
  <c r="C21" i="7"/>
  <c r="O21" i="7" s="1"/>
  <c r="C22" i="7"/>
  <c r="O22" i="7" s="1"/>
  <c r="C23" i="7"/>
  <c r="O23" i="7" s="1"/>
  <c r="C24" i="7"/>
  <c r="O24" i="7" s="1"/>
  <c r="C25" i="7"/>
  <c r="O25" i="7" s="1"/>
  <c r="C26" i="7"/>
  <c r="O26" i="7" s="1"/>
  <c r="C27" i="7"/>
  <c r="O27" i="7" s="1"/>
  <c r="C28" i="7"/>
  <c r="C2" i="7"/>
  <c r="O2" i="7" s="1"/>
  <c r="AA2" i="7" l="1"/>
  <c r="U2" i="7"/>
  <c r="X2" i="7"/>
  <c r="X21" i="7"/>
  <c r="AA21" i="7"/>
  <c r="U21" i="7"/>
  <c r="AA27" i="7"/>
  <c r="U27" i="7"/>
  <c r="X27" i="7"/>
  <c r="AA23" i="7"/>
  <c r="U23" i="7"/>
  <c r="X23" i="7"/>
  <c r="AA19" i="7"/>
  <c r="U19" i="7"/>
  <c r="X19" i="7"/>
  <c r="AA15" i="7"/>
  <c r="U15" i="7"/>
  <c r="X15" i="7"/>
  <c r="U12" i="7"/>
  <c r="AA12" i="7"/>
  <c r="X12" i="7"/>
  <c r="X9" i="7"/>
  <c r="AA9" i="7"/>
  <c r="U9" i="7"/>
  <c r="X5" i="7"/>
  <c r="AA5" i="7"/>
  <c r="U5" i="7"/>
  <c r="AA18" i="7"/>
  <c r="X18" i="7"/>
  <c r="U18" i="7"/>
  <c r="AA14" i="7"/>
  <c r="X14" i="7"/>
  <c r="U14" i="7"/>
  <c r="U8" i="7"/>
  <c r="AA8" i="7"/>
  <c r="X8" i="7"/>
  <c r="U4" i="7"/>
  <c r="AA4" i="7"/>
  <c r="X4" i="7"/>
  <c r="AA26" i="7"/>
  <c r="X26" i="7"/>
  <c r="U26" i="7"/>
  <c r="X17" i="7"/>
  <c r="AA17" i="7"/>
  <c r="U17" i="7"/>
  <c r="AA11" i="7"/>
  <c r="U11" i="7"/>
  <c r="X11" i="7"/>
  <c r="AA7" i="7"/>
  <c r="U7" i="7"/>
  <c r="X7" i="7"/>
  <c r="AA3" i="7"/>
  <c r="U3" i="7"/>
  <c r="X3" i="7"/>
  <c r="AA22" i="7"/>
  <c r="X22" i="7"/>
  <c r="U22" i="7"/>
  <c r="X25" i="7"/>
  <c r="AA25" i="7"/>
  <c r="U25" i="7"/>
  <c r="U24" i="7"/>
  <c r="AA24" i="7"/>
  <c r="X24" i="7"/>
  <c r="U20" i="7"/>
  <c r="AA20" i="7"/>
  <c r="X20" i="7"/>
  <c r="U16" i="7"/>
  <c r="AA16" i="7"/>
  <c r="X16" i="7"/>
  <c r="X13" i="7"/>
  <c r="AA13" i="7"/>
  <c r="U13" i="7"/>
  <c r="AA10" i="7"/>
  <c r="X10" i="7"/>
  <c r="U10" i="7"/>
  <c r="AA6" i="7"/>
  <c r="X6" i="7"/>
  <c r="U6" i="7"/>
  <c r="Z7" i="7"/>
  <c r="W7" i="7"/>
  <c r="T7" i="7"/>
  <c r="T19" i="7"/>
  <c r="Z19" i="7"/>
  <c r="W19" i="7"/>
  <c r="T9" i="7"/>
  <c r="Z9" i="7"/>
  <c r="W9" i="7"/>
  <c r="Z25" i="7"/>
  <c r="W25" i="7"/>
  <c r="T25" i="7"/>
  <c r="Z17" i="7"/>
  <c r="W17" i="7"/>
  <c r="T17" i="7"/>
  <c r="Z11" i="7"/>
  <c r="W11" i="7"/>
  <c r="T11" i="7"/>
  <c r="Z3" i="7"/>
  <c r="W3" i="7"/>
  <c r="T3" i="7"/>
  <c r="T27" i="7"/>
  <c r="Z27" i="7"/>
  <c r="W27" i="7"/>
  <c r="T15" i="7"/>
  <c r="Z15" i="7"/>
  <c r="W15" i="7"/>
  <c r="Z2" i="7"/>
  <c r="W2" i="7"/>
  <c r="T2" i="7"/>
  <c r="Z21" i="7"/>
  <c r="W21" i="7"/>
  <c r="T21" i="7"/>
  <c r="Z30" i="7"/>
  <c r="W30" i="7"/>
  <c r="T30" i="7"/>
  <c r="W24" i="7"/>
  <c r="T24" i="7"/>
  <c r="Z24" i="7"/>
  <c r="W20" i="7"/>
  <c r="T20" i="7"/>
  <c r="Z20" i="7"/>
  <c r="W16" i="7"/>
  <c r="T16" i="7"/>
  <c r="Z16" i="7"/>
  <c r="W13" i="7"/>
  <c r="T13" i="7"/>
  <c r="Z13" i="7"/>
  <c r="W10" i="7"/>
  <c r="T10" i="7"/>
  <c r="Z10" i="7"/>
  <c r="W6" i="7"/>
  <c r="T6" i="7"/>
  <c r="Z6" i="7"/>
  <c r="T23" i="7"/>
  <c r="W23" i="7"/>
  <c r="Z23" i="7"/>
  <c r="T12" i="7"/>
  <c r="W12" i="7"/>
  <c r="Z12" i="7"/>
  <c r="T5" i="7"/>
  <c r="Z5" i="7"/>
  <c r="W5" i="7"/>
  <c r="Z26" i="7"/>
  <c r="T26" i="7"/>
  <c r="W26" i="7"/>
  <c r="Z22" i="7"/>
  <c r="W22" i="7"/>
  <c r="T22" i="7"/>
  <c r="Z18" i="7"/>
  <c r="T18" i="7"/>
  <c r="W18" i="7"/>
  <c r="T14" i="7"/>
  <c r="Z14" i="7"/>
  <c r="W14" i="7"/>
  <c r="Z29" i="7"/>
  <c r="W29" i="7"/>
  <c r="T29" i="7"/>
  <c r="Z8" i="7"/>
  <c r="T8" i="7"/>
  <c r="W8" i="7"/>
  <c r="Z4" i="7"/>
  <c r="W4" i="7"/>
  <c r="T4" i="7"/>
  <c r="P30" i="7"/>
  <c r="P28" i="7"/>
  <c r="P29" i="7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" i="7"/>
  <c r="G3" i="7"/>
  <c r="H3" i="7" s="1"/>
  <c r="G4" i="7"/>
  <c r="H4" i="7" s="1"/>
  <c r="J4" i="7" s="1"/>
  <c r="G5" i="7"/>
  <c r="H5" i="7" s="1"/>
  <c r="G6" i="7"/>
  <c r="H6" i="7" s="1"/>
  <c r="G7" i="7"/>
  <c r="H7" i="7" s="1"/>
  <c r="J7" i="7" s="1"/>
  <c r="G8" i="7"/>
  <c r="H8" i="7" s="1"/>
  <c r="J8" i="7" s="1"/>
  <c r="G9" i="7"/>
  <c r="H9" i="7" s="1"/>
  <c r="G10" i="7"/>
  <c r="H10" i="7" s="1"/>
  <c r="G11" i="7"/>
  <c r="H11" i="7" s="1"/>
  <c r="G12" i="7"/>
  <c r="H12" i="7" s="1"/>
  <c r="J12" i="7" s="1"/>
  <c r="G13" i="7"/>
  <c r="H13" i="7" s="1"/>
  <c r="G14" i="7"/>
  <c r="H14" i="7" s="1"/>
  <c r="G15" i="7"/>
  <c r="H15" i="7" s="1"/>
  <c r="J15" i="7" s="1"/>
  <c r="G16" i="7"/>
  <c r="H16" i="7" s="1"/>
  <c r="J16" i="7" s="1"/>
  <c r="G17" i="7"/>
  <c r="H17" i="7" s="1"/>
  <c r="G18" i="7"/>
  <c r="H18" i="7" s="1"/>
  <c r="G19" i="7"/>
  <c r="H19" i="7" s="1"/>
  <c r="G20" i="7"/>
  <c r="H20" i="7" s="1"/>
  <c r="J20" i="7" s="1"/>
  <c r="G21" i="7"/>
  <c r="H21" i="7" s="1"/>
  <c r="G22" i="7"/>
  <c r="H22" i="7" s="1"/>
  <c r="G23" i="7"/>
  <c r="H23" i="7" s="1"/>
  <c r="J23" i="7" s="1"/>
  <c r="G24" i="7"/>
  <c r="H24" i="7" s="1"/>
  <c r="J24" i="7" s="1"/>
  <c r="G25" i="7"/>
  <c r="H25" i="7" s="1"/>
  <c r="G26" i="7"/>
  <c r="H26" i="7" s="1"/>
  <c r="G27" i="7"/>
  <c r="H27" i="7" s="1"/>
  <c r="G2" i="7"/>
  <c r="H2" i="7" s="1"/>
  <c r="J2" i="7" s="1"/>
  <c r="H17" i="6"/>
  <c r="I17" i="6" s="1"/>
  <c r="E17" i="6"/>
  <c r="D17" i="6"/>
  <c r="H16" i="6"/>
  <c r="L16" i="6" s="1"/>
  <c r="M16" i="6" s="1"/>
  <c r="E16" i="6"/>
  <c r="D16" i="6"/>
  <c r="H15" i="6"/>
  <c r="L15" i="6" s="1"/>
  <c r="M15" i="6" s="1"/>
  <c r="E15" i="6"/>
  <c r="D15" i="6"/>
  <c r="H14" i="6"/>
  <c r="L14" i="6" s="1"/>
  <c r="M14" i="6" s="1"/>
  <c r="E14" i="6"/>
  <c r="D14" i="6"/>
  <c r="H13" i="6"/>
  <c r="I13" i="6" s="1"/>
  <c r="E13" i="6"/>
  <c r="D13" i="6"/>
  <c r="I12" i="6"/>
  <c r="H12" i="6"/>
  <c r="L12" i="6" s="1"/>
  <c r="M12" i="6" s="1"/>
  <c r="E12" i="6"/>
  <c r="D12" i="6"/>
  <c r="H11" i="6"/>
  <c r="L11" i="6" s="1"/>
  <c r="M11" i="6" s="1"/>
  <c r="E11" i="6"/>
  <c r="D11" i="6"/>
  <c r="I10" i="6"/>
  <c r="H10" i="6"/>
  <c r="L10" i="6" s="1"/>
  <c r="M10" i="6" s="1"/>
  <c r="E10" i="6"/>
  <c r="D10" i="6"/>
  <c r="H9" i="6"/>
  <c r="L9" i="6" s="1"/>
  <c r="M9" i="6" s="1"/>
  <c r="E9" i="6"/>
  <c r="D9" i="6"/>
  <c r="H8" i="6"/>
  <c r="L8" i="6" s="1"/>
  <c r="M8" i="6" s="1"/>
  <c r="E8" i="6"/>
  <c r="D8" i="6"/>
  <c r="H7" i="6"/>
  <c r="L7" i="6" s="1"/>
  <c r="M7" i="6" s="1"/>
  <c r="E7" i="6"/>
  <c r="D7" i="6"/>
  <c r="H6" i="6"/>
  <c r="I6" i="6" s="1"/>
  <c r="E6" i="6"/>
  <c r="D6" i="6"/>
  <c r="H5" i="6"/>
  <c r="L5" i="6" s="1"/>
  <c r="M5" i="6" s="1"/>
  <c r="E5" i="6"/>
  <c r="D5" i="6"/>
  <c r="H4" i="6"/>
  <c r="L4" i="6" s="1"/>
  <c r="M4" i="6" s="1"/>
  <c r="E4" i="6"/>
  <c r="D4" i="6"/>
  <c r="H3" i="6"/>
  <c r="I3" i="6" s="1"/>
  <c r="E3" i="6"/>
  <c r="D3" i="6"/>
  <c r="H2" i="6"/>
  <c r="I2" i="6" s="1"/>
  <c r="E2" i="6"/>
  <c r="D2" i="6"/>
  <c r="H30" i="5"/>
  <c r="L30" i="5" s="1"/>
  <c r="M30" i="5" s="1"/>
  <c r="E30" i="5"/>
  <c r="D30" i="5"/>
  <c r="I29" i="5"/>
  <c r="H29" i="5"/>
  <c r="L29" i="5" s="1"/>
  <c r="M29" i="5" s="1"/>
  <c r="E29" i="5"/>
  <c r="D29" i="5"/>
  <c r="L28" i="5"/>
  <c r="M28" i="5" s="1"/>
  <c r="I28" i="5"/>
  <c r="H28" i="5"/>
  <c r="E28" i="5"/>
  <c r="D28" i="5"/>
  <c r="I27" i="5"/>
  <c r="H27" i="5"/>
  <c r="L27" i="5" s="1"/>
  <c r="M27" i="5" s="1"/>
  <c r="E27" i="5"/>
  <c r="D27" i="5"/>
  <c r="I26" i="5"/>
  <c r="H26" i="5"/>
  <c r="L26" i="5" s="1"/>
  <c r="M26" i="5" s="1"/>
  <c r="E26" i="5"/>
  <c r="D26" i="5"/>
  <c r="I25" i="5"/>
  <c r="H25" i="5"/>
  <c r="L25" i="5" s="1"/>
  <c r="M25" i="5" s="1"/>
  <c r="E25" i="5"/>
  <c r="D25" i="5"/>
  <c r="M24" i="5"/>
  <c r="L24" i="5"/>
  <c r="I24" i="5"/>
  <c r="H24" i="5"/>
  <c r="E24" i="5"/>
  <c r="D24" i="5"/>
  <c r="I23" i="5"/>
  <c r="H23" i="5"/>
  <c r="L23" i="5" s="1"/>
  <c r="M23" i="5" s="1"/>
  <c r="E23" i="5"/>
  <c r="D23" i="5"/>
  <c r="I22" i="5"/>
  <c r="H22" i="5"/>
  <c r="L22" i="5" s="1"/>
  <c r="M22" i="5" s="1"/>
  <c r="E22" i="5"/>
  <c r="D22" i="5"/>
  <c r="I21" i="5"/>
  <c r="H21" i="5"/>
  <c r="L21" i="5" s="1"/>
  <c r="M21" i="5" s="1"/>
  <c r="E21" i="5"/>
  <c r="D21" i="5"/>
  <c r="M20" i="5"/>
  <c r="L20" i="5"/>
  <c r="I20" i="5"/>
  <c r="H20" i="5"/>
  <c r="E20" i="5"/>
  <c r="D20" i="5"/>
  <c r="I19" i="5"/>
  <c r="H19" i="5"/>
  <c r="L19" i="5" s="1"/>
  <c r="M19" i="5" s="1"/>
  <c r="E19" i="5"/>
  <c r="D19" i="5"/>
  <c r="M18" i="5"/>
  <c r="L18" i="5"/>
  <c r="I18" i="5"/>
  <c r="H18" i="5"/>
  <c r="E18" i="5"/>
  <c r="D18" i="5"/>
  <c r="I17" i="5"/>
  <c r="H17" i="5"/>
  <c r="L17" i="5" s="1"/>
  <c r="M17" i="5" s="1"/>
  <c r="E17" i="5"/>
  <c r="D17" i="5"/>
  <c r="M16" i="5"/>
  <c r="L16" i="5"/>
  <c r="I16" i="5"/>
  <c r="H16" i="5"/>
  <c r="E16" i="5"/>
  <c r="D16" i="5"/>
  <c r="I15" i="5"/>
  <c r="H15" i="5"/>
  <c r="L15" i="5" s="1"/>
  <c r="M15" i="5" s="1"/>
  <c r="E15" i="5"/>
  <c r="D15" i="5"/>
  <c r="L14" i="5"/>
  <c r="M14" i="5" s="1"/>
  <c r="I14" i="5"/>
  <c r="H14" i="5"/>
  <c r="E14" i="5"/>
  <c r="D14" i="5"/>
  <c r="I13" i="5"/>
  <c r="H13" i="5"/>
  <c r="L13" i="5" s="1"/>
  <c r="M13" i="5" s="1"/>
  <c r="E13" i="5"/>
  <c r="D13" i="5"/>
  <c r="L12" i="5"/>
  <c r="M12" i="5" s="1"/>
  <c r="I12" i="5"/>
  <c r="H12" i="5"/>
  <c r="E12" i="5"/>
  <c r="D12" i="5"/>
  <c r="I11" i="5"/>
  <c r="H11" i="5"/>
  <c r="L11" i="5" s="1"/>
  <c r="M11" i="5" s="1"/>
  <c r="E11" i="5"/>
  <c r="D11" i="5"/>
  <c r="M10" i="5"/>
  <c r="L10" i="5"/>
  <c r="I10" i="5"/>
  <c r="H10" i="5"/>
  <c r="E10" i="5"/>
  <c r="D10" i="5"/>
  <c r="I9" i="5"/>
  <c r="H9" i="5"/>
  <c r="L9" i="5" s="1"/>
  <c r="M9" i="5" s="1"/>
  <c r="E9" i="5"/>
  <c r="D9" i="5"/>
  <c r="M8" i="5"/>
  <c r="L8" i="5"/>
  <c r="I8" i="5"/>
  <c r="H8" i="5"/>
  <c r="E8" i="5"/>
  <c r="D8" i="5"/>
  <c r="I7" i="5"/>
  <c r="H7" i="5"/>
  <c r="L7" i="5" s="1"/>
  <c r="M7" i="5" s="1"/>
  <c r="E7" i="5"/>
  <c r="D7" i="5"/>
  <c r="M6" i="5"/>
  <c r="L6" i="5"/>
  <c r="I6" i="5"/>
  <c r="H6" i="5"/>
  <c r="E6" i="5"/>
  <c r="D6" i="5"/>
  <c r="I5" i="5"/>
  <c r="H5" i="5"/>
  <c r="L5" i="5" s="1"/>
  <c r="M5" i="5" s="1"/>
  <c r="E5" i="5"/>
  <c r="D5" i="5"/>
  <c r="M4" i="5"/>
  <c r="L4" i="5"/>
  <c r="I4" i="5"/>
  <c r="H4" i="5"/>
  <c r="E4" i="5"/>
  <c r="D4" i="5"/>
  <c r="I3" i="5"/>
  <c r="H3" i="5"/>
  <c r="L3" i="5" s="1"/>
  <c r="M3" i="5" s="1"/>
  <c r="E3" i="5"/>
  <c r="D3" i="5"/>
  <c r="M2" i="5"/>
  <c r="L2" i="5"/>
  <c r="I2" i="5"/>
  <c r="H2" i="5"/>
  <c r="E2" i="5"/>
  <c r="D2" i="5"/>
  <c r="H30" i="3"/>
  <c r="L30" i="3" s="1"/>
  <c r="M30" i="3" s="1"/>
  <c r="E30" i="3"/>
  <c r="D30" i="3"/>
  <c r="L29" i="3"/>
  <c r="M29" i="3" s="1"/>
  <c r="I29" i="3"/>
  <c r="H29" i="3"/>
  <c r="E29" i="3"/>
  <c r="D29" i="3"/>
  <c r="H28" i="3"/>
  <c r="L28" i="3" s="1"/>
  <c r="M28" i="3" s="1"/>
  <c r="E28" i="3"/>
  <c r="D28" i="3"/>
  <c r="L27" i="3"/>
  <c r="M27" i="3" s="1"/>
  <c r="I27" i="3"/>
  <c r="H27" i="3"/>
  <c r="E27" i="3"/>
  <c r="D27" i="3"/>
  <c r="H26" i="3"/>
  <c r="L26" i="3" s="1"/>
  <c r="M26" i="3" s="1"/>
  <c r="E26" i="3"/>
  <c r="D26" i="3"/>
  <c r="L25" i="3"/>
  <c r="M25" i="3" s="1"/>
  <c r="H25" i="3"/>
  <c r="I25" i="3" s="1"/>
  <c r="E25" i="3"/>
  <c r="D25" i="3"/>
  <c r="H24" i="3"/>
  <c r="L24" i="3" s="1"/>
  <c r="M24" i="3" s="1"/>
  <c r="E24" i="3"/>
  <c r="D24" i="3"/>
  <c r="L23" i="3"/>
  <c r="M23" i="3" s="1"/>
  <c r="H23" i="3"/>
  <c r="I23" i="3" s="1"/>
  <c r="E23" i="3"/>
  <c r="D23" i="3"/>
  <c r="H22" i="3"/>
  <c r="L22" i="3" s="1"/>
  <c r="M22" i="3" s="1"/>
  <c r="E22" i="3"/>
  <c r="D22" i="3"/>
  <c r="L21" i="3"/>
  <c r="M21" i="3" s="1"/>
  <c r="H21" i="3"/>
  <c r="I21" i="3" s="1"/>
  <c r="E21" i="3"/>
  <c r="D21" i="3"/>
  <c r="H20" i="3"/>
  <c r="L20" i="3" s="1"/>
  <c r="M20" i="3" s="1"/>
  <c r="E20" i="3"/>
  <c r="D20" i="3"/>
  <c r="L19" i="3"/>
  <c r="M19" i="3" s="1"/>
  <c r="H19" i="3"/>
  <c r="I19" i="3" s="1"/>
  <c r="E19" i="3"/>
  <c r="D19" i="3"/>
  <c r="H18" i="3"/>
  <c r="L18" i="3" s="1"/>
  <c r="M18" i="3" s="1"/>
  <c r="E18" i="3"/>
  <c r="D18" i="3"/>
  <c r="L17" i="3"/>
  <c r="M17" i="3" s="1"/>
  <c r="H17" i="3"/>
  <c r="I17" i="3" s="1"/>
  <c r="E17" i="3"/>
  <c r="D17" i="3"/>
  <c r="H16" i="3"/>
  <c r="L16" i="3" s="1"/>
  <c r="M16" i="3" s="1"/>
  <c r="E16" i="3"/>
  <c r="D16" i="3"/>
  <c r="L15" i="3"/>
  <c r="M15" i="3" s="1"/>
  <c r="H15" i="3"/>
  <c r="I15" i="3" s="1"/>
  <c r="E15" i="3"/>
  <c r="D15" i="3"/>
  <c r="H14" i="3"/>
  <c r="L14" i="3" s="1"/>
  <c r="M14" i="3" s="1"/>
  <c r="E14" i="3"/>
  <c r="D14" i="3"/>
  <c r="L13" i="3"/>
  <c r="M13" i="3" s="1"/>
  <c r="H13" i="3"/>
  <c r="I13" i="3" s="1"/>
  <c r="E13" i="3"/>
  <c r="D13" i="3"/>
  <c r="H12" i="3"/>
  <c r="L12" i="3" s="1"/>
  <c r="M12" i="3" s="1"/>
  <c r="E12" i="3"/>
  <c r="D12" i="3"/>
  <c r="L11" i="3"/>
  <c r="M11" i="3" s="1"/>
  <c r="H11" i="3"/>
  <c r="I11" i="3" s="1"/>
  <c r="E11" i="3"/>
  <c r="D11" i="3"/>
  <c r="H10" i="3"/>
  <c r="L10" i="3" s="1"/>
  <c r="M10" i="3" s="1"/>
  <c r="E10" i="3"/>
  <c r="D10" i="3"/>
  <c r="L9" i="3"/>
  <c r="M9" i="3" s="1"/>
  <c r="H9" i="3"/>
  <c r="I9" i="3" s="1"/>
  <c r="E9" i="3"/>
  <c r="D9" i="3"/>
  <c r="H8" i="3"/>
  <c r="L8" i="3" s="1"/>
  <c r="M8" i="3" s="1"/>
  <c r="E8" i="3"/>
  <c r="D8" i="3"/>
  <c r="L7" i="3"/>
  <c r="M7" i="3" s="1"/>
  <c r="H7" i="3"/>
  <c r="I7" i="3" s="1"/>
  <c r="E7" i="3"/>
  <c r="D7" i="3"/>
  <c r="H6" i="3"/>
  <c r="L6" i="3" s="1"/>
  <c r="M6" i="3" s="1"/>
  <c r="E6" i="3"/>
  <c r="D6" i="3"/>
  <c r="L5" i="3"/>
  <c r="M5" i="3" s="1"/>
  <c r="H5" i="3"/>
  <c r="I5" i="3" s="1"/>
  <c r="E5" i="3"/>
  <c r="D5" i="3"/>
  <c r="H4" i="3"/>
  <c r="L4" i="3" s="1"/>
  <c r="M4" i="3" s="1"/>
  <c r="E4" i="3"/>
  <c r="D4" i="3"/>
  <c r="L3" i="3"/>
  <c r="M3" i="3" s="1"/>
  <c r="H3" i="3"/>
  <c r="I3" i="3" s="1"/>
  <c r="E3" i="3"/>
  <c r="D3" i="3"/>
  <c r="H2" i="3"/>
  <c r="L2" i="3" s="1"/>
  <c r="M2" i="3" s="1"/>
  <c r="E2" i="3"/>
  <c r="D2" i="3"/>
  <c r="H30" i="2"/>
  <c r="L30" i="2" s="1"/>
  <c r="M30" i="2" s="1"/>
  <c r="E30" i="2"/>
  <c r="D30" i="2"/>
  <c r="I29" i="2"/>
  <c r="H29" i="2"/>
  <c r="L29" i="2" s="1"/>
  <c r="M29" i="2" s="1"/>
  <c r="E29" i="2"/>
  <c r="D29" i="2"/>
  <c r="I28" i="2"/>
  <c r="H28" i="2"/>
  <c r="L28" i="2" s="1"/>
  <c r="M28" i="2" s="1"/>
  <c r="E28" i="2"/>
  <c r="D28" i="2"/>
  <c r="L27" i="2"/>
  <c r="M27" i="2" s="1"/>
  <c r="I27" i="2"/>
  <c r="H27" i="2"/>
  <c r="E27" i="2"/>
  <c r="D27" i="2"/>
  <c r="I26" i="2"/>
  <c r="H26" i="2"/>
  <c r="L26" i="2" s="1"/>
  <c r="M26" i="2" s="1"/>
  <c r="E26" i="2"/>
  <c r="D26" i="2"/>
  <c r="L25" i="2"/>
  <c r="M25" i="2" s="1"/>
  <c r="I25" i="2"/>
  <c r="H25" i="2"/>
  <c r="E25" i="2"/>
  <c r="D25" i="2"/>
  <c r="I24" i="2"/>
  <c r="H24" i="2"/>
  <c r="L24" i="2" s="1"/>
  <c r="M24" i="2" s="1"/>
  <c r="E24" i="2"/>
  <c r="D24" i="2"/>
  <c r="L23" i="2"/>
  <c r="M23" i="2" s="1"/>
  <c r="I23" i="2"/>
  <c r="H23" i="2"/>
  <c r="E23" i="2"/>
  <c r="D23" i="2"/>
  <c r="I22" i="2"/>
  <c r="H22" i="2"/>
  <c r="L22" i="2" s="1"/>
  <c r="M22" i="2" s="1"/>
  <c r="E22" i="2"/>
  <c r="D22" i="2"/>
  <c r="L21" i="2"/>
  <c r="M21" i="2" s="1"/>
  <c r="I21" i="2"/>
  <c r="H21" i="2"/>
  <c r="E21" i="2"/>
  <c r="D21" i="2"/>
  <c r="I20" i="2"/>
  <c r="H20" i="2"/>
  <c r="L20" i="2" s="1"/>
  <c r="M20" i="2" s="1"/>
  <c r="E20" i="2"/>
  <c r="D20" i="2"/>
  <c r="L19" i="2"/>
  <c r="M19" i="2" s="1"/>
  <c r="I19" i="2"/>
  <c r="H19" i="2"/>
  <c r="E19" i="2"/>
  <c r="D19" i="2"/>
  <c r="I18" i="2"/>
  <c r="H18" i="2"/>
  <c r="L18" i="2" s="1"/>
  <c r="M18" i="2" s="1"/>
  <c r="E18" i="2"/>
  <c r="D18" i="2"/>
  <c r="L17" i="2"/>
  <c r="M17" i="2" s="1"/>
  <c r="I17" i="2"/>
  <c r="H17" i="2"/>
  <c r="E17" i="2"/>
  <c r="D17" i="2"/>
  <c r="I16" i="2"/>
  <c r="H16" i="2"/>
  <c r="L16" i="2" s="1"/>
  <c r="M16" i="2" s="1"/>
  <c r="E16" i="2"/>
  <c r="D16" i="2"/>
  <c r="L15" i="2"/>
  <c r="M15" i="2" s="1"/>
  <c r="I15" i="2"/>
  <c r="H15" i="2"/>
  <c r="E15" i="2"/>
  <c r="D15" i="2"/>
  <c r="I14" i="2"/>
  <c r="H14" i="2"/>
  <c r="L14" i="2" s="1"/>
  <c r="M14" i="2" s="1"/>
  <c r="E14" i="2"/>
  <c r="D14" i="2"/>
  <c r="L13" i="2"/>
  <c r="M13" i="2" s="1"/>
  <c r="I13" i="2"/>
  <c r="H13" i="2"/>
  <c r="E13" i="2"/>
  <c r="D13" i="2"/>
  <c r="I12" i="2"/>
  <c r="H12" i="2"/>
  <c r="L12" i="2" s="1"/>
  <c r="M12" i="2" s="1"/>
  <c r="E12" i="2"/>
  <c r="D12" i="2"/>
  <c r="L11" i="2"/>
  <c r="M11" i="2" s="1"/>
  <c r="I11" i="2"/>
  <c r="H11" i="2"/>
  <c r="E11" i="2"/>
  <c r="D11" i="2"/>
  <c r="I10" i="2"/>
  <c r="H10" i="2"/>
  <c r="L10" i="2" s="1"/>
  <c r="M10" i="2" s="1"/>
  <c r="E10" i="2"/>
  <c r="D10" i="2"/>
  <c r="L9" i="2"/>
  <c r="M9" i="2" s="1"/>
  <c r="I9" i="2"/>
  <c r="H9" i="2"/>
  <c r="E9" i="2"/>
  <c r="D9" i="2"/>
  <c r="I8" i="2"/>
  <c r="H8" i="2"/>
  <c r="L8" i="2" s="1"/>
  <c r="M8" i="2" s="1"/>
  <c r="E8" i="2"/>
  <c r="D8" i="2"/>
  <c r="L7" i="2"/>
  <c r="M7" i="2" s="1"/>
  <c r="I7" i="2"/>
  <c r="H7" i="2"/>
  <c r="E7" i="2"/>
  <c r="D7" i="2"/>
  <c r="I6" i="2"/>
  <c r="H6" i="2"/>
  <c r="L6" i="2" s="1"/>
  <c r="M6" i="2" s="1"/>
  <c r="E6" i="2"/>
  <c r="D6" i="2"/>
  <c r="L5" i="2"/>
  <c r="M5" i="2" s="1"/>
  <c r="I5" i="2"/>
  <c r="H5" i="2"/>
  <c r="E5" i="2"/>
  <c r="D5" i="2"/>
  <c r="I4" i="2"/>
  <c r="H4" i="2"/>
  <c r="L4" i="2" s="1"/>
  <c r="M4" i="2" s="1"/>
  <c r="E4" i="2"/>
  <c r="D4" i="2"/>
  <c r="L3" i="2"/>
  <c r="M3" i="2" s="1"/>
  <c r="I3" i="2"/>
  <c r="H3" i="2"/>
  <c r="E3" i="2"/>
  <c r="D3" i="2"/>
  <c r="I2" i="2"/>
  <c r="H2" i="2"/>
  <c r="L2" i="2" s="1"/>
  <c r="M2" i="2" s="1"/>
  <c r="E2" i="2"/>
  <c r="D2" i="2"/>
  <c r="J30" i="1"/>
  <c r="F30" i="1"/>
  <c r="E30" i="1"/>
  <c r="J29" i="1"/>
  <c r="F29" i="1"/>
  <c r="E29" i="1"/>
  <c r="J28" i="1"/>
  <c r="F28" i="1"/>
  <c r="E28" i="1"/>
  <c r="J27" i="1"/>
  <c r="F27" i="1"/>
  <c r="E27" i="1"/>
  <c r="M26" i="1"/>
  <c r="N26" i="1" s="1"/>
  <c r="J26" i="1"/>
  <c r="F26" i="1"/>
  <c r="E26" i="1"/>
  <c r="J25" i="1"/>
  <c r="F25" i="1"/>
  <c r="E25" i="1"/>
  <c r="M24" i="1"/>
  <c r="N24" i="1" s="1"/>
  <c r="J24" i="1"/>
  <c r="F24" i="1"/>
  <c r="E24" i="1"/>
  <c r="J23" i="1"/>
  <c r="F23" i="1"/>
  <c r="E23" i="1"/>
  <c r="J22" i="1"/>
  <c r="F22" i="1"/>
  <c r="E22" i="1"/>
  <c r="J21" i="1"/>
  <c r="F21" i="1"/>
  <c r="E21" i="1"/>
  <c r="J20" i="1"/>
  <c r="F20" i="1"/>
  <c r="E20" i="1"/>
  <c r="J19" i="1"/>
  <c r="F19" i="1"/>
  <c r="E19" i="1"/>
  <c r="M18" i="1"/>
  <c r="N18" i="1" s="1"/>
  <c r="J18" i="1"/>
  <c r="F18" i="1"/>
  <c r="E18" i="1"/>
  <c r="J17" i="1"/>
  <c r="F17" i="1"/>
  <c r="E17" i="1"/>
  <c r="M16" i="1"/>
  <c r="N16" i="1" s="1"/>
  <c r="J16" i="1"/>
  <c r="F16" i="1"/>
  <c r="E16" i="1"/>
  <c r="J15" i="1"/>
  <c r="F15" i="1"/>
  <c r="E15" i="1"/>
  <c r="J14" i="1"/>
  <c r="F14" i="1"/>
  <c r="E14" i="1"/>
  <c r="J13" i="1"/>
  <c r="F13" i="1"/>
  <c r="E13" i="1"/>
  <c r="J12" i="1"/>
  <c r="F12" i="1"/>
  <c r="E12" i="1"/>
  <c r="J11" i="1"/>
  <c r="F11" i="1"/>
  <c r="E11" i="1"/>
  <c r="M10" i="1"/>
  <c r="N10" i="1" s="1"/>
  <c r="J10" i="1"/>
  <c r="F10" i="1"/>
  <c r="E10" i="1"/>
  <c r="J9" i="1"/>
  <c r="F9" i="1"/>
  <c r="E9" i="1"/>
  <c r="M8" i="1"/>
  <c r="N8" i="1" s="1"/>
  <c r="J8" i="1"/>
  <c r="F8" i="1"/>
  <c r="E8" i="1"/>
  <c r="J7" i="1"/>
  <c r="F7" i="1"/>
  <c r="E7" i="1"/>
  <c r="J6" i="1"/>
  <c r="F6" i="1"/>
  <c r="E6" i="1"/>
  <c r="J5" i="1"/>
  <c r="F5" i="1"/>
  <c r="E5" i="1"/>
  <c r="J4" i="1"/>
  <c r="F4" i="1"/>
  <c r="E4" i="1"/>
  <c r="J3" i="1"/>
  <c r="F3" i="1"/>
  <c r="E3" i="1"/>
  <c r="M2" i="1"/>
  <c r="N2" i="1" s="1"/>
  <c r="J2" i="1"/>
  <c r="F2" i="1"/>
  <c r="E2" i="1"/>
  <c r="J27" i="7" l="1"/>
  <c r="J3" i="7"/>
  <c r="J19" i="7"/>
  <c r="J11" i="7"/>
  <c r="J25" i="7"/>
  <c r="J21" i="7"/>
  <c r="J17" i="7"/>
  <c r="J13" i="7"/>
  <c r="J9" i="7"/>
  <c r="J5" i="7"/>
  <c r="J26" i="7"/>
  <c r="J22" i="7"/>
  <c r="J18" i="7"/>
  <c r="J14" i="7"/>
  <c r="J10" i="7"/>
  <c r="J6" i="7"/>
  <c r="I7" i="6"/>
  <c r="I8" i="6"/>
  <c r="I5" i="6"/>
  <c r="L13" i="6"/>
  <c r="M13" i="6" s="1"/>
  <c r="L3" i="6"/>
  <c r="M3" i="6" s="1"/>
  <c r="I14" i="6"/>
  <c r="I15" i="6"/>
  <c r="I16" i="6"/>
  <c r="L17" i="6"/>
  <c r="M17" i="6" s="1"/>
  <c r="I11" i="6"/>
  <c r="I4" i="6"/>
  <c r="I9" i="6"/>
  <c r="L2" i="6"/>
  <c r="M2" i="6" s="1"/>
  <c r="L6" i="6"/>
  <c r="M6" i="6" s="1"/>
  <c r="I30" i="5"/>
  <c r="I2" i="3"/>
  <c r="I4" i="3"/>
  <c r="I6" i="3"/>
  <c r="I8" i="3"/>
  <c r="I10" i="3"/>
  <c r="I12" i="3"/>
  <c r="I14" i="3"/>
  <c r="I16" i="3"/>
  <c r="I18" i="3"/>
  <c r="I20" i="3"/>
  <c r="I22" i="3"/>
  <c r="I24" i="3"/>
  <c r="I26" i="3"/>
  <c r="I28" i="3"/>
  <c r="I30" i="3"/>
  <c r="I30" i="2"/>
  <c r="M14" i="1"/>
  <c r="N14" i="1" s="1"/>
  <c r="M22" i="1"/>
  <c r="N22" i="1" s="1"/>
  <c r="M4" i="1"/>
  <c r="N4" i="1" s="1"/>
  <c r="M12" i="1"/>
  <c r="N12" i="1" s="1"/>
  <c r="M20" i="1"/>
  <c r="N20" i="1" s="1"/>
  <c r="M28" i="1"/>
  <c r="N28" i="1" s="1"/>
  <c r="M6" i="1"/>
  <c r="N6" i="1" s="1"/>
  <c r="M30" i="1"/>
  <c r="N30" i="1" s="1"/>
  <c r="M13" i="1"/>
  <c r="N13" i="1" s="1"/>
  <c r="M15" i="1"/>
  <c r="N15" i="1" s="1"/>
  <c r="M17" i="1"/>
  <c r="N17" i="1" s="1"/>
  <c r="M19" i="1"/>
  <c r="N19" i="1" s="1"/>
  <c r="M21" i="1"/>
  <c r="N21" i="1" s="1"/>
  <c r="M23" i="1"/>
  <c r="N23" i="1" s="1"/>
  <c r="M25" i="1"/>
  <c r="N25" i="1" s="1"/>
  <c r="M27" i="1"/>
  <c r="N27" i="1" s="1"/>
  <c r="M29" i="1"/>
  <c r="N29" i="1" s="1"/>
  <c r="M3" i="1"/>
  <c r="N3" i="1" s="1"/>
  <c r="M5" i="1"/>
  <c r="N5" i="1" s="1"/>
  <c r="M7" i="1"/>
  <c r="N7" i="1" s="1"/>
  <c r="M9" i="1"/>
  <c r="N9" i="1" s="1"/>
  <c r="M11" i="1"/>
  <c r="N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tc={9389404A-7E71-1B4A-AA12-E9AF658FCECC}</author>
  </authors>
  <commentList>
    <comment ref="L1" authorId="0" shapeId="0" xr:uid="{9389404A-7E71-1B4A-AA12-E9AF658FCECC}">
      <text>
        <t>[Threaded comment]
Your version of Excel allows you to read this threaded comment; however, any edits to it will get removed if the file is opened in a newer version of Excel. Learn more: https://go.microsoft.com/fwlink/?linkid=870924
Comment:
    So for FL is different than the rest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tc={470A96B6-722D-7D4E-B04B-4BD9726C47FF}</author>
  </authors>
  <commentList>
    <comment ref="M1" authorId="0" shapeId="0" xr:uid="{470A96B6-722D-7D4E-B04B-4BD9726C47FF}">
      <text>
        <t>[Threaded comment]
Your version of Excel allows you to read this threaded comment; however, any edits to it will get removed if the file is opened in a newer version of Excel. Learn more: https://go.microsoft.com/fwlink/?linkid=870924
Comment:
    So for FL is different than the rest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tc={48A385FF-D027-FD44-B727-841D194AA821}</author>
    <author>tc={EE90B37B-4EB4-B245-AAFC-368EE6414AB0}</author>
    <author>tc={A7FA23D2-4563-614A-A42A-A966ACBDB172}</author>
    <author>tc={B9FEACF6-D1AB-D645-B95B-A8FE08B2E2C9}</author>
  </authors>
  <commentList>
    <comment ref="G1" authorId="0" shapeId="0" xr:uid="{48A385FF-D027-FD44-B727-841D194AA821}">
      <text>
        <t>[Threaded comment]
Your version of Excel allows you to read this threaded comment; however, any edits to it will get removed if the file is opened in a newer version of Excel. Learn more: https://go.microsoft.com/fwlink/?linkid=870924
Comment:
    AGB multiplied by 5.66 as per averaged from fig 5 in castañeda 2013 paper</t>
      </text>
    </comment>
    <comment ref="K1" authorId="1" shapeId="0" xr:uid="{EE90B37B-4EB4-B245-AAFC-368EE641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From Ken Krauss Paper</t>
      </text>
    </comment>
    <comment ref="L1" authorId="2" shapeId="0" xr:uid="{A7FA23D2-4563-614A-A42A-A966ACBDB172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From Ken Krauss Paper</t>
      </text>
    </comment>
    <comment ref="Q1" authorId="3" shapeId="0" xr:uid="{B9FEACF6-D1AB-D645-B95B-A8FE08B2E2C9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From Ken Krauss Paper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tc={CC589EC1-9F61-1342-AD3D-76C9E4CC5A92}</author>
  </authors>
  <commentList>
    <comment ref="K1" authorId="0" shapeId="0" xr:uid="{CC589EC1-9F61-1342-AD3D-76C9E4CC5A92}">
      <text>
        <t>[Threaded comment]
Your version of Excel allows you to read this threaded comment; however, any edits to it will get removed if the file is opened in a newer version of Excel. Learn more: https://go.microsoft.com/fwlink/?linkid=870924
Comment:
    So for FL is different than the rest</t>
      </text>
    </comment>
  </commentList>
</comments>
</file>

<file path=xl/sharedStrings.xml><?xml version="1.0" encoding="utf-8"?>
<sst xmlns="http://schemas.openxmlformats.org/spreadsheetml/2006/main" count="859" uniqueCount="119">
  <si>
    <t>Island Name</t>
  </si>
  <si>
    <t>Vegetated Area from GEP (m^2)</t>
  </si>
  <si>
    <t>Total island area (m^2)</t>
  </si>
  <si>
    <t>Percent Av</t>
  </si>
  <si>
    <t>LogAV_GEP</t>
  </si>
  <si>
    <t>Red Mangrove Area (m^2)</t>
  </si>
  <si>
    <t>Enet (m/yr)</t>
  </si>
  <si>
    <t>Dispersion Coefficient Planet (m^2/yr)</t>
  </si>
  <si>
    <t>Dispersion Coefficient Planet (m^2/day)</t>
  </si>
  <si>
    <t>Sc</t>
  </si>
  <si>
    <t>So</t>
  </si>
  <si>
    <t>Vegetated Area Model (m^2)</t>
  </si>
  <si>
    <t>Log Vegetated Area Model</t>
  </si>
  <si>
    <t>Island Thickness</t>
  </si>
  <si>
    <t>PuertoRico</t>
  </si>
  <si>
    <t>Belize</t>
  </si>
  <si>
    <t>Mexico</t>
  </si>
  <si>
    <t>Florida</t>
  </si>
  <si>
    <t>4-8 ft</t>
  </si>
  <si>
    <t>2 ft</t>
  </si>
  <si>
    <t>Bahamas</t>
  </si>
  <si>
    <t>Venezuela</t>
  </si>
  <si>
    <t>Cuba</t>
  </si>
  <si>
    <t>8-16 ft</t>
  </si>
  <si>
    <t>Florida (So from 33-37 ppt)</t>
  </si>
  <si>
    <t>Florida (So from 27-32 ppt)</t>
  </si>
  <si>
    <t>Florida (So from 38-60 ppt)</t>
  </si>
  <si>
    <t>Country</t>
  </si>
  <si>
    <t>United States</t>
  </si>
  <si>
    <t>Puerto Rico</t>
  </si>
  <si>
    <t>GDP Per Capita</t>
  </si>
  <si>
    <t>points.Name</t>
  </si>
  <si>
    <t>RCP 2.6 Percent Loss</t>
  </si>
  <si>
    <t>RCP 4.5 Percent Loss</t>
  </si>
  <si>
    <t>RCP 7.0 Percent Loss</t>
  </si>
  <si>
    <t>Loss of Carbon 2.6</t>
  </si>
  <si>
    <t>Loss of Carbon 4.5</t>
  </si>
  <si>
    <t>Loss of Carbon 7.0</t>
  </si>
  <si>
    <t>SOC</t>
  </si>
  <si>
    <t>AGB_Mg</t>
  </si>
  <si>
    <t>BelowGroundBiomass_Mg</t>
  </si>
  <si>
    <t xml:space="preserve">LitterFall_mg/ha/yr </t>
  </si>
  <si>
    <t>AGB Carbon Conversion</t>
  </si>
  <si>
    <t>BGB Carbon Conversion</t>
  </si>
  <si>
    <t>TotalEcosystemCarbon</t>
  </si>
  <si>
    <t>NO AGB DATA</t>
  </si>
  <si>
    <t>Current Mangrove area_m^2</t>
  </si>
  <si>
    <t>Current Mangrove area_ha</t>
  </si>
  <si>
    <t>Flux_mgC/yr</t>
  </si>
  <si>
    <t>CarbonLitterFall_mgC/ha/yr</t>
  </si>
  <si>
    <t>C_LossFlux_26</t>
  </si>
  <si>
    <t>C_LossFlux_45</t>
  </si>
  <si>
    <t>C_LossFlux_70</t>
  </si>
  <si>
    <t>CarbonFlux_mgC/yr</t>
  </si>
  <si>
    <t>Current</t>
  </si>
  <si>
    <t>Scenario</t>
  </si>
  <si>
    <t>Take the average of aboveground biomass and divide by the area of the cell</t>
  </si>
  <si>
    <t>Wood Production_Mg/ha/yr</t>
  </si>
  <si>
    <t>Wood Production_MgC/ha/yr</t>
  </si>
  <si>
    <t>Soil Carbon Sequestration_MgC/ha/yr</t>
  </si>
  <si>
    <t>Total Carbon Sequestration MgC/ha/yr</t>
  </si>
  <si>
    <t>Total Carbon Sequestration Across Island MgC/yr</t>
  </si>
  <si>
    <t>SSP 2.6</t>
  </si>
  <si>
    <t>SSP 4.5</t>
  </si>
  <si>
    <t>SSP 7.0</t>
  </si>
  <si>
    <t>Dispersion increase 50 percent</t>
  </si>
  <si>
    <t>Dispersion decrease 50 percent</t>
  </si>
  <si>
    <t>Log Vegetated Area Model2_DCIncrease</t>
  </si>
  <si>
    <t>Log Vegetated Area Model_DCDecrease</t>
  </si>
  <si>
    <t>Vegetated Area Model (m^2)_DCIncrease</t>
  </si>
  <si>
    <t>Vegetated Area Model (m^2)_DCDecrease</t>
  </si>
  <si>
    <t>Coordinates</t>
  </si>
  <si>
    <t xml:space="preserve"> 17°58'12.20"N   66°59'57.56"W</t>
  </si>
  <si>
    <t xml:space="preserve"> 17°58'14.66"N   66°59'52.02"W</t>
  </si>
  <si>
    <t xml:space="preserve"> 17°57'31.46"N   67° 5'32.86"W</t>
  </si>
  <si>
    <t xml:space="preserve"> 17°58'5.89"N   67° 0'5.71"W</t>
  </si>
  <si>
    <t xml:space="preserve"> 17°58'58.86"N   66°44'15.30"W</t>
  </si>
  <si>
    <t xml:space="preserve"> 17°58'27.77"N   66°44'49.82"W</t>
  </si>
  <si>
    <t xml:space="preserve"> 17°26'51.10"N   87°30'15.33"W</t>
  </si>
  <si>
    <t xml:space="preserve"> 21°25'31.16"N   86°52'44.15"W</t>
  </si>
  <si>
    <t xml:space="preserve"> 25° 3'21.29"N  80°41'45.93"W</t>
  </si>
  <si>
    <t xml:space="preserve"> 25° 2'55.51"N   80°42'11.58"W</t>
  </si>
  <si>
    <t xml:space="preserve"> 25° 3'32.97"N   80°35'10.20"W</t>
  </si>
  <si>
    <t xml:space="preserve"> 25° 9'36.62"N   80°33'10.14"W</t>
  </si>
  <si>
    <t xml:space="preserve"> 25° 2'3.48"N   80°38'50.56"W</t>
  </si>
  <si>
    <t xml:space="preserve"> 25° 1'33.10"N   80°38'54.17"W</t>
  </si>
  <si>
    <t xml:space="preserve"> 26°54'58.97"N   78°36'48.44"W</t>
  </si>
  <si>
    <t xml:space="preserve"> 11°49'36.72"N   66°35'40.44"W</t>
  </si>
  <si>
    <t xml:space="preserve"> 11°50'32.33"N   66°36'4.58"W</t>
  </si>
  <si>
    <t xml:space="preserve"> 22° 8'18.38"N   81°54'0.52"W</t>
  </si>
  <si>
    <t xml:space="preserve"> 22°30'15.50"N   82°20'16.28"W</t>
  </si>
  <si>
    <t xml:space="preserve"> 24°59'17.87"N   80°40'10.30"W</t>
  </si>
  <si>
    <t xml:space="preserve"> 24°59'30.15"N   80°39'38.58"W</t>
  </si>
  <si>
    <t xml:space="preserve"> 25° 4'1.35"N   80°43'54.54"W</t>
  </si>
  <si>
    <t xml:space="preserve"> 25° 5'4.92"N   80°43'27.95"W</t>
  </si>
  <si>
    <t xml:space="preserve"> 25° 0'2.13"N   80°37'29.34"W</t>
  </si>
  <si>
    <t xml:space="preserve"> 25° 1'29.79"N   80°47'17.81"W</t>
  </si>
  <si>
    <t xml:space="preserve"> 25° 2'36.81"N   80°46'35.13"W</t>
  </si>
  <si>
    <t xml:space="preserve"> 24°55'23.54"N   80°39'57.07"W</t>
  </si>
  <si>
    <t xml:space="preserve"> 24°56'19.43"N   80°47'7.71"W</t>
  </si>
  <si>
    <t xml:space="preserve"> 24°55'55.37"N   80°49'39.08"W</t>
  </si>
  <si>
    <t>Island Alias</t>
  </si>
  <si>
    <t>CrabKey</t>
  </si>
  <si>
    <t>CrabKey2</t>
  </si>
  <si>
    <t>ButtonwoodKey</t>
  </si>
  <si>
    <t>ButtonwoodKey2</t>
  </si>
  <si>
    <t>CraneKey</t>
  </si>
  <si>
    <t>SidKey</t>
  </si>
  <si>
    <t>TopsyKey</t>
  </si>
  <si>
    <t>ShellKey</t>
  </si>
  <si>
    <t>BarnesKey</t>
  </si>
  <si>
    <t>UpperArsnickerKey</t>
  </si>
  <si>
    <t>Lighthouse Reef</t>
  </si>
  <si>
    <t>Cayo Chacmochuk</t>
  </si>
  <si>
    <t>Mangrove Cay</t>
  </si>
  <si>
    <t>Cayo Juan Ruiz</t>
  </si>
  <si>
    <t>La Parguera Bay</t>
  </si>
  <si>
    <t>Jobos Bay</t>
  </si>
  <si>
    <t>AGB_Mg/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</si>
</sst>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50595E"/>
      <name val="Arial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" fontId="0" fillId="0" borderId="0" xfId="0" applyNumberFormat="1"/>
    <xf numFmtId="4" fontId="2" fillId="0" borderId="0" xfId="0" applyNumberFormat="1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font>
        <sz val="1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Database!$N$1</c:f>
              <c:strCache>
                <c:ptCount val="1"/>
                <c:pt idx="0">
                  <c:v>Log Vegetated Area 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118985126859142E-2"/>
                  <c:y val="-5.22448235637212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Database!$F$2:$F$30</c:f>
              <c:numCache>
                <c:formatCode>General</c:formatCode>
                <c:ptCount val="29"/>
                <c:pt idx="0">
                  <c:v>3.9287542021766533</c:v>
                </c:pt>
                <c:pt idx="1">
                  <c:v>3.855761372339948</c:v>
                </c:pt>
                <c:pt idx="2">
                  <c:v>4.2308064284688829</c:v>
                </c:pt>
                <c:pt idx="3">
                  <c:v>4.3747483460101035</c:v>
                </c:pt>
                <c:pt idx="4">
                  <c:v>4.830595083622728</c:v>
                </c:pt>
                <c:pt idx="5">
                  <c:v>4.9294802335489338</c:v>
                </c:pt>
                <c:pt idx="6">
                  <c:v>6.4741537386585506</c:v>
                </c:pt>
                <c:pt idx="7">
                  <c:v>6.0783194026524301</c:v>
                </c:pt>
                <c:pt idx="8">
                  <c:v>5.4710818491763531</c:v>
                </c:pt>
                <c:pt idx="9">
                  <c:v>4.4642211975344495</c:v>
                </c:pt>
                <c:pt idx="10">
                  <c:v>5.3821323585785734</c:v>
                </c:pt>
                <c:pt idx="11">
                  <c:v>5.0504532281865915</c:v>
                </c:pt>
                <c:pt idx="12">
                  <c:v>4.890113494290917</c:v>
                </c:pt>
                <c:pt idx="13">
                  <c:v>4.5531180921503056</c:v>
                </c:pt>
                <c:pt idx="14">
                  <c:v>5.7630294578886687</c:v>
                </c:pt>
                <c:pt idx="15">
                  <c:v>5.2074377730094499</c:v>
                </c:pt>
                <c:pt idx="16">
                  <c:v>5.5642339215681282</c:v>
                </c:pt>
                <c:pt idx="17">
                  <c:v>6.1116069218309637</c:v>
                </c:pt>
                <c:pt idx="18">
                  <c:v>4.6294401821443074</c:v>
                </c:pt>
                <c:pt idx="19">
                  <c:v>5.1346551422776487</c:v>
                </c:pt>
                <c:pt idx="20">
                  <c:v>5.735831153198844</c:v>
                </c:pt>
                <c:pt idx="21">
                  <c:v>5.4020962331559419</c:v>
                </c:pt>
                <c:pt idx="22">
                  <c:v>4.8773483057635643</c:v>
                </c:pt>
                <c:pt idx="23">
                  <c:v>5.0815273262448049</c:v>
                </c:pt>
                <c:pt idx="24">
                  <c:v>5.025756314534414</c:v>
                </c:pt>
                <c:pt idx="25">
                  <c:v>4.8694898721419673</c:v>
                </c:pt>
                <c:pt idx="26">
                  <c:v>5.8676454119687245</c:v>
                </c:pt>
                <c:pt idx="27">
                  <c:v>5.2917283933304864</c:v>
                </c:pt>
                <c:pt idx="28">
                  <c:v>4.7962481430015007</c:v>
                </c:pt>
              </c:numCache>
            </c:numRef>
          </c:xVal>
          <c:yVal>
            <c:numRef>
              <c:f>Database!$N$2:$N$30</c:f>
              <c:numCache>
                <c:formatCode>General</c:formatCode>
                <c:ptCount val="29"/>
                <c:pt idx="0">
                  <c:v>3.981634182160215</c:v>
                </c:pt>
                <c:pt idx="1">
                  <c:v>3.8955179467272609</c:v>
                </c:pt>
                <c:pt idx="2">
                  <c:v>4.4236082883301933</c:v>
                </c:pt>
                <c:pt idx="3">
                  <c:v>4.2806288863824653</c:v>
                </c:pt>
                <c:pt idx="4">
                  <c:v>4.9189070505235053</c:v>
                </c:pt>
                <c:pt idx="5">
                  <c:v>5.1035524780062902</c:v>
                </c:pt>
                <c:pt idx="6">
                  <c:v>6.6479609432961499</c:v>
                </c:pt>
                <c:pt idx="7">
                  <c:v>6.163057945390519</c:v>
                </c:pt>
                <c:pt idx="8">
                  <c:v>5.2986004735474355</c:v>
                </c:pt>
                <c:pt idx="9">
                  <c:v>3.8581264006583638</c:v>
                </c:pt>
                <c:pt idx="10">
                  <c:v>4.9827078402642782</c:v>
                </c:pt>
                <c:pt idx="11">
                  <c:v>5.0193630174795691</c:v>
                </c:pt>
                <c:pt idx="12">
                  <c:v>4.7885898420361999</c:v>
                </c:pt>
                <c:pt idx="13">
                  <c:v>4.6122936084288009</c:v>
                </c:pt>
                <c:pt idx="14">
                  <c:v>5.6900513423828771</c:v>
                </c:pt>
                <c:pt idx="15">
                  <c:v>5.1307267741866536</c:v>
                </c:pt>
                <c:pt idx="16">
                  <c:v>5.5256043860454538</c:v>
                </c:pt>
                <c:pt idx="17">
                  <c:v>6.2755090564626475</c:v>
                </c:pt>
                <c:pt idx="18">
                  <c:v>4.5433572738653636</c:v>
                </c:pt>
                <c:pt idx="19">
                  <c:v>5.0507867611472381</c:v>
                </c:pt>
                <c:pt idx="20">
                  <c:v>4.6260521868716546</c:v>
                </c:pt>
                <c:pt idx="21">
                  <c:v>5.2657110967558625</c:v>
                </c:pt>
                <c:pt idx="22">
                  <c:v>4.7967470597461332</c:v>
                </c:pt>
                <c:pt idx="23">
                  <c:v>4.9124840629809565</c:v>
                </c:pt>
                <c:pt idx="24">
                  <c:v>4.8364511056721033</c:v>
                </c:pt>
                <c:pt idx="25">
                  <c:v>4.4067959253828901</c:v>
                </c:pt>
                <c:pt idx="26">
                  <c:v>6.0688039026455236</c:v>
                </c:pt>
                <c:pt idx="27">
                  <c:v>5.430174979021559</c:v>
                </c:pt>
                <c:pt idx="28">
                  <c:v>4.8062947623854955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ED-154D-BC7C-6597C7354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496352"/>
        <c:axId val="1000468160"/>
      </c:scatterChart>
      <c:valAx>
        <c:axId val="100049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468160"/>
        <c:crosses val="autoZero"/>
        <c:crossBetween val="midCat"/>
      </c:valAx>
      <c:valAx>
        <c:axId val="10004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49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DatabaseFLWholeRange!$M$1</c:f>
              <c:strCache>
                <c:ptCount val="1"/>
                <c:pt idx="0">
                  <c:v>Log Vegetated Area 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341207349081363E-2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DatabaseFLWholeRange!$E$2:$E$30</c:f>
              <c:numCache>
                <c:formatCode>General</c:formatCode>
                <c:ptCount val="29"/>
                <c:pt idx="0">
                  <c:v>3.9287542021766533</c:v>
                </c:pt>
                <c:pt idx="1">
                  <c:v>3.855761372339948</c:v>
                </c:pt>
                <c:pt idx="2">
                  <c:v>4.2308064284688829</c:v>
                </c:pt>
                <c:pt idx="3">
                  <c:v>4.3747483460101035</c:v>
                </c:pt>
                <c:pt idx="4">
                  <c:v>4.830595083622728</c:v>
                </c:pt>
                <c:pt idx="5">
                  <c:v>4.9294802335489338</c:v>
                </c:pt>
                <c:pt idx="6">
                  <c:v>6.4741537386585506</c:v>
                </c:pt>
                <c:pt idx="7">
                  <c:v>6.0783194026524301</c:v>
                </c:pt>
                <c:pt idx="8">
                  <c:v>5.4710818491763531</c:v>
                </c:pt>
                <c:pt idx="9">
                  <c:v>4.4642211975344495</c:v>
                </c:pt>
                <c:pt idx="10">
                  <c:v>5.3821323585785734</c:v>
                </c:pt>
                <c:pt idx="11">
                  <c:v>5.0504532281865915</c:v>
                </c:pt>
                <c:pt idx="12">
                  <c:v>4.890113494290917</c:v>
                </c:pt>
                <c:pt idx="13">
                  <c:v>4.5531180921503056</c:v>
                </c:pt>
                <c:pt idx="14">
                  <c:v>5.7630294578886687</c:v>
                </c:pt>
                <c:pt idx="15">
                  <c:v>5.2074377730094499</c:v>
                </c:pt>
                <c:pt idx="16">
                  <c:v>5.5642339215681282</c:v>
                </c:pt>
                <c:pt idx="17">
                  <c:v>6.1116069218309637</c:v>
                </c:pt>
                <c:pt idx="18">
                  <c:v>4.6294401821443074</c:v>
                </c:pt>
                <c:pt idx="19">
                  <c:v>5.1346551422776487</c:v>
                </c:pt>
                <c:pt idx="20">
                  <c:v>5.735831153198844</c:v>
                </c:pt>
                <c:pt idx="21">
                  <c:v>5.4020962331559419</c:v>
                </c:pt>
                <c:pt idx="22">
                  <c:v>4.8773483057635643</c:v>
                </c:pt>
                <c:pt idx="23">
                  <c:v>5.0815273262448049</c:v>
                </c:pt>
                <c:pt idx="24">
                  <c:v>5.025756314534414</c:v>
                </c:pt>
                <c:pt idx="25">
                  <c:v>4.8694898721419673</c:v>
                </c:pt>
                <c:pt idx="26">
                  <c:v>5.8676454119687245</c:v>
                </c:pt>
                <c:pt idx="27">
                  <c:v>5.2917283933304864</c:v>
                </c:pt>
                <c:pt idx="28">
                  <c:v>4.7962481430015007</c:v>
                </c:pt>
              </c:numCache>
            </c:numRef>
          </c:xVal>
          <c:yVal>
            <c:numRef>
              <c:f>DatabaseFLWholeRange!$M$2:$M$30</c:f>
              <c:numCache>
                <c:formatCode>General</c:formatCode>
                <c:ptCount val="29"/>
                <c:pt idx="0">
                  <c:v>3.981634182160215</c:v>
                </c:pt>
                <c:pt idx="1">
                  <c:v>3.8955179467272609</c:v>
                </c:pt>
                <c:pt idx="2">
                  <c:v>4.4236082883301933</c:v>
                </c:pt>
                <c:pt idx="3">
                  <c:v>4.2806288863824653</c:v>
                </c:pt>
                <c:pt idx="4">
                  <c:v>4.9189070505235053</c:v>
                </c:pt>
                <c:pt idx="5">
                  <c:v>5.1035524780062902</c:v>
                </c:pt>
                <c:pt idx="6">
                  <c:v>6.6479609432961499</c:v>
                </c:pt>
                <c:pt idx="7">
                  <c:v>6.163057945390519</c:v>
                </c:pt>
                <c:pt idx="8">
                  <c:v>5.2986004735474355</c:v>
                </c:pt>
                <c:pt idx="9">
                  <c:v>3.908535904135964</c:v>
                </c:pt>
                <c:pt idx="10">
                  <c:v>5.0331173437418784</c:v>
                </c:pt>
                <c:pt idx="11">
                  <c:v>5.0697725209571693</c:v>
                </c:pt>
                <c:pt idx="12">
                  <c:v>4.8330089818246131</c:v>
                </c:pt>
                <c:pt idx="13">
                  <c:v>4.6567127482172133</c:v>
                </c:pt>
                <c:pt idx="14">
                  <c:v>5.6900513423828771</c:v>
                </c:pt>
                <c:pt idx="15">
                  <c:v>5.1307267741866536</c:v>
                </c:pt>
                <c:pt idx="16">
                  <c:v>5.5256043860454538</c:v>
                </c:pt>
                <c:pt idx="17">
                  <c:v>6.2755090564626475</c:v>
                </c:pt>
                <c:pt idx="18">
                  <c:v>4.5433572738653636</c:v>
                </c:pt>
                <c:pt idx="19">
                  <c:v>5.0507867611472381</c:v>
                </c:pt>
                <c:pt idx="20">
                  <c:v>4.6764616903492549</c:v>
                </c:pt>
                <c:pt idx="21">
                  <c:v>5.2657110967558625</c:v>
                </c:pt>
                <c:pt idx="22">
                  <c:v>4.7967470597461332</c:v>
                </c:pt>
                <c:pt idx="23">
                  <c:v>4.9124840629809565</c:v>
                </c:pt>
                <c:pt idx="24">
                  <c:v>4.8364511056721033</c:v>
                </c:pt>
                <c:pt idx="25">
                  <c:v>4.4572054288604903</c:v>
                </c:pt>
                <c:pt idx="26">
                  <c:v>5.8579505373306304</c:v>
                </c:pt>
                <c:pt idx="27">
                  <c:v>5.430174979021559</c:v>
                </c:pt>
                <c:pt idx="28">
                  <c:v>4.8062947623854955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25-5749-B241-FCB62F9D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126592"/>
        <c:axId val="1407701104"/>
      </c:scatterChart>
      <c:valAx>
        <c:axId val="140312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01104"/>
        <c:crosses val="autoZero"/>
        <c:crossBetween val="midCat"/>
      </c:valAx>
      <c:valAx>
        <c:axId val="14077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12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100513</xdr:colOff>
      <xdr:row>3</xdr:row>
      <xdr:rowOff>128244</xdr:rowOff>
    </xdr:from>
    <xdr:to>
      <xdr:col>22</xdr:col>
      <xdr:colOff>541324</xdr:colOff>
      <xdr:row>17</xdr:row>
      <xdr:rowOff>98417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FC59C-6E26-1218-FABE-6303AE8DA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1</xdr:row>
      <xdr:rowOff>12700</xdr:rowOff>
    </xdr:from>
    <xdr:to>
      <xdr:col>19</xdr:col>
      <xdr:colOff>469900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FEA943-C88F-7C53-0C84-2CDB5B62D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samar Marie Cortes" id="{5C0CAD98-1FD5-7445-9A9D-FE29C1720109}" userId="S::cortesi1@montclair.edu::71da2c34-1b11-4932-97ab-75948a367a6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9F523-F80A-FC48-96AF-2BD647A8D4C2}" name="DatabaseTable3" displayName="DatabaseTable3" ref="A1:O30" totalsRowShown="0">
  <autoFilter ref="A1:O30" xr:uid="{FDD9F523-F80A-FC48-96AF-2BD647A8D4C2}"/>
  <tableColumns count="15">
    <tableColumn id="1" xr3:uid="{473A81C6-905A-434C-A807-A7A5C716D13C}" name="Island Alias"/>
    <tableColumn id="4" xr3:uid="{E71173CA-934A-7D48-BB82-4C2E06245E4D}" name="Island Name"/>
    <tableColumn id="2" xr3:uid="{A38A81EF-9718-9440-B341-023E001611FD}" name="Vegetated Area from GEP (m^2)"/>
    <tableColumn id="12" xr3:uid="{BF3BC845-8E49-0041-BBAD-9C32F1158EE5}" name="Total island area (m^2)"/>
    <tableColumn id="13" xr3:uid="{C420C4D3-B743-F74F-877D-7EE5B2F1AED4}" name="Percent Av" dataDxfId="35">
      <calculatedColumnFormula>DatabaseTable3[[#This Row],[Vegetated Area from GEP (m^2)]]/DatabaseTable3[[#This Row],[Total island area (m^2)]]</calculatedColumnFormula>
    </tableColumn>
    <tableColumn id="3" xr3:uid="{4B9E6BD4-4A35-034F-BFEC-BDAD9F8270AB}" name="LogAV_GEP" dataDxfId="34">
      <calculatedColumnFormula>LOG10(DatabaseTable3[[#This Row],[Vegetated Area from GEP (m^2)]])</calculatedColumnFormula>
    </tableColumn>
    <tableColumn id="14" xr3:uid="{966391F5-0E36-9740-90B3-537FB371B141}" name="Red Mangrove Area (m^2)" dataDxfId="33"/>
    <tableColumn id="5" xr3:uid="{1BD5CF43-6D55-0647-ADF2-F726E5386C92}" name="Enet (m/yr)"/>
    <tableColumn id="6" xr3:uid="{AFB37FDF-2908-F949-A6BC-65D9E068EDB9}" name="Dispersion Coefficient Planet (m^2/yr)">
      <calculatedColumnFormula>(DatabaseTable3[[#This Row],[Red Mangrove Area (m^2)]]*H2)/(2*3.14*(72-35))</calculatedColumnFormula>
    </tableColumn>
    <tableColumn id="15" xr3:uid="{3CB1861F-341C-4C46-8094-75C0FAD1EE88}" name="Dispersion Coefficient Planet (m^2/day)" dataDxfId="32">
      <calculatedColumnFormula>DatabaseTable3[[#This Row],[Dispersion Coefficient Planet (m^2/yr)]]/365</calculatedColumnFormula>
    </tableColumn>
    <tableColumn id="9" xr3:uid="{78567979-9C4C-A145-A81D-6560085B75B3}" name="Sc"/>
    <tableColumn id="10" xr3:uid="{33505B1A-45BC-D14D-9495-ABEE06D8A6E1}" name="So"/>
    <tableColumn id="7" xr3:uid="{AE8A84FE-AEEA-B144-A6A9-5C59D08F8FEF}" name="Vegetated Area Model (m^2)">
      <calculatedColumnFormula>(3.1415*(DatabaseTable3[[#This Row],[Sc]]-DatabaseTable3[[#This Row],[So]])/(DatabaseTable3[[#This Row],[Enet (m/yr)]]))*(2*DatabaseTable3[[#This Row],[Dispersion Coefficient Planet (m^2/yr)]])</calculatedColumnFormula>
    </tableColumn>
    <tableColumn id="8" xr3:uid="{1684A471-E9F9-BA4E-A506-F00D136AC6F2}" name="Log Vegetated Area Model" dataDxfId="31">
      <calculatedColumnFormula>LOG(DatabaseTable3[[#This Row],[Vegetated Area Model (m^2)]])</calculatedColumnFormula>
    </tableColumn>
    <tableColumn id="11" xr3:uid="{615AB3FF-CC7C-374C-B875-17B9A578AA6A}" name="Island Thicknes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3B327-A997-014D-843C-661FCBD024E9}" name="DatabaseTable36" displayName="DatabaseTable36" ref="A1:T30" totalsRowShown="0">
  <autoFilter ref="A1:T30" xr:uid="{3BC3B327-A997-014D-843C-661FCBD024E9}"/>
  <tableColumns count="20">
    <tableColumn id="1" xr3:uid="{A9BE424C-17CB-AC43-917D-22C709A52A7A}" name="Island Name"/>
    <tableColumn id="2" xr3:uid="{896C6836-F676-F943-A6B4-E11EEFF77F8F}" name="Vegetated Area from GEP (m^2)"/>
    <tableColumn id="12" xr3:uid="{2CA7ADC2-A8A9-3149-B39B-AC0D15A3C0C9}" name="Total island area (m^2)"/>
    <tableColumn id="13" xr3:uid="{32A8907D-95D1-9B4D-9145-47548F5A583F}" name="Percent Av" dataDxfId="30">
      <calculatedColumnFormula>DatabaseTable36[[#This Row],[Vegetated Area from GEP (m^2)]]/DatabaseTable36[[#This Row],[Total island area (m^2)]]</calculatedColumnFormula>
    </tableColumn>
    <tableColumn id="3" xr3:uid="{C8A8F057-1A4F-4F4C-B7FC-FA9E8FF3607E}" name="LogAV_GEP" dataDxfId="29">
      <calculatedColumnFormula>LOG10(DatabaseTable36[[#This Row],[Vegetated Area from GEP (m^2)]])</calculatedColumnFormula>
    </tableColumn>
    <tableColumn id="14" xr3:uid="{7AB0DE38-1982-B54E-8680-DE59DB5672D2}" name="Red Mangrove Area (m^2)" dataDxfId="28"/>
    <tableColumn id="5" xr3:uid="{7BD55509-D8A0-C34A-8746-F23972A86704}" name="Enet (m/yr)"/>
    <tableColumn id="6" xr3:uid="{D96B27DA-ABED-C142-89FF-3479EE519802}" name="Dispersion Coefficient Planet (m^2/yr)">
      <calculatedColumnFormula>(DatabaseTable36[[#This Row],[Red Mangrove Area (m^2)]]*G2)/(2*3.14*(72-35))</calculatedColumnFormula>
    </tableColumn>
    <tableColumn id="15" xr3:uid="{EA9A19CE-B3A9-F441-98D4-A98C78B135CE}" name="Dispersion Coefficient Planet (m^2/day)" dataDxfId="27">
      <calculatedColumnFormula>DatabaseTable36[[#This Row],[Dispersion Coefficient Planet (m^2/yr)]]/365</calculatedColumnFormula>
    </tableColumn>
    <tableColumn id="4" xr3:uid="{BD4187DE-5F3B-D642-9C5E-4F9FEFD7EF85}" name="Dispersion increase 50 percent" dataDxfId="26">
      <calculatedColumnFormula>DatabaseTable36[[#This Row],[Dispersion Coefficient Planet (m^2/yr)]]+(DatabaseTable36[[#This Row],[Dispersion Coefficient Planet (m^2/yr)]]*0.5)</calculatedColumnFormula>
    </tableColumn>
    <tableColumn id="16" xr3:uid="{FDA8F60F-3408-EA45-8DD5-146EF3CFAE00}" name="Dispersion decrease 50 percent" dataDxfId="25">
      <calculatedColumnFormula>DatabaseTable36[[#This Row],[Dispersion Coefficient Planet (m^2/yr)]]-(DatabaseTable36[[#This Row],[Dispersion Coefficient Planet (m^2/yr)]]*0.5)</calculatedColumnFormula>
    </tableColumn>
    <tableColumn id="9" xr3:uid="{76B57550-EF1C-E048-816F-8D449A3250CC}" name="Sc"/>
    <tableColumn id="10" xr3:uid="{10126AD8-F8D9-D940-B695-CA93D7BAD28D}" name="So"/>
    <tableColumn id="7" xr3:uid="{59EBD99C-0CA5-414A-AC24-60F8A4E5C04F}" name="Vegetated Area Model (m^2)">
      <calculatedColumnFormula>(3.1415*(DatabaseTable36[[#This Row],[Sc]]-DatabaseTable36[[#This Row],[So]])/(DatabaseTable36[[#This Row],[Enet (m/yr)]]))*(2*DatabaseTable36[[#This Row],[Dispersion Coefficient Planet (m^2/yr)]])</calculatedColumnFormula>
    </tableColumn>
    <tableColumn id="19" xr3:uid="{F3EDF4FB-0775-A843-839A-DF32EC713B17}" name="Vegetated Area Model (m^2)_DCIncrease" dataDxfId="24">
      <calculatedColumnFormula>(3.1415*(DatabaseTable36[[#This Row],[Sc]]-DatabaseTable36[[#This Row],[So]])/(DatabaseTable36[[#This Row],[Enet (m/yr)]]))*(2*DatabaseTable36[[#This Row],[Dispersion increase 50 percent]])</calculatedColumnFormula>
    </tableColumn>
    <tableColumn id="20" xr3:uid="{1352A1D9-5C11-1841-80B4-536DF662717F}" name="Vegetated Area Model (m^2)_DCDecrease" dataDxfId="23">
      <calculatedColumnFormula>(3.1415*(DatabaseTable36[[#This Row],[Sc]]-DatabaseTable36[[#This Row],[So]])/(DatabaseTable36[[#This Row],[Enet (m/yr)]]))*(2*DatabaseTable36[[#This Row],[Dispersion decrease 50 percent]])</calculatedColumnFormula>
    </tableColumn>
    <tableColumn id="8" xr3:uid="{BA70F4F5-B1AF-AD4E-867C-2E94147AEF2D}" name="Log Vegetated Area Model" dataDxfId="22">
      <calculatedColumnFormula>LOG(DatabaseTable36[[#This Row],[Vegetated Area Model (m^2)]])</calculatedColumnFormula>
    </tableColumn>
    <tableColumn id="18" xr3:uid="{43B68151-BC91-DA44-BDB8-7F6B83C6C1C4}" name="Log Vegetated Area Model2_DCIncrease" dataDxfId="21">
      <calculatedColumnFormula>LOG(DatabaseTable36[[#This Row],[Vegetated Area Model (m^2)_DCIncrease]])</calculatedColumnFormula>
    </tableColumn>
    <tableColumn id="17" xr3:uid="{6832A0BD-FCF1-2C47-83CF-8EBCFE4FBB6C}" name="Log Vegetated Area Model_DCDecrease" dataDxfId="20">
      <calculatedColumnFormula>LOG(DatabaseTable36[[#This Row],[Vegetated Area Model (m^2)_DCDecrease]])</calculatedColumnFormula>
    </tableColumn>
    <tableColumn id="11" xr3:uid="{439FFA59-72E7-7045-B91C-626833BC4871}" name="Island Thicknes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7373C6-0E50-AF47-96C5-96DB8724A3E9}" name="DatabaseTable35" displayName="DatabaseTable35" ref="A1:N30" totalsRowShown="0">
  <autoFilter ref="A1:N30" xr:uid="{A37373C6-0E50-AF47-96C5-96DB8724A3E9}"/>
  <tableColumns count="14">
    <tableColumn id="1" xr3:uid="{CCEDB52A-8ED8-1642-A406-E96ADF172E3D}" name="Island Name"/>
    <tableColumn id="2" xr3:uid="{10CC9810-8A68-2345-B2C5-19B13C10DA01}" name="Vegetated Area from GEP (m^2)"/>
    <tableColumn id="12" xr3:uid="{36CB00C0-E049-3544-80D0-B8C00E003566}" name="Total island area (m^2)"/>
    <tableColumn id="13" xr3:uid="{5C662AB2-027A-4745-A417-0B177CB3D861}" name="Percent Av" dataDxfId="19">
      <calculatedColumnFormula>DatabaseTable35[[#This Row],[Vegetated Area from GEP (m^2)]]/DatabaseTable35[[#This Row],[Total island area (m^2)]]</calculatedColumnFormula>
    </tableColumn>
    <tableColumn id="3" xr3:uid="{E7030735-C761-CA4D-A080-8F5483E527C4}" name="LogAV_GEP" dataDxfId="18">
      <calculatedColumnFormula>LOG10(DatabaseTable35[[#This Row],[Vegetated Area from GEP (m^2)]])</calculatedColumnFormula>
    </tableColumn>
    <tableColumn id="14" xr3:uid="{868F0572-2B17-9A4C-833D-00A37018C0E4}" name="Red Mangrove Area (m^2)" dataDxfId="17"/>
    <tableColumn id="5" xr3:uid="{7ECC7AFA-ABFE-1648-A1B5-A1731CAEBAE6}" name="Enet (m/yr)"/>
    <tableColumn id="6" xr3:uid="{52EA171B-CF95-DC4D-A17F-5E05E9320E81}" name="Dispersion Coefficient Planet (m^2/yr)">
      <calculatedColumnFormula>(DatabaseTable35[[#This Row],[Red Mangrove Area (m^2)]]*G2)/(2*3.14*(72-35))</calculatedColumnFormula>
    </tableColumn>
    <tableColumn id="15" xr3:uid="{3D1EA357-8A94-6842-A17F-CF6D79BE2BB2}" name="Dispersion Coefficient Planet (m^2/day)" dataDxfId="16">
      <calculatedColumnFormula>DatabaseTable35[[#This Row],[Dispersion Coefficient Planet (m^2/yr)]]/365</calculatedColumnFormula>
    </tableColumn>
    <tableColumn id="9" xr3:uid="{119E50A9-2917-9148-AD18-B8DC375D5318}" name="Sc"/>
    <tableColumn id="10" xr3:uid="{B59E3429-722B-9A43-9893-CC35E1BC6304}" name="So"/>
    <tableColumn id="7" xr3:uid="{4A2B17C8-485A-5B4B-A801-5074390FB8A0}" name="Vegetated Area Model (m^2)">
      <calculatedColumnFormula>(3.1415*(DatabaseTable35[[#This Row],[Sc]]-DatabaseTable35[[#This Row],[So]])/(DatabaseTable35[[#This Row],[Enet (m/yr)]]))*(2*DatabaseTable35[[#This Row],[Dispersion Coefficient Planet (m^2/yr)]])</calculatedColumnFormula>
    </tableColumn>
    <tableColumn id="8" xr3:uid="{A1A3A09E-2B20-2849-8CF5-2E120336666C}" name="Log Vegetated Area Model" dataDxfId="15">
      <calculatedColumnFormula>LOG(DatabaseTable35[[#This Row],[Vegetated Area Model (m^2)]])</calculatedColumnFormula>
    </tableColumn>
    <tableColumn id="11" xr3:uid="{6BE98122-09C3-E441-8422-B0AB88EEA180}" name="Island Thicknes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31B581-9670-514A-BEF2-6C509F8B14B0}" name="DatabaseTable37" displayName="DatabaseTable37" ref="A1:N17" totalsRowShown="0">
  <autoFilter ref="A1:N17" xr:uid="{4931B581-9670-514A-BEF2-6C509F8B14B0}"/>
  <tableColumns count="14">
    <tableColumn id="1" xr3:uid="{FD3B522C-66A4-7142-A6AF-DFE6FB111B9D}" name="Island Name"/>
    <tableColumn id="2" xr3:uid="{66FAC92B-F39E-724B-9434-E29F29E2EDAC}" name="Vegetated Area from GEP (m^2)"/>
    <tableColumn id="12" xr3:uid="{EB2B4B05-3286-154D-BCD5-BCEC52339022}" name="Total island area (m^2)"/>
    <tableColumn id="13" xr3:uid="{B2DE84C2-E51A-9B40-9784-DE3DAE25B37E}" name="Percent Av" dataDxfId="14">
      <calculatedColumnFormula>DatabaseTable37[[#This Row],[Vegetated Area from GEP (m^2)]]/DatabaseTable37[[#This Row],[Total island area (m^2)]]</calculatedColumnFormula>
    </tableColumn>
    <tableColumn id="3" xr3:uid="{8C91B628-639A-5941-92A7-8BB1669CE5F1}" name="LogAV_GEP" dataDxfId="13">
      <calculatedColumnFormula>LOG10(DatabaseTable37[[#This Row],[Vegetated Area from GEP (m^2)]])</calculatedColumnFormula>
    </tableColumn>
    <tableColumn id="14" xr3:uid="{790FFD83-DEA5-B24D-BCA6-0DF9F190182A}" name="Red Mangrove Area (m^2)" dataDxfId="12"/>
    <tableColumn id="5" xr3:uid="{0CE4F608-2AF6-DD49-99CD-8183F739F818}" name="Enet (m/yr)"/>
    <tableColumn id="6" xr3:uid="{BB73FFA9-60DE-794D-B658-C1C8367B314D}" name="Dispersion Coefficient Planet (m^2/yr)">
      <calculatedColumnFormula>(DatabaseTable37[[#This Row],[Red Mangrove Area (m^2)]]*G2)/(2*3.14*(72-35))</calculatedColumnFormula>
    </tableColumn>
    <tableColumn id="15" xr3:uid="{5CDC51B9-E12D-D14E-894B-84F163F0EEB6}" name="Dispersion Coefficient Planet (m^2/day)" dataDxfId="11">
      <calculatedColumnFormula>DatabaseTable37[[#This Row],[Dispersion Coefficient Planet (m^2/yr)]]/365</calculatedColumnFormula>
    </tableColumn>
    <tableColumn id="9" xr3:uid="{BAD06F58-7AC7-2340-BDEA-B32501BEDE77}" name="Sc"/>
    <tableColumn id="10" xr3:uid="{1557BBE1-6526-D84A-B22B-D11A8FDE5D72}" name="So"/>
    <tableColumn id="7" xr3:uid="{188D4D64-954F-434D-B7A3-79275DBB68A9}" name="Vegetated Area Model (m^2)">
      <calculatedColumnFormula>(3.1415*(DatabaseTable37[[#This Row],[Sc]]-DatabaseTable37[[#This Row],[So]])/(DatabaseTable37[[#This Row],[Enet (m/yr)]]))*(2*DatabaseTable37[[#This Row],[Dispersion Coefficient Planet (m^2/yr)]])</calculatedColumnFormula>
    </tableColumn>
    <tableColumn id="8" xr3:uid="{0BE6C674-C822-CE4C-8C11-E8EAE46F17A4}" name="Log Vegetated Area Model" dataDxfId="10">
      <calculatedColumnFormula>LOG(DatabaseTable37[[#This Row],[Vegetated Area Model (m^2)]])</calculatedColumnFormula>
    </tableColumn>
    <tableColumn id="11" xr3:uid="{628D9F9B-9FFB-1F44-9EBD-6438A26F6772}" name="Island Thicknes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3C3E2-1C9E-6D4E-9103-7A2C04785470}" name="DatabaseTable33" displayName="DatabaseTable33" ref="A1:N30" totalsRowShown="0">
  <autoFilter ref="A1:N30" xr:uid="{35B3C3E2-1C9E-6D4E-9103-7A2C04785470}"/>
  <tableColumns count="14">
    <tableColumn id="1" xr3:uid="{D5DAAA8F-D68E-7647-9BF6-D8236AC37354}" name="Island Name"/>
    <tableColumn id="2" xr3:uid="{08B1B01F-DEBD-6F44-8342-29BF74884FB6}" name="Vegetated Area from GEP (m^2)"/>
    <tableColumn id="12" xr3:uid="{31FA1B92-BAA2-B04B-8015-4B6F2BA8953B}" name="Total island area (m^2)"/>
    <tableColumn id="13" xr3:uid="{E5D4AF57-E04A-2A47-BB06-67DB4D99C5E2}" name="Percent Av" dataDxfId="9">
      <calculatedColumnFormula>DatabaseTable33[[#This Row],[Vegetated Area from GEP (m^2)]]/DatabaseTable33[[#This Row],[Total island area (m^2)]]</calculatedColumnFormula>
    </tableColumn>
    <tableColumn id="3" xr3:uid="{8ED2BB7C-260C-E842-9C10-78BFC62D66A3}" name="LogAV_GEP" dataDxfId="8">
      <calculatedColumnFormula>LOG10(DatabaseTable33[[#This Row],[Vegetated Area from GEP (m^2)]])</calculatedColumnFormula>
    </tableColumn>
    <tableColumn id="14" xr3:uid="{23B6EF52-7D64-8A4B-90D4-BFCBA74B9C64}" name="Red Mangrove Area (m^2)" dataDxfId="7"/>
    <tableColumn id="5" xr3:uid="{DEB6678D-5461-2446-97BC-7298DD3D66A4}" name="Enet (m/yr)"/>
    <tableColumn id="6" xr3:uid="{574DED2E-A3D1-C949-97D8-C59FFAB34FDA}" name="Dispersion Coefficient Planet (m^2/yr)">
      <calculatedColumnFormula>(DatabaseTable33[[#This Row],[Red Mangrove Area (m^2)]]*G2)/(2*3.14*(72-35))</calculatedColumnFormula>
    </tableColumn>
    <tableColumn id="15" xr3:uid="{CB8A0B08-9C3D-914A-85FC-33DF3F13D549}" name="Dispersion Coefficient Planet (m^2/day)" dataDxfId="6">
      <calculatedColumnFormula>DatabaseTable33[[#This Row],[Dispersion Coefficient Planet (m^2/yr)]]/365</calculatedColumnFormula>
    </tableColumn>
    <tableColumn id="9" xr3:uid="{8E5881D3-D28C-A146-A77F-AD2363E43104}" name="Sc"/>
    <tableColumn id="10" xr3:uid="{73AFFD0F-C787-4345-95EB-55167371A1BC}" name="So"/>
    <tableColumn id="7" xr3:uid="{04F4B444-C590-BB42-B44F-46EFBF781B91}" name="Vegetated Area Model (m^2)">
      <calculatedColumnFormula>(3.1415*(DatabaseTable33[[#This Row],[Sc]]-DatabaseTable33[[#This Row],[So]])/(DatabaseTable33[[#This Row],[Enet (m/yr)]]))*(2*DatabaseTable33[[#This Row],[Dispersion Coefficient Planet (m^2/yr)]])</calculatedColumnFormula>
    </tableColumn>
    <tableColumn id="8" xr3:uid="{C994E8DD-DA22-C445-9191-C853792AF61E}" name="Log Vegetated Area Model" dataDxfId="5">
      <calculatedColumnFormula>LOG(DatabaseTable33[[#This Row],[Vegetated Area Model (m^2)]])</calculatedColumnFormula>
    </tableColumn>
    <tableColumn id="11" xr3:uid="{B71E51F8-E34F-CF4B-813E-FD01BF4C029E}" name="Island Thicknes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1F6D75-18D4-BC45-91D5-9421252A2CA8}" name="DatabaseTable34" displayName="DatabaseTable34" ref="A1:N30" totalsRowShown="0">
  <autoFilter ref="A1:N30" xr:uid="{BB1F6D75-18D4-BC45-91D5-9421252A2CA8}"/>
  <tableColumns count="14">
    <tableColumn id="1" xr3:uid="{302D712A-5748-5843-97B8-A2EF97D2DDB1}" name="Island Name"/>
    <tableColumn id="2" xr3:uid="{B8A7C6E3-D91D-1442-B200-E99E224258FD}" name="Vegetated Area from GEP (m^2)"/>
    <tableColumn id="12" xr3:uid="{717B4CCD-8D88-564D-B01F-D06FC399EF84}" name="Total island area (m^2)"/>
    <tableColumn id="13" xr3:uid="{5DA67480-7DCD-074D-A7C1-CD1206C9835E}" name="Percent Av" dataDxfId="4">
      <calculatedColumnFormula>DatabaseTable34[[#This Row],[Vegetated Area from GEP (m^2)]]/DatabaseTable34[[#This Row],[Total island area (m^2)]]</calculatedColumnFormula>
    </tableColumn>
    <tableColumn id="3" xr3:uid="{A4B5F657-21DE-BB4B-A4F7-91C0AAB0DD06}" name="LogAV_GEP" dataDxfId="3">
      <calculatedColumnFormula>LOG10(DatabaseTable34[[#This Row],[Vegetated Area from GEP (m^2)]])</calculatedColumnFormula>
    </tableColumn>
    <tableColumn id="14" xr3:uid="{3487F06A-D49F-7A48-B53F-4FD84FFDF3BE}" name="Red Mangrove Area (m^2)" dataDxfId="2"/>
    <tableColumn id="5" xr3:uid="{DE4882F5-5425-264C-8302-797429B4028E}" name="Enet (m/yr)"/>
    <tableColumn id="6" xr3:uid="{D0D76095-EB74-B844-92FD-98B6762DD597}" name="Dispersion Coefficient Planet (m^2/yr)">
      <calculatedColumnFormula>(DatabaseTable34[[#This Row],[Red Mangrove Area (m^2)]]*G2)/(2*3.14*(72-35))</calculatedColumnFormula>
    </tableColumn>
    <tableColumn id="15" xr3:uid="{A778318E-6012-4346-819A-2A0AA17EF76E}" name="Dispersion Coefficient Planet (m^2/day)" dataDxfId="1">
      <calculatedColumnFormula>DatabaseTable34[[#This Row],[Dispersion Coefficient Planet (m^2/yr)]]/365</calculatedColumnFormula>
    </tableColumn>
    <tableColumn id="9" xr3:uid="{5C21B104-5808-CB4C-88CD-A4DD480D380B}" name="Sc"/>
    <tableColumn id="10" xr3:uid="{6214E001-DA1D-B841-A671-94CCA2FDCE16}" name="So"/>
    <tableColumn id="7" xr3:uid="{5B5FC995-9492-5F4F-84FF-E12C38DF012E}" name="Vegetated Area Model (m^2)">
      <calculatedColumnFormula>(3.1415*(DatabaseTable34[[#This Row],[Sc]]-DatabaseTable34[[#This Row],[So]])/(DatabaseTable34[[#This Row],[Enet (m/yr)]]))*(2*DatabaseTable34[[#This Row],[Dispersion Coefficient Planet (m^2/yr)]])</calculatedColumnFormula>
    </tableColumn>
    <tableColumn id="8" xr3:uid="{51A23BFA-26CC-A547-BE12-6259C66DA4D6}" name="Log Vegetated Area Model" dataDxfId="0">
      <calculatedColumnFormula>LOG(DatabaseTable34[[#This Row],[Vegetated Area Model (m^2)]])</calculatedColumnFormula>
    </tableColumn>
    <tableColumn id="11" xr3:uid="{61BFDB68-8AA0-CB4E-8122-417EF2475C09}" name="Island Thickn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3-08-09T19:52:05.52" personId="{5C0CAD98-1FD5-7445-9A9D-FE29C1720109}" id="{9389404A-7E71-1B4A-AA12-E9AF658FCECC}">
    <text>So for FL is different than the rest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" dT="2023-08-09T19:52:05.52" personId="{5C0CAD98-1FD5-7445-9A9D-FE29C1720109}" id="{470A96B6-722D-7D4E-B04B-4BD9726C47FF}">
    <text>So for FL is different than the rest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3-08-09T17:41:29.73" personId="{5C0CAD98-1FD5-7445-9A9D-FE29C1720109}" id="{48A385FF-D027-FD44-B727-841D194AA821}">
    <text>AGB multiplied by 5.66 as per averaged from fig 5 in castañeda 2013 paper</text>
  </threadedComment>
  <threadedComment ref="K1" dT="2023-08-11T17:47:26.85" personId="{5C0CAD98-1FD5-7445-9A9D-FE29C1720109}" id="{EE90B37B-4EB4-B245-AAFC-368EE6414AB0}">
    <text>average From Ken Krauss Paper</text>
  </threadedComment>
  <threadedComment ref="L1" dT="2023-08-11T17:47:26.85" personId="{5C0CAD98-1FD5-7445-9A9D-FE29C1720109}" id="{A7FA23D2-4563-614A-A42A-A966ACBDB172}">
    <text>average From Ken Krauss Paper</text>
  </threadedComment>
  <threadedComment ref="Q1" dT="2023-08-11T17:47:33.42" personId="{5C0CAD98-1FD5-7445-9A9D-FE29C1720109}" id="{B9FEACF6-D1AB-D645-B95B-A8FE08B2E2C9}">
    <text>average From Ken Krauss Paper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1" dT="2023-08-09T19:52:05.52" personId="{5C0CAD98-1FD5-7445-9A9D-FE29C1720109}" id="{CC589EC1-9F61-1342-AD3D-76C9E4CC5A92}">
    <text>So for FL is different than the rest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D5AC-3F38-8E45-A224-4826A63F0590}">
  <dimension ref="A1:P30"/>
  <sheetViews>
    <sheetView topLeftCell="A4" zoomScale="142" workbookViewId="0">
      <pane xSplit="1" topLeftCell="B1" activePane="topRight" state="frozen"/>
      <selection pane="topRight" activeCell="B32" sqref="B32"/>
    </sheetView>
  </sheetViews>
  <sheetFormatPr baseColWidth="10" defaultRowHeight="16" x14ac:dyDescent="0.2"/>
  <cols>
    <col min="1" max="2" width="22.6640625" customWidth="1"/>
    <col min="3" max="5" width="26.6640625" customWidth="1"/>
    <col min="6" max="6" width="12.1640625" bestFit="1" customWidth="1"/>
    <col min="7" max="7" width="22.5" customWidth="1"/>
    <col min="8" max="8" width="12.1640625" bestFit="1" customWidth="1"/>
    <col min="9" max="10" width="26" customWidth="1"/>
    <col min="11" max="11" width="6.83203125" customWidth="1"/>
    <col min="12" max="12" width="8" customWidth="1"/>
    <col min="13" max="13" width="24.5" customWidth="1"/>
    <col min="14" max="14" width="22.83203125" customWidth="1"/>
    <col min="15" max="15" width="13.6640625" bestFit="1" customWidth="1"/>
    <col min="16" max="16" width="28.6640625" customWidth="1"/>
  </cols>
  <sheetData>
    <row r="1" spans="1:16" x14ac:dyDescent="0.2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9" t="s">
        <v>71</v>
      </c>
    </row>
    <row r="2" spans="1:16" x14ac:dyDescent="0.2">
      <c r="A2" t="s">
        <v>14</v>
      </c>
      <c r="B2" t="s">
        <v>116</v>
      </c>
      <c r="C2">
        <v>8487</v>
      </c>
      <c r="D2">
        <v>13661</v>
      </c>
      <c r="E2">
        <f>DatabaseTable3[[#This Row],[Vegetated Area from GEP (m^2)]]/DatabaseTable3[[#This Row],[Total island area (m^2)]]</f>
        <v>0.62125759461240027</v>
      </c>
      <c r="F2">
        <f>LOG10(DatabaseTable3[[#This Row],[Vegetated Area from GEP (m^2)]])</f>
        <v>3.9287542021766533</v>
      </c>
      <c r="G2" s="1">
        <v>5454</v>
      </c>
      <c r="H2">
        <v>1.15253728592589</v>
      </c>
      <c r="I2">
        <f>(DatabaseTable3[[#This Row],[Red Mangrove Area (m^2)]]*H2)/(2*3.14*(72-35))</f>
        <v>27.052583738336221</v>
      </c>
      <c r="J2">
        <f>DatabaseTable3[[#This Row],[Dispersion Coefficient Planet (m^2/yr)]]/365</f>
        <v>7.411666777626362E-2</v>
      </c>
      <c r="K2">
        <v>100</v>
      </c>
      <c r="L2">
        <v>35</v>
      </c>
      <c r="M2">
        <f>(3.1415*(DatabaseTable3[[#This Row],[Sc]]-DatabaseTable3[[#This Row],[So]])/(DatabaseTable3[[#This Row],[Enet (m/yr)]]))*(2*DatabaseTable3[[#This Row],[Dispersion Coefficient Planet (m^2/yr)]])</f>
        <v>9585.9284300223808</v>
      </c>
      <c r="N2">
        <f>LOG(DatabaseTable3[[#This Row],[Vegetated Area Model (m^2)]])</f>
        <v>3.981634182160215</v>
      </c>
      <c r="P2" s="9" t="s">
        <v>72</v>
      </c>
    </row>
    <row r="3" spans="1:16" x14ac:dyDescent="0.2">
      <c r="A3" t="s">
        <v>14</v>
      </c>
      <c r="B3" t="s">
        <v>116</v>
      </c>
      <c r="C3">
        <v>7174</v>
      </c>
      <c r="D3">
        <v>9045</v>
      </c>
      <c r="E3">
        <f>DatabaseTable3[[#This Row],[Vegetated Area from GEP (m^2)]]/DatabaseTable3[[#This Row],[Total island area (m^2)]]</f>
        <v>0.79314538419016034</v>
      </c>
      <c r="F3">
        <f>LOG10(DatabaseTable3[[#This Row],[Vegetated Area from GEP (m^2)]])</f>
        <v>3.855761372339948</v>
      </c>
      <c r="G3" s="1">
        <v>4473</v>
      </c>
      <c r="H3">
        <v>1.1525372859258889</v>
      </c>
      <c r="I3">
        <f>(DatabaseTable3[[#This Row],[Red Mangrove Area (m^2)]]*H3)/(2*3.14*(72-35))</f>
        <v>22.186689963618957</v>
      </c>
      <c r="J3">
        <f>DatabaseTable3[[#This Row],[Dispersion Coefficient Planet (m^2/yr)]]/365</f>
        <v>6.0785451955120431E-2</v>
      </c>
      <c r="K3">
        <v>100</v>
      </c>
      <c r="L3">
        <v>35</v>
      </c>
      <c r="M3">
        <f>(3.1415*(DatabaseTable3[[#This Row],[Sc]]-DatabaseTable3[[#This Row],[So]])/(DatabaseTable3[[#This Row],[Enet (m/yr)]]))*(2*DatabaseTable3[[#This Row],[Dispersion Coefficient Planet (m^2/yr)]])</f>
        <v>7861.7267817180245</v>
      </c>
      <c r="N3">
        <f>LOG(DatabaseTable3[[#This Row],[Vegetated Area Model (m^2)]])</f>
        <v>3.8955179467272609</v>
      </c>
      <c r="P3" s="9" t="s">
        <v>73</v>
      </c>
    </row>
    <row r="4" spans="1:16" x14ac:dyDescent="0.2">
      <c r="A4" t="s">
        <v>14</v>
      </c>
      <c r="B4" t="s">
        <v>116</v>
      </c>
      <c r="C4">
        <v>17014</v>
      </c>
      <c r="D4">
        <v>20878</v>
      </c>
      <c r="E4">
        <f>DatabaseTable3[[#This Row],[Vegetated Area from GEP (m^2)]]/DatabaseTable3[[#This Row],[Total island area (m^2)]]</f>
        <v>0.81492480122617106</v>
      </c>
      <c r="F4">
        <f>LOG10(DatabaseTable3[[#This Row],[Vegetated Area from GEP (m^2)]])</f>
        <v>4.2308064284688829</v>
      </c>
      <c r="G4" s="2">
        <v>15090</v>
      </c>
      <c r="H4">
        <v>1.1525372859258889</v>
      </c>
      <c r="I4">
        <f>(DatabaseTable3[[#This Row],[Red Mangrove Area (m^2)]]*H4)/(2*3.14*(72-35))</f>
        <v>74.848457757882869</v>
      </c>
      <c r="J4">
        <f>DatabaseTable3[[#This Row],[Dispersion Coefficient Planet (m^2/yr)]]/365</f>
        <v>0.20506426782981607</v>
      </c>
      <c r="K4">
        <v>100</v>
      </c>
      <c r="L4">
        <v>35</v>
      </c>
      <c r="M4">
        <f>(3.1415*(DatabaseTable3[[#This Row],[Sc]]-DatabaseTable3[[#This Row],[So]])/(DatabaseTable3[[#This Row],[Enet (m/yr)]]))*(2*DatabaseTable3[[#This Row],[Dispersion Coefficient Planet (m^2/yr)]])</f>
        <v>26522.123213978313</v>
      </c>
      <c r="N4">
        <f>LOG(DatabaseTable3[[#This Row],[Vegetated Area Model (m^2)]])</f>
        <v>4.4236082883301933</v>
      </c>
      <c r="P4" s="9" t="s">
        <v>74</v>
      </c>
    </row>
    <row r="5" spans="1:16" x14ac:dyDescent="0.2">
      <c r="A5" t="s">
        <v>14</v>
      </c>
      <c r="B5" t="s">
        <v>117</v>
      </c>
      <c r="C5">
        <v>23700</v>
      </c>
      <c r="D5">
        <v>32807</v>
      </c>
      <c r="E5">
        <f>DatabaseTable3[[#This Row],[Vegetated Area from GEP (m^2)]]/DatabaseTable3[[#This Row],[Total island area (m^2)]]</f>
        <v>0.72240680342609809</v>
      </c>
      <c r="F5">
        <f>LOG10(DatabaseTable3[[#This Row],[Vegetated Area from GEP (m^2)]])</f>
        <v>4.3747483460101035</v>
      </c>
      <c r="G5" s="2">
        <v>10857</v>
      </c>
      <c r="H5">
        <v>1.1525372859258889</v>
      </c>
      <c r="I5">
        <f>(DatabaseTable3[[#This Row],[Red Mangrove Area (m^2)]]*H5)/(2*3.14*(72-35))</f>
        <v>53.85220052202348</v>
      </c>
      <c r="J5">
        <f>DatabaseTable3[[#This Row],[Dispersion Coefficient Planet (m^2/yr)]]/365</f>
        <v>0.14754027540280407</v>
      </c>
      <c r="K5">
        <v>100</v>
      </c>
      <c r="L5">
        <v>35</v>
      </c>
      <c r="M5">
        <f>(3.1415*(DatabaseTable3[[#This Row],[Sc]]-DatabaseTable3[[#This Row],[So]])/(DatabaseTable3[[#This Row],[Enet (m/yr)]]))*(2*DatabaseTable3[[#This Row],[Dispersion Coefficient Planet (m^2/yr)]])</f>
        <v>19082.219465484595</v>
      </c>
      <c r="N5">
        <f>LOG(DatabaseTable3[[#This Row],[Vegetated Area Model (m^2)]])</f>
        <v>4.2806288863824653</v>
      </c>
      <c r="P5" s="9" t="s">
        <v>75</v>
      </c>
    </row>
    <row r="6" spans="1:16" x14ac:dyDescent="0.2">
      <c r="A6" t="s">
        <v>14</v>
      </c>
      <c r="B6" t="s">
        <v>117</v>
      </c>
      <c r="C6">
        <v>67701</v>
      </c>
      <c r="D6">
        <v>87153</v>
      </c>
      <c r="E6">
        <f>DatabaseTable3[[#This Row],[Vegetated Area from GEP (m^2)]]/DatabaseTable3[[#This Row],[Total island area (m^2)]]</f>
        <v>0.77680630615125124</v>
      </c>
      <c r="F6">
        <f>LOG10(DatabaseTable3[[#This Row],[Vegetated Area from GEP (m^2)]])</f>
        <v>4.830595083622728</v>
      </c>
      <c r="G6" s="1">
        <v>47205</v>
      </c>
      <c r="H6">
        <v>1.1525372859258889</v>
      </c>
      <c r="I6">
        <f>(DatabaseTable3[[#This Row],[Red Mangrove Area (m^2)]]*H6)/(2*3.14*(72-35))</f>
        <v>234.14323714121011</v>
      </c>
      <c r="J6">
        <f>DatabaseTable3[[#This Row],[Dispersion Coefficient Planet (m^2/yr)]]/365</f>
        <v>0.64148832093482222</v>
      </c>
      <c r="K6">
        <v>100</v>
      </c>
      <c r="L6">
        <v>35</v>
      </c>
      <c r="M6">
        <f>(3.1415*(DatabaseTable3[[#This Row],[Sc]]-DatabaseTable3[[#This Row],[So]])/(DatabaseTable3[[#This Row],[Enet (m/yr)]]))*(2*DatabaseTable3[[#This Row],[Dispersion Coefficient Planet (m^2/yr)]])</f>
        <v>82967.317847305909</v>
      </c>
      <c r="N6">
        <f>LOG(DatabaseTable3[[#This Row],[Vegetated Area Model (m^2)]])</f>
        <v>4.9189070505235053</v>
      </c>
      <c r="P6" s="9" t="s">
        <v>76</v>
      </c>
    </row>
    <row r="7" spans="1:16" x14ac:dyDescent="0.2">
      <c r="A7" t="s">
        <v>14</v>
      </c>
      <c r="B7" t="s">
        <v>117</v>
      </c>
      <c r="C7">
        <v>85012</v>
      </c>
      <c r="D7">
        <v>86429</v>
      </c>
      <c r="E7">
        <f>DatabaseTable3[[#This Row],[Vegetated Area from GEP (m^2)]]/DatabaseTable3[[#This Row],[Total island area (m^2)]]</f>
        <v>0.98360503997500837</v>
      </c>
      <c r="F7">
        <f>LOG10(DatabaseTable3[[#This Row],[Vegetated Area from GEP (m^2)]])</f>
        <v>4.9294802335489338</v>
      </c>
      <c r="G7" s="1">
        <v>72216</v>
      </c>
      <c r="H7">
        <v>1.1525372859258889</v>
      </c>
      <c r="I7">
        <f>(DatabaseTable3[[#This Row],[Red Mangrove Area (m^2)]]*H7)/(2*3.14*(72-35))</f>
        <v>358.20120778285417</v>
      </c>
      <c r="J7">
        <f>DatabaseTable3[[#This Row],[Dispersion Coefficient Planet (m^2/yr)]]/365</f>
        <v>0.98137317200781959</v>
      </c>
      <c r="K7">
        <v>100</v>
      </c>
      <c r="L7">
        <v>35</v>
      </c>
      <c r="M7">
        <f>(3.1415*(DatabaseTable3[[#This Row],[Sc]]-DatabaseTable3[[#This Row],[So]])/(DatabaseTable3[[#This Row],[Enet (m/yr)]]))*(2*DatabaseTable3[[#This Row],[Dispersion Coefficient Planet (m^2/yr)]])</f>
        <v>126926.55069719403</v>
      </c>
      <c r="N7">
        <f>LOG(DatabaseTable3[[#This Row],[Vegetated Area Model (m^2)]])</f>
        <v>5.1035524780062902</v>
      </c>
      <c r="P7" s="9" t="s">
        <v>77</v>
      </c>
    </row>
    <row r="8" spans="1:16" x14ac:dyDescent="0.2">
      <c r="A8" t="s">
        <v>15</v>
      </c>
      <c r="B8" t="s">
        <v>112</v>
      </c>
      <c r="C8">
        <v>2979571</v>
      </c>
      <c r="D8">
        <v>3405557</v>
      </c>
      <c r="E8">
        <f>DatabaseTable3[[#This Row],[Vegetated Area from GEP (m^2)]]/DatabaseTable3[[#This Row],[Total island area (m^2)]]</f>
        <v>0.87491444130871987</v>
      </c>
      <c r="F8">
        <f>LOG10(DatabaseTable3[[#This Row],[Vegetated Area from GEP (m^2)]])</f>
        <v>6.4741537386585506</v>
      </c>
      <c r="G8" s="1">
        <v>2529542</v>
      </c>
      <c r="H8">
        <v>0.31887381192570502</v>
      </c>
      <c r="I8">
        <f>(DatabaseTable3[[#This Row],[Red Mangrove Area (m^2)]]*H8)/(2*3.14*(72-35))</f>
        <v>3471.3578067058515</v>
      </c>
      <c r="J8">
        <f>DatabaseTable3[[#This Row],[Dispersion Coefficient Planet (m^2/yr)]]/365</f>
        <v>9.5105693334406887</v>
      </c>
      <c r="K8">
        <v>100</v>
      </c>
      <c r="L8">
        <v>35</v>
      </c>
      <c r="M8">
        <f>(3.1415*(DatabaseTable3[[#This Row],[Sc]]-DatabaseTable3[[#This Row],[So]])/(DatabaseTable3[[#This Row],[Enet (m/yr)]]))*(2*DatabaseTable3[[#This Row],[Dispersion Coefficient Planet (m^2/yr)]])</f>
        <v>4445912.8296178346</v>
      </c>
      <c r="N8">
        <f>LOG(DatabaseTable3[[#This Row],[Vegetated Area Model (m^2)]])</f>
        <v>6.6479609432961499</v>
      </c>
      <c r="P8" s="9" t="s">
        <v>78</v>
      </c>
    </row>
    <row r="9" spans="1:16" x14ac:dyDescent="0.2">
      <c r="A9" t="s">
        <v>16</v>
      </c>
      <c r="B9" t="s">
        <v>113</v>
      </c>
      <c r="C9">
        <v>1197621</v>
      </c>
      <c r="D9">
        <v>1299823</v>
      </c>
      <c r="E9">
        <f>DatabaseTable3[[#This Row],[Vegetated Area from GEP (m^2)]]/DatabaseTable3[[#This Row],[Total island area (m^2)]]</f>
        <v>0.9213723714690385</v>
      </c>
      <c r="F9">
        <f>LOG10(DatabaseTable3[[#This Row],[Vegetated Area from GEP (m^2)]])</f>
        <v>6.0783194026524301</v>
      </c>
      <c r="G9" s="1">
        <v>828207</v>
      </c>
      <c r="H9">
        <v>0.92038931379905498</v>
      </c>
      <c r="I9">
        <f>(DatabaseTable3[[#This Row],[Red Mangrove Area (m^2)]]*H9)/(2*3.14*(72-35))</f>
        <v>3280.5683956514627</v>
      </c>
      <c r="J9">
        <f>DatabaseTable3[[#This Row],[Dispersion Coefficient Planet (m^2/yr)]]/365</f>
        <v>8.9878586182231857</v>
      </c>
      <c r="K9">
        <v>100</v>
      </c>
      <c r="L9">
        <v>35</v>
      </c>
      <c r="M9">
        <f>(3.1415*(DatabaseTable3[[#This Row],[Sc]]-DatabaseTable3[[#This Row],[So]])/(DatabaseTable3[[#This Row],[Enet (m/yr)]]))*(2*DatabaseTable3[[#This Row],[Dispersion Coefficient Planet (m^2/yr)]])</f>
        <v>1455653.2869900155</v>
      </c>
      <c r="N9">
        <f>LOG(DatabaseTable3[[#This Row],[Vegetated Area Model (m^2)]])</f>
        <v>6.163057945390519</v>
      </c>
      <c r="P9" s="9" t="s">
        <v>79</v>
      </c>
    </row>
    <row r="10" spans="1:16" x14ac:dyDescent="0.2">
      <c r="A10" t="s">
        <v>17</v>
      </c>
      <c r="C10">
        <v>295857</v>
      </c>
      <c r="D10">
        <v>321709</v>
      </c>
      <c r="E10">
        <f>DatabaseTable3[[#This Row],[Vegetated Area from GEP (m^2)]]/DatabaseTable3[[#This Row],[Total island area (m^2)]]</f>
        <v>0.91964166373959078</v>
      </c>
      <c r="F10">
        <f>LOG10(DatabaseTable3[[#This Row],[Vegetated Area from GEP (m^2)]])</f>
        <v>5.4710818491763531</v>
      </c>
      <c r="G10" s="1">
        <v>113157</v>
      </c>
      <c r="H10">
        <v>0.98009154376289997</v>
      </c>
      <c r="I10">
        <f>(DatabaseTable3[[#This Row],[Red Mangrove Area (m^2)]]*H10)/(2*3.14*(72-35))</f>
        <v>477.29479608184914</v>
      </c>
      <c r="J10">
        <f>DatabaseTable3[[#This Row],[Dispersion Coefficient Planet (m^2/yr)]]/365</f>
        <v>1.30765697556671</v>
      </c>
      <c r="K10">
        <v>100</v>
      </c>
      <c r="L10">
        <v>35</v>
      </c>
      <c r="M10">
        <f>(3.1415*(DatabaseTable3[[#This Row],[Sc]]-DatabaseTable3[[#This Row],[So]])/(DatabaseTable3[[#This Row],[Enet (m/yr)]]))*(2*DatabaseTable3[[#This Row],[Dispersion Coefficient Planet (m^2/yr)]])</f>
        <v>198884.28737734549</v>
      </c>
      <c r="N10">
        <f>LOG(DatabaseTable3[[#This Row],[Vegetated Area Model (m^2)]])</f>
        <v>5.2986004735474355</v>
      </c>
      <c r="O10" s="3" t="s">
        <v>18</v>
      </c>
      <c r="P10" s="9" t="s">
        <v>80</v>
      </c>
    </row>
    <row r="11" spans="1:16" x14ac:dyDescent="0.2">
      <c r="A11" t="s">
        <v>17</v>
      </c>
      <c r="C11">
        <v>29122</v>
      </c>
      <c r="D11">
        <v>51434</v>
      </c>
      <c r="E11">
        <f>DatabaseTable3[[#This Row],[Vegetated Area from GEP (m^2)]]/DatabaseTable3[[#This Row],[Total island area (m^2)]]</f>
        <v>0.56620134541353973</v>
      </c>
      <c r="F11">
        <f>LOG10(DatabaseTable3[[#This Row],[Vegetated Area from GEP (m^2)]])</f>
        <v>4.4642211975344495</v>
      </c>
      <c r="G11" s="1">
        <v>4104</v>
      </c>
      <c r="H11">
        <v>0.98009154376289986</v>
      </c>
      <c r="I11">
        <f>(DatabaseTable3[[#This Row],[Red Mangrove Area (m^2)]]*H11)/(2*3.14*(72-35))</f>
        <v>17.310620139451458</v>
      </c>
      <c r="J11">
        <f>DatabaseTable3[[#This Row],[Dispersion Coefficient Planet (m^2/yr)]]/365</f>
        <v>4.7426356546442353E-2</v>
      </c>
      <c r="K11">
        <v>100</v>
      </c>
      <c r="L11">
        <v>35</v>
      </c>
      <c r="M11">
        <f>(3.1415*(DatabaseTable3[[#This Row],[Sc]]-DatabaseTable3[[#This Row],[So]])/(DatabaseTable3[[#This Row],[Enet (m/yr)]]))*(2*DatabaseTable3[[#This Row],[Dispersion Coefficient Planet (m^2/yr)]])</f>
        <v>7213.1738681356519</v>
      </c>
      <c r="N11">
        <f>LOG(DatabaseTable3[[#This Row],[Vegetated Area Model (m^2)]])</f>
        <v>3.8581264006583638</v>
      </c>
      <c r="O11" t="s">
        <v>18</v>
      </c>
      <c r="P11" s="9" t="s">
        <v>81</v>
      </c>
    </row>
    <row r="12" spans="1:16" x14ac:dyDescent="0.2">
      <c r="A12" t="s">
        <v>17</v>
      </c>
      <c r="C12">
        <v>241064</v>
      </c>
      <c r="D12">
        <v>387736</v>
      </c>
      <c r="E12">
        <f>DatabaseTable3[[#This Row],[Vegetated Area from GEP (m^2)]]/DatabaseTable3[[#This Row],[Total island area (m^2)]]</f>
        <v>0.62172199640992842</v>
      </c>
      <c r="F12">
        <f>LOG10(DatabaseTable3[[#This Row],[Vegetated Area from GEP (m^2)]])</f>
        <v>5.3821323585785734</v>
      </c>
      <c r="G12" s="1">
        <v>54675</v>
      </c>
      <c r="H12">
        <v>0.98009154376289986</v>
      </c>
      <c r="I12">
        <f>(DatabaseTable3[[#This Row],[Red Mangrove Area (m^2)]]*H12)/(2*3.14*(72-35))</f>
        <v>230.61845909466581</v>
      </c>
      <c r="J12">
        <f>DatabaseTable3[[#This Row],[Dispersion Coefficient Planet (m^2/yr)]]/365</f>
        <v>0.63183139477990635</v>
      </c>
      <c r="K12">
        <v>100</v>
      </c>
      <c r="L12">
        <v>35</v>
      </c>
      <c r="M12">
        <f>(3.1415*(DatabaseTable3[[#This Row],[Sc]]-DatabaseTable3[[#This Row],[So]])/(DatabaseTable3[[#This Row],[Enet (m/yr)]]))*(2*DatabaseTable3[[#This Row],[Dispersion Coefficient Planet (m^2/yr)]])</f>
        <v>96096.559756412462</v>
      </c>
      <c r="N12">
        <f>LOG(DatabaseTable3[[#This Row],[Vegetated Area Model (m^2)]])</f>
        <v>4.9827078402642782</v>
      </c>
      <c r="O12" t="s">
        <v>18</v>
      </c>
      <c r="P12" s="9" t="s">
        <v>82</v>
      </c>
    </row>
    <row r="13" spans="1:16" x14ac:dyDescent="0.2">
      <c r="A13" t="s">
        <v>17</v>
      </c>
      <c r="C13">
        <v>112319</v>
      </c>
      <c r="D13">
        <v>140474</v>
      </c>
      <c r="E13">
        <f>DatabaseTable3[[#This Row],[Vegetated Area from GEP (m^2)]]/DatabaseTable3[[#This Row],[Total island area (m^2)]]</f>
        <v>0.79957145094465876</v>
      </c>
      <c r="F13">
        <f>LOG10(DatabaseTable3[[#This Row],[Vegetated Area from GEP (m^2)]])</f>
        <v>5.0504532281865915</v>
      </c>
      <c r="G13" s="1">
        <v>59490</v>
      </c>
      <c r="H13">
        <v>0.98009154376289986</v>
      </c>
      <c r="I13">
        <f>(DatabaseTable3[[#This Row],[Red Mangrove Area (m^2)]]*H13)/(2*3.14*(72-35))</f>
        <v>250.92806824950469</v>
      </c>
      <c r="J13">
        <f>DatabaseTable3[[#This Row],[Dispersion Coefficient Planet (m^2/yr)]]/365</f>
        <v>0.6874741595876841</v>
      </c>
      <c r="K13">
        <v>100</v>
      </c>
      <c r="L13">
        <v>35</v>
      </c>
      <c r="M13">
        <f>(3.1415*(DatabaseTable3[[#This Row],[Sc]]-DatabaseTable3[[#This Row],[So]])/(DatabaseTable3[[#This Row],[Enet (m/yr)]]))*(2*DatabaseTable3[[#This Row],[Dispersion Coefficient Planet (m^2/yr)]])</f>
        <v>104559.38436047513</v>
      </c>
      <c r="N13">
        <f>LOG(DatabaseTable3[[#This Row],[Vegetated Area Model (m^2)]])</f>
        <v>5.0193630174795691</v>
      </c>
      <c r="O13" t="s">
        <v>19</v>
      </c>
      <c r="P13" s="9" t="s">
        <v>83</v>
      </c>
    </row>
    <row r="14" spans="1:16" x14ac:dyDescent="0.2">
      <c r="A14" t="s">
        <v>17</v>
      </c>
      <c r="C14">
        <v>77645</v>
      </c>
      <c r="D14">
        <v>135257</v>
      </c>
      <c r="E14">
        <f>DatabaseTable3[[#This Row],[Vegetated Area from GEP (m^2)]]/DatabaseTable3[[#This Row],[Total island area (m^2)]]</f>
        <v>0.57405531691520584</v>
      </c>
      <c r="F14">
        <f>LOG10(DatabaseTable3[[#This Row],[Vegetated Area from GEP (m^2)]])</f>
        <v>4.890113494290917</v>
      </c>
      <c r="G14" s="1">
        <v>34968</v>
      </c>
      <c r="H14">
        <v>0.98009154376289986</v>
      </c>
      <c r="I14">
        <f>(DatabaseTable3[[#This Row],[Red Mangrove Area (m^2)]]*H14)/(2*3.14*(72-35))</f>
        <v>147.49458212386418</v>
      </c>
      <c r="J14">
        <f>DatabaseTable3[[#This Row],[Dispersion Coefficient Planet (m^2/yr)]]/365</f>
        <v>0.40409474554483338</v>
      </c>
      <c r="K14">
        <v>100</v>
      </c>
      <c r="L14">
        <v>35</v>
      </c>
      <c r="M14">
        <f>(3.1415*(DatabaseTable3[[#This Row],[Sc]]-DatabaseTable3[[#This Row],[So]])/(DatabaseTable3[[#This Row],[Enet (m/yr)]]))*(2*DatabaseTable3[[#This Row],[Dispersion Coefficient Planet (m^2/yr)]])</f>
        <v>61459.61594078155</v>
      </c>
      <c r="N14">
        <f>LOG(DatabaseTable3[[#This Row],[Vegetated Area Model (m^2)]])</f>
        <v>4.7885898420361999</v>
      </c>
      <c r="O14" t="s">
        <v>18</v>
      </c>
      <c r="P14" s="9" t="s">
        <v>84</v>
      </c>
    </row>
    <row r="15" spans="1:16" x14ac:dyDescent="0.2">
      <c r="A15" t="s">
        <v>17</v>
      </c>
      <c r="C15">
        <v>35737</v>
      </c>
      <c r="D15">
        <v>37028</v>
      </c>
      <c r="E15">
        <f>DatabaseTable3[[#This Row],[Vegetated Area from GEP (m^2)]]/DatabaseTable3[[#This Row],[Total island area (m^2)]]</f>
        <v>0.96513449281624719</v>
      </c>
      <c r="F15">
        <f>LOG10(DatabaseTable3[[#This Row],[Vegetated Area from GEP (m^2)]])</f>
        <v>4.5531180921503056</v>
      </c>
      <c r="G15" s="1">
        <v>23301</v>
      </c>
      <c r="H15">
        <v>0.98009154376289986</v>
      </c>
      <c r="I15">
        <f>(DatabaseTable3[[#This Row],[Red Mangrove Area (m^2)]]*H15)/(2*3.14*(72-35))</f>
        <v>98.283323554911902</v>
      </c>
      <c r="J15">
        <f>DatabaseTable3[[#This Row],[Dispersion Coefficient Planet (m^2/yr)]]/365</f>
        <v>0.26926937960249836</v>
      </c>
      <c r="K15">
        <v>100</v>
      </c>
      <c r="L15">
        <v>35</v>
      </c>
      <c r="M15">
        <f>(3.1415*(DatabaseTable3[[#This Row],[Sc]]-DatabaseTable3[[#This Row],[So]])/(DatabaseTable3[[#This Row],[Enet (m/yr)]]))*(2*DatabaseTable3[[#This Row],[Dispersion Coefficient Planet (m^2/yr)]])</f>
        <v>40953.743738164922</v>
      </c>
      <c r="N15">
        <f>LOG(DatabaseTable3[[#This Row],[Vegetated Area Model (m^2)]])</f>
        <v>4.6122936084288009</v>
      </c>
      <c r="O15" t="s">
        <v>18</v>
      </c>
      <c r="P15" s="9" t="s">
        <v>85</v>
      </c>
    </row>
    <row r="16" spans="1:16" x14ac:dyDescent="0.2">
      <c r="A16" t="s">
        <v>20</v>
      </c>
      <c r="B16" t="s">
        <v>114</v>
      </c>
      <c r="C16">
        <v>579468</v>
      </c>
      <c r="D16">
        <v>617999</v>
      </c>
      <c r="E16">
        <f>DatabaseTable3[[#This Row],[Vegetated Area from GEP (m^2)]]/DatabaseTable3[[#This Row],[Total island area (m^2)]]</f>
        <v>0.93765200267314353</v>
      </c>
      <c r="F16">
        <f>LOG10(DatabaseTable3[[#This Row],[Vegetated Area from GEP (m^2)]])</f>
        <v>5.7630294578886687</v>
      </c>
      <c r="G16" s="2">
        <v>278697</v>
      </c>
      <c r="H16">
        <v>0.86335287540379702</v>
      </c>
      <c r="I16">
        <f>(DatabaseTable3[[#This Row],[Red Mangrove Area (m^2)]]*H16)/(2*3.14*(72-35))</f>
        <v>1035.5218467740231</v>
      </c>
      <c r="J16">
        <f>DatabaseTable3[[#This Row],[Dispersion Coefficient Planet (m^2/yr)]]/365</f>
        <v>2.8370461555452686</v>
      </c>
      <c r="K16">
        <v>100</v>
      </c>
      <c r="L16">
        <v>35</v>
      </c>
      <c r="M16">
        <f>(3.1415*(DatabaseTable3[[#This Row],[Sc]]-DatabaseTable3[[#This Row],[So]])/(DatabaseTable3[[#This Row],[Enet (m/yr)]]))*(2*DatabaseTable3[[#This Row],[Dispersion Coefficient Planet (m^2/yr)]])</f>
        <v>489836.72454381135</v>
      </c>
      <c r="N16">
        <f>LOG(DatabaseTable3[[#This Row],[Vegetated Area Model (m^2)]])</f>
        <v>5.6900513423828771</v>
      </c>
      <c r="P16" s="9" t="s">
        <v>86</v>
      </c>
    </row>
    <row r="17" spans="1:16" x14ac:dyDescent="0.2">
      <c r="A17" t="s">
        <v>21</v>
      </c>
      <c r="C17">
        <v>161227</v>
      </c>
      <c r="D17">
        <v>177239</v>
      </c>
      <c r="E17">
        <f>DatabaseTable3[[#This Row],[Vegetated Area from GEP (m^2)]]/DatabaseTable3[[#This Row],[Total island area (m^2)]]</f>
        <v>0.90965870942625493</v>
      </c>
      <c r="F17">
        <f>LOG10(DatabaseTable3[[#This Row],[Vegetated Area from GEP (m^2)]])</f>
        <v>5.2074377730094499</v>
      </c>
      <c r="G17" s="2">
        <v>76879</v>
      </c>
      <c r="H17">
        <v>0.71682219806846503</v>
      </c>
      <c r="I17">
        <f>(DatabaseTable3[[#This Row],[Red Mangrove Area (m^2)]]*H17)/(2*3.14*(72-35))</f>
        <v>237.168935123539</v>
      </c>
      <c r="J17">
        <f>DatabaseTable3[[#This Row],[Dispersion Coefficient Planet (m^2/yr)]]/365</f>
        <v>0.64977790444805206</v>
      </c>
      <c r="K17">
        <v>100</v>
      </c>
      <c r="L17">
        <v>35</v>
      </c>
      <c r="M17">
        <f>(3.1415*(DatabaseTable3[[#This Row],[Sc]]-DatabaseTable3[[#This Row],[So]])/(DatabaseTable3[[#This Row],[Enet (m/yr)]]))*(2*DatabaseTable3[[#This Row],[Dispersion Coefficient Planet (m^2/yr)]])</f>
        <v>135122.22071354795</v>
      </c>
      <c r="N17">
        <f>LOG(DatabaseTable3[[#This Row],[Vegetated Area Model (m^2)]])</f>
        <v>5.1307267741866536</v>
      </c>
      <c r="P17" s="9" t="s">
        <v>87</v>
      </c>
    </row>
    <row r="18" spans="1:16" x14ac:dyDescent="0.2">
      <c r="A18" t="s">
        <v>21</v>
      </c>
      <c r="C18">
        <v>366635</v>
      </c>
      <c r="D18">
        <v>421560</v>
      </c>
      <c r="E18">
        <f>DatabaseTable3[[#This Row],[Vegetated Area from GEP (m^2)]]/DatabaseTable3[[#This Row],[Total island area (m^2)]]</f>
        <v>0.86971012430021821</v>
      </c>
      <c r="F18">
        <f>LOG10(DatabaseTable3[[#This Row],[Vegetated Area from GEP (m^2)]])</f>
        <v>5.5642339215681282</v>
      </c>
      <c r="G18" s="2">
        <v>190847</v>
      </c>
      <c r="H18">
        <v>0.71682219806846503</v>
      </c>
      <c r="I18">
        <f>(DatabaseTable3[[#This Row],[Red Mangrove Area (m^2)]]*H18)/(2*3.14*(72-35))</f>
        <v>588.7560941417297</v>
      </c>
      <c r="J18">
        <f>DatabaseTable3[[#This Row],[Dispersion Coefficient Planet (m^2/yr)]]/365</f>
        <v>1.6130303949088485</v>
      </c>
      <c r="K18">
        <v>100</v>
      </c>
      <c r="L18">
        <v>35</v>
      </c>
      <c r="M18">
        <f>(3.1415*(DatabaseTable3[[#This Row],[Sc]]-DatabaseTable3[[#This Row],[So]])/(DatabaseTable3[[#This Row],[Enet (m/yr)]]))*(2*DatabaseTable3[[#This Row],[Dispersion Coefficient Planet (m^2/yr)]])</f>
        <v>335431.91842399724</v>
      </c>
      <c r="N18">
        <f>LOG(DatabaseTable3[[#This Row],[Vegetated Area Model (m^2)]])</f>
        <v>5.5256043860454538</v>
      </c>
      <c r="P18" s="9" t="s">
        <v>88</v>
      </c>
    </row>
    <row r="19" spans="1:16" x14ac:dyDescent="0.2">
      <c r="A19" t="s">
        <v>22</v>
      </c>
      <c r="B19" t="s">
        <v>115</v>
      </c>
      <c r="C19">
        <v>1293025</v>
      </c>
      <c r="D19">
        <v>2058331</v>
      </c>
      <c r="E19">
        <f>DatabaseTable3[[#This Row],[Vegetated Area from GEP (m^2)]]/DatabaseTable3[[#This Row],[Total island area (m^2)]]</f>
        <v>0.62819099552015689</v>
      </c>
      <c r="F19">
        <f>LOG10(DatabaseTable3[[#This Row],[Vegetated Area from GEP (m^2)]])</f>
        <v>6.1116069218309637</v>
      </c>
      <c r="G19" s="2">
        <v>1072976</v>
      </c>
      <c r="H19">
        <v>1.0291596190535</v>
      </c>
      <c r="I19">
        <f>(DatabaseTable3[[#This Row],[Red Mangrove Area (m^2)]]*H19)/(2*3.14*(72-35))</f>
        <v>4752.3823868718719</v>
      </c>
      <c r="J19">
        <f>DatabaseTable3[[#This Row],[Dispersion Coefficient Planet (m^2/yr)]]/365</f>
        <v>13.020225717457183</v>
      </c>
      <c r="K19">
        <v>100</v>
      </c>
      <c r="L19">
        <v>35</v>
      </c>
      <c r="M19">
        <f>(3.1415*(DatabaseTable3[[#This Row],[Sc]]-DatabaseTable3[[#This Row],[So]])/(DatabaseTable3[[#This Row],[Enet (m/yr)]]))*(2*DatabaseTable3[[#This Row],[Dispersion Coefficient Planet (m^2/yr)]])</f>
        <v>1885858.295403684</v>
      </c>
      <c r="N19">
        <f>LOG(DatabaseTable3[[#This Row],[Vegetated Area Model (m^2)]])</f>
        <v>6.2755090564626475</v>
      </c>
      <c r="P19" s="9" t="s">
        <v>89</v>
      </c>
    </row>
    <row r="20" spans="1:16" x14ac:dyDescent="0.2">
      <c r="A20" t="s">
        <v>22</v>
      </c>
      <c r="C20">
        <v>42603</v>
      </c>
      <c r="D20">
        <v>146487</v>
      </c>
      <c r="E20">
        <f>DatabaseTable3[[#This Row],[Vegetated Area from GEP (m^2)]]/DatabaseTable3[[#This Row],[Total island area (m^2)]]</f>
        <v>0.29083126830367201</v>
      </c>
      <c r="F20">
        <f>LOG10(DatabaseTable3[[#This Row],[Vegetated Area from GEP (m^2)]])</f>
        <v>4.6294401821443074</v>
      </c>
      <c r="G20" s="1">
        <v>19881</v>
      </c>
      <c r="H20">
        <v>1.0291596190535044</v>
      </c>
      <c r="I20">
        <f>(DatabaseTable3[[#This Row],[Red Mangrove Area (m^2)]]*H20)/(2*3.14*(72-35))</f>
        <v>88.056130084363573</v>
      </c>
      <c r="J20">
        <f>DatabaseTable3[[#This Row],[Dispersion Coefficient Planet (m^2/yr)]]/365</f>
        <v>0.2412496714640098</v>
      </c>
      <c r="K20">
        <v>100</v>
      </c>
      <c r="L20">
        <v>35</v>
      </c>
      <c r="M20">
        <f>(3.1415*(DatabaseTable3[[#This Row],[Sc]]-DatabaseTable3[[#This Row],[So]])/(DatabaseTable3[[#This Row],[Enet (m/yr)]]))*(2*DatabaseTable3[[#This Row],[Dispersion Coefficient Planet (m^2/yr)]])</f>
        <v>34942.765514718543</v>
      </c>
      <c r="N20">
        <f>LOG(DatabaseTable3[[#This Row],[Vegetated Area Model (m^2)]])</f>
        <v>4.5433572738653636</v>
      </c>
      <c r="P20" s="9" t="s">
        <v>90</v>
      </c>
    </row>
    <row r="21" spans="1:16" x14ac:dyDescent="0.2">
      <c r="A21" t="s">
        <v>17</v>
      </c>
      <c r="B21" t="s">
        <v>102</v>
      </c>
      <c r="C21">
        <v>136350</v>
      </c>
      <c r="D21">
        <v>138045.5</v>
      </c>
      <c r="E21">
        <f>DatabaseTable3[[#This Row],[Vegetated Area from GEP (m^2)]]/DatabaseTable3[[#This Row],[Total island area (m^2)]]</f>
        <v>0.98771781767605604</v>
      </c>
      <c r="F21">
        <f>LOG10(DatabaseTable3[[#This Row],[Vegetated Area from GEP (m^2)]])</f>
        <v>5.1346551422776487</v>
      </c>
      <c r="G21" s="1">
        <v>63954</v>
      </c>
      <c r="H21">
        <v>0.98009154376289986</v>
      </c>
      <c r="I21">
        <f>(DatabaseTable3[[#This Row],[Red Mangrove Area (m^2)]]*H21)/(2*3.14*(72-35))</f>
        <v>269.75716383978522</v>
      </c>
      <c r="J21">
        <f>DatabaseTable3[[#This Row],[Dispersion Coefficient Planet (m^2/yr)]]/365</f>
        <v>0.73906072284872659</v>
      </c>
      <c r="K21">
        <v>100</v>
      </c>
      <c r="L21">
        <v>35</v>
      </c>
      <c r="M21">
        <f>(3.1415*(DatabaseTable3[[#This Row],[Sc]]-DatabaseTable3[[#This Row],[So]])/(DatabaseTable3[[#This Row],[Enet (m/yr)]]))*(2*DatabaseTable3[[#This Row],[Dispersion Coefficient Planet (m^2/yr)]])</f>
        <v>112405.29277844724</v>
      </c>
      <c r="N21">
        <f>LOG(DatabaseTable3[[#This Row],[Vegetated Area Model (m^2)]])</f>
        <v>5.0507867611472381</v>
      </c>
      <c r="O21" t="s">
        <v>18</v>
      </c>
      <c r="P21" s="9" t="s">
        <v>91</v>
      </c>
    </row>
    <row r="22" spans="1:16" x14ac:dyDescent="0.2">
      <c r="A22" t="s">
        <v>17</v>
      </c>
      <c r="B22" t="s">
        <v>103</v>
      </c>
      <c r="C22">
        <v>544291</v>
      </c>
      <c r="D22">
        <v>553930</v>
      </c>
      <c r="E22">
        <f>DatabaseTable3[[#This Row],[Vegetated Area from GEP (m^2)]]/DatabaseTable3[[#This Row],[Total island area (m^2)]]</f>
        <v>0.98259888433556586</v>
      </c>
      <c r="F22">
        <f>LOG10(DatabaseTable3[[#This Row],[Vegetated Area from GEP (m^2)]])</f>
        <v>5.735831153198844</v>
      </c>
      <c r="G22" s="1">
        <v>24051</v>
      </c>
      <c r="H22">
        <v>0.98009154376289986</v>
      </c>
      <c r="I22">
        <f>(DatabaseTable3[[#This Row],[Red Mangrove Area (m^2)]]*H22)/(2*3.14*(72-35))</f>
        <v>101.44681407747248</v>
      </c>
      <c r="J22">
        <f>DatabaseTable3[[#This Row],[Dispersion Coefficient Planet (m^2/yr)]]/365</f>
        <v>0.27793647692458212</v>
      </c>
      <c r="K22">
        <v>100</v>
      </c>
      <c r="L22">
        <v>35</v>
      </c>
      <c r="M22">
        <f>(3.1415*(DatabaseTable3[[#This Row],[Sc]]-DatabaseTable3[[#This Row],[So]])/(DatabaseTable3[[#This Row],[Enet (m/yr)]]))*(2*DatabaseTable3[[#This Row],[Dispersion Coefficient Planet (m^2/yr)]])</f>
        <v>42271.940716990881</v>
      </c>
      <c r="N22">
        <f>LOG(DatabaseTable3[[#This Row],[Vegetated Area Model (m^2)]])</f>
        <v>4.6260521868716546</v>
      </c>
      <c r="O22" t="s">
        <v>18</v>
      </c>
      <c r="P22" s="9" t="s">
        <v>92</v>
      </c>
    </row>
    <row r="23" spans="1:16" x14ac:dyDescent="0.2">
      <c r="A23" t="s">
        <v>17</v>
      </c>
      <c r="B23" t="s">
        <v>104</v>
      </c>
      <c r="C23">
        <v>252404</v>
      </c>
      <c r="D23">
        <v>636838</v>
      </c>
      <c r="E23">
        <f>DatabaseTable3[[#This Row],[Vegetated Area from GEP (m^2)]]/DatabaseTable3[[#This Row],[Total island area (m^2)]]</f>
        <v>0.39633941441936565</v>
      </c>
      <c r="F23">
        <f>LOG10(DatabaseTable3[[#This Row],[Vegetated Area from GEP (m^2)]])</f>
        <v>5.4020962331559419</v>
      </c>
      <c r="G23" s="1">
        <v>104904</v>
      </c>
      <c r="H23">
        <v>0.98009154376289986</v>
      </c>
      <c r="I23">
        <f>(DatabaseTable3[[#This Row],[Red Mangrove Area (m^2)]]*H23)/(2*3.14*(72-35))</f>
        <v>442.48374637159253</v>
      </c>
      <c r="J23">
        <f>DatabaseTable3[[#This Row],[Dispersion Coefficient Planet (m^2/yr)]]/365</f>
        <v>1.2122842366345001</v>
      </c>
      <c r="K23">
        <v>100</v>
      </c>
      <c r="L23">
        <v>35</v>
      </c>
      <c r="M23">
        <f>(3.1415*(DatabaseTable3[[#This Row],[Sc]]-DatabaseTable3[[#This Row],[So]])/(DatabaseTable3[[#This Row],[Enet (m/yr)]]))*(2*DatabaseTable3[[#This Row],[Dispersion Coefficient Planet (m^2/yr)]])</f>
        <v>184378.84782234466</v>
      </c>
      <c r="N23">
        <f>LOG(DatabaseTable3[[#This Row],[Vegetated Area Model (m^2)]])</f>
        <v>5.2657110967558625</v>
      </c>
      <c r="O23" t="s">
        <v>18</v>
      </c>
      <c r="P23" s="9" t="s">
        <v>93</v>
      </c>
    </row>
    <row r="24" spans="1:16" x14ac:dyDescent="0.2">
      <c r="A24" t="s">
        <v>17</v>
      </c>
      <c r="B24" t="s">
        <v>105</v>
      </c>
      <c r="C24">
        <v>75396</v>
      </c>
      <c r="D24">
        <v>99877</v>
      </c>
      <c r="E24">
        <f>DatabaseTable3[[#This Row],[Vegetated Area from GEP (m^2)]]/DatabaseTable3[[#This Row],[Total island area (m^2)]]</f>
        <v>0.75488851287083114</v>
      </c>
      <c r="F24">
        <f>LOG10(DatabaseTable3[[#This Row],[Vegetated Area from GEP (m^2)]])</f>
        <v>4.8773483057635643</v>
      </c>
      <c r="G24" s="1">
        <v>35631</v>
      </c>
      <c r="H24">
        <v>0.98009154376289986</v>
      </c>
      <c r="I24">
        <f>(DatabaseTable3[[#This Row],[Red Mangrove Area (m^2)]]*H24)/(2*3.14*(72-35))</f>
        <v>150.29110774580772</v>
      </c>
      <c r="J24">
        <f>DatabaseTable3[[#This Row],[Dispersion Coefficient Planet (m^2/yr)]]/365</f>
        <v>0.41175645957755541</v>
      </c>
      <c r="K24">
        <v>100</v>
      </c>
      <c r="L24">
        <v>35</v>
      </c>
      <c r="M24">
        <f>(3.1415*(DatabaseTable3[[#This Row],[Sc]]-DatabaseTable3[[#This Row],[So]])/(DatabaseTable3[[#This Row],[Enet (m/yr)]]))*(2*DatabaseTable3[[#This Row],[Dispersion Coefficient Planet (m^2/yr)]])</f>
        <v>62624.902070063697</v>
      </c>
      <c r="N24">
        <f>LOG(DatabaseTable3[[#This Row],[Vegetated Area Model (m^2)]])</f>
        <v>4.7967470597461332</v>
      </c>
      <c r="O24" t="s">
        <v>18</v>
      </c>
      <c r="P24" s="9" t="s">
        <v>94</v>
      </c>
    </row>
    <row r="25" spans="1:16" x14ac:dyDescent="0.2">
      <c r="A25" t="s">
        <v>17</v>
      </c>
      <c r="B25" t="s">
        <v>106</v>
      </c>
      <c r="C25">
        <v>120650</v>
      </c>
      <c r="D25">
        <v>121718</v>
      </c>
      <c r="E25">
        <f>DatabaseTable3[[#This Row],[Vegetated Area from GEP (m^2)]]/DatabaseTable3[[#This Row],[Total island area (m^2)]]</f>
        <v>0.99122561987544977</v>
      </c>
      <c r="F25">
        <f>LOG10(DatabaseTable3[[#This Row],[Vegetated Area from GEP (m^2)]])</f>
        <v>5.0815273262448049</v>
      </c>
      <c r="G25" s="1">
        <v>46512</v>
      </c>
      <c r="H25">
        <v>0.98009154376289986</v>
      </c>
      <c r="I25">
        <f>(DatabaseTable3[[#This Row],[Red Mangrove Area (m^2)]]*H25)/(2*3.14*(72-35))</f>
        <v>196.18702824711653</v>
      </c>
      <c r="J25">
        <f>DatabaseTable3[[#This Row],[Dispersion Coefficient Planet (m^2/yr)]]/365</f>
        <v>0.53749870752634665</v>
      </c>
      <c r="K25">
        <v>100</v>
      </c>
      <c r="L25">
        <v>35</v>
      </c>
      <c r="M25">
        <f>(3.1415*(DatabaseTable3[[#This Row],[Sc]]-DatabaseTable3[[#This Row],[So]])/(DatabaseTable3[[#This Row],[Enet (m/yr)]]))*(2*DatabaseTable3[[#This Row],[Dispersion Coefficient Planet (m^2/yr)]])</f>
        <v>81749.303838870721</v>
      </c>
      <c r="N25">
        <f>LOG(DatabaseTable3[[#This Row],[Vegetated Area Model (m^2)]])</f>
        <v>4.9124840629809565</v>
      </c>
      <c r="O25" t="s">
        <v>18</v>
      </c>
      <c r="P25" s="9" t="s">
        <v>95</v>
      </c>
    </row>
    <row r="26" spans="1:16" x14ac:dyDescent="0.2">
      <c r="A26" t="s">
        <v>17</v>
      </c>
      <c r="B26" t="s">
        <v>107</v>
      </c>
      <c r="C26">
        <v>106110</v>
      </c>
      <c r="D26">
        <v>229855</v>
      </c>
      <c r="E26">
        <f>DatabaseTable3[[#This Row],[Vegetated Area from GEP (m^2)]]/DatabaseTable3[[#This Row],[Total island area (m^2)]]</f>
        <v>0.46163885928085097</v>
      </c>
      <c r="F26">
        <f>LOG10(DatabaseTable3[[#This Row],[Vegetated Area from GEP (m^2)]])</f>
        <v>5.025756314534414</v>
      </c>
      <c r="G26" s="1">
        <v>39042</v>
      </c>
      <c r="H26">
        <v>0.98009154376289986</v>
      </c>
      <c r="I26">
        <f>(DatabaseTable3[[#This Row],[Red Mangrove Area (m^2)]]*H26)/(2*3.14*(72-35))</f>
        <v>164.6786626424132</v>
      </c>
      <c r="J26">
        <f>DatabaseTable3[[#This Row],[Dispersion Coefficient Planet (m^2/yr)]]/365</f>
        <v>0.45117441819839232</v>
      </c>
      <c r="K26">
        <v>100</v>
      </c>
      <c r="L26">
        <v>35</v>
      </c>
      <c r="M26">
        <f>(3.1415*(DatabaseTable3[[#This Row],[Sc]]-DatabaseTable3[[#This Row],[So]])/(DatabaseTable3[[#This Row],[Enet (m/yr)]]))*(2*DatabaseTable3[[#This Row],[Dispersion Coefficient Planet (m^2/yr)]])</f>
        <v>68620.061929764153</v>
      </c>
      <c r="N26">
        <f>LOG(DatabaseTable3[[#This Row],[Vegetated Area Model (m^2)]])</f>
        <v>4.8364511056721033</v>
      </c>
      <c r="O26" t="s">
        <v>18</v>
      </c>
      <c r="P26" s="9" t="s">
        <v>96</v>
      </c>
    </row>
    <row r="27" spans="1:16" x14ac:dyDescent="0.2">
      <c r="A27" t="s">
        <v>17</v>
      </c>
      <c r="B27" t="s">
        <v>108</v>
      </c>
      <c r="C27">
        <v>74044</v>
      </c>
      <c r="D27">
        <v>110299</v>
      </c>
      <c r="E27">
        <f>DatabaseTable3[[#This Row],[Vegetated Area from GEP (m^2)]]/DatabaseTable3[[#This Row],[Total island area (m^2)]]</f>
        <v>0.67130255034043829</v>
      </c>
      <c r="F27">
        <f>LOG10(DatabaseTable3[[#This Row],[Vegetated Area from GEP (m^2)]])</f>
        <v>4.8694898721419673</v>
      </c>
      <c r="G27" s="1">
        <v>14517</v>
      </c>
      <c r="H27">
        <v>0.98009154376289986</v>
      </c>
      <c r="I27">
        <f>(DatabaseTable3[[#This Row],[Red Mangrove Area (m^2)]]*H27)/(2*3.14*(72-35))</f>
        <v>61.232522554682461</v>
      </c>
      <c r="J27">
        <f>DatabaseTable3[[#This Row],[Dispersion Coefficient Planet (m^2/yr)]]/365</f>
        <v>0.16776033576625332</v>
      </c>
      <c r="K27">
        <v>100</v>
      </c>
      <c r="L27">
        <v>35</v>
      </c>
      <c r="M27">
        <f>(3.1415*(DatabaseTable3[[#This Row],[Sc]]-DatabaseTable3[[#This Row],[So]])/(DatabaseTable3[[#This Row],[Enet (m/yr)]]))*(2*DatabaseTable3[[#This Row],[Dispersion Coefficient Planet (m^2/yr)]])</f>
        <v>25515.020722155277</v>
      </c>
      <c r="N27">
        <f>LOG(DatabaseTable3[[#This Row],[Vegetated Area Model (m^2)]])</f>
        <v>4.4067959253828901</v>
      </c>
      <c r="O27" t="s">
        <v>18</v>
      </c>
      <c r="P27" s="9" t="s">
        <v>97</v>
      </c>
    </row>
    <row r="28" spans="1:16" x14ac:dyDescent="0.2">
      <c r="A28" t="s">
        <v>17</v>
      </c>
      <c r="B28" t="s">
        <v>109</v>
      </c>
      <c r="C28">
        <v>737302</v>
      </c>
      <c r="D28">
        <v>797543</v>
      </c>
      <c r="E28">
        <f>DatabaseTable3[[#This Row],[Vegetated Area from GEP (m^2)]]/DatabaseTable3[[#This Row],[Total island area (m^2)]]</f>
        <v>0.92446676856294896</v>
      </c>
      <c r="F28">
        <f>LOG10(DatabaseTable3[[#This Row],[Vegetated Area from GEP (m^2)]])</f>
        <v>5.8676454119687245</v>
      </c>
      <c r="G28" s="1">
        <v>666630</v>
      </c>
      <c r="H28">
        <v>0.98009154376289986</v>
      </c>
      <c r="I28">
        <f>(DatabaseTable3[[#This Row],[Red Mangrove Area (m^2)]]*H28)/(2*3.14*(72-35))</f>
        <v>2811.8369160727402</v>
      </c>
      <c r="J28">
        <f>DatabaseTable3[[#This Row],[Dispersion Coefficient Planet (m^2/yr)]]/365</f>
        <v>7.7036627837609322</v>
      </c>
      <c r="K28">
        <v>100</v>
      </c>
      <c r="L28">
        <v>35</v>
      </c>
      <c r="M28">
        <f>(3.1415*(DatabaseTable3[[#This Row],[Sc]]-DatabaseTable3[[#This Row],[So]])/(DatabaseTable3[[#This Row],[Enet (m/yr)]]))*(2*DatabaseTable3[[#This Row],[Dispersion Coefficient Planet (m^2/yr)]])</f>
        <v>1171666.2026596661</v>
      </c>
      <c r="N28">
        <f>LOG(DatabaseTable3[[#This Row],[Vegetated Area Model (m^2)]])</f>
        <v>6.0688039026455236</v>
      </c>
      <c r="O28" t="s">
        <v>23</v>
      </c>
      <c r="P28" s="9" t="s">
        <v>98</v>
      </c>
    </row>
    <row r="29" spans="1:16" x14ac:dyDescent="0.2">
      <c r="A29" t="s">
        <v>17</v>
      </c>
      <c r="B29" t="s">
        <v>110</v>
      </c>
      <c r="C29">
        <v>195762</v>
      </c>
      <c r="D29">
        <v>219211</v>
      </c>
      <c r="E29">
        <f>DatabaseTable3[[#This Row],[Vegetated Area from GEP (m^2)]]/DatabaseTable3[[#This Row],[Total island area (m^2)]]</f>
        <v>0.893030003056416</v>
      </c>
      <c r="F29">
        <f>LOG10(DatabaseTable3[[#This Row],[Vegetated Area from GEP (m^2)]])</f>
        <v>5.2917283933304864</v>
      </c>
      <c r="G29" s="1">
        <v>153199</v>
      </c>
      <c r="H29">
        <v>0.98009154376289986</v>
      </c>
      <c r="I29">
        <f>(DatabaseTable3[[#This Row],[Red Mangrove Area (m^2)]]*H29)/(2*3.14*(72-35))</f>
        <v>646.19144608767647</v>
      </c>
      <c r="J29">
        <f>DatabaseTable3[[#This Row],[Dispersion Coefficient Planet (m^2/yr)]]/365</f>
        <v>1.7703875235278808</v>
      </c>
      <c r="K29">
        <v>100</v>
      </c>
      <c r="L29">
        <v>35</v>
      </c>
      <c r="M29">
        <f>(3.1415*(DatabaseTable3[[#This Row],[Sc]]-DatabaseTable3[[#This Row],[So]])/(DatabaseTable3[[#This Row],[Enet (m/yr)]]))*(2*DatabaseTable3[[#This Row],[Dispersion Coefficient Planet (m^2/yr)]])</f>
        <v>269261.94527887763</v>
      </c>
      <c r="N29">
        <f>LOG(DatabaseTable3[[#This Row],[Vegetated Area Model (m^2)]])</f>
        <v>5.430174979021559</v>
      </c>
      <c r="O29" t="s">
        <v>23</v>
      </c>
      <c r="P29" s="9" t="s">
        <v>99</v>
      </c>
    </row>
    <row r="30" spans="1:16" x14ac:dyDescent="0.2">
      <c r="A30" t="s">
        <v>17</v>
      </c>
      <c r="B30" t="s">
        <v>111</v>
      </c>
      <c r="C30">
        <v>62553</v>
      </c>
      <c r="D30">
        <v>83055</v>
      </c>
      <c r="E30">
        <f>DatabaseTable3[[#This Row],[Vegetated Area from GEP (m^2)]]/DatabaseTable3[[#This Row],[Total island area (m^2)]]</f>
        <v>0.75315152609716451</v>
      </c>
      <c r="F30">
        <f>LOG10(DatabaseTable3[[#This Row],[Vegetated Area from GEP (m^2)]])</f>
        <v>4.7962481430015007</v>
      </c>
      <c r="G30" s="1">
        <v>36423</v>
      </c>
      <c r="H30">
        <v>0.98009154376289986</v>
      </c>
      <c r="I30">
        <f>(DatabaseTable3[[#This Row],[Red Mangrove Area (m^2)]]*H30)/(2*3.14*(72-35))</f>
        <v>153.6317537376317</v>
      </c>
      <c r="J30">
        <f>DatabaseTable3[[#This Row],[Dispersion Coefficient Planet (m^2/yr)]]/365</f>
        <v>0.42090891434967587</v>
      </c>
      <c r="K30">
        <v>100</v>
      </c>
      <c r="L30">
        <v>35</v>
      </c>
      <c r="M30">
        <f>(3.1415*(DatabaseTable3[[#This Row],[Sc]]-DatabaseTable3[[#This Row],[So]])/(DatabaseTable3[[#This Row],[Enet (m/yr)]]))*(2*DatabaseTable3[[#This Row],[Dispersion Coefficient Planet (m^2/yr)]])</f>
        <v>64016.918079703915</v>
      </c>
      <c r="N30">
        <f>LOG(DatabaseTable3[[#This Row],[Vegetated Area Model (m^2)]])</f>
        <v>4.8062947623854955</v>
      </c>
      <c r="O30" t="s">
        <v>23</v>
      </c>
      <c r="P30" s="9" t="s">
        <v>100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1157-DA6E-F247-B111-D5ADBC6B334D}">
  <dimension ref="A1:T30"/>
  <sheetViews>
    <sheetView workbookViewId="0">
      <selection activeCell="B1" sqref="B1:B1048576"/>
    </sheetView>
  </sheetViews>
  <sheetFormatPr baseColWidth="10" defaultRowHeight="16" x14ac:dyDescent="0.2"/>
  <cols>
    <col min="1" max="1" width="22.6640625" customWidth="1"/>
    <col min="2" max="4" width="26.6640625" customWidth="1"/>
    <col min="5" max="5" width="12.1640625" bestFit="1" customWidth="1"/>
    <col min="6" max="6" width="22.5" customWidth="1"/>
    <col min="7" max="7" width="12.1640625" bestFit="1" customWidth="1"/>
    <col min="8" max="11" width="26" customWidth="1"/>
    <col min="12" max="12" width="6.83203125" customWidth="1"/>
    <col min="13" max="13" width="8" customWidth="1"/>
    <col min="14" max="16" width="24.5" customWidth="1"/>
    <col min="17" max="19" width="22.83203125" customWidth="1"/>
    <col min="20" max="20" width="13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</v>
      </c>
      <c r="K1" t="s">
        <v>66</v>
      </c>
      <c r="L1" t="s">
        <v>9</v>
      </c>
      <c r="M1" t="s">
        <v>10</v>
      </c>
      <c r="N1" t="s">
        <v>11</v>
      </c>
      <c r="O1" t="s">
        <v>69</v>
      </c>
      <c r="P1" t="s">
        <v>70</v>
      </c>
      <c r="Q1" t="s">
        <v>12</v>
      </c>
      <c r="R1" t="s">
        <v>67</v>
      </c>
      <c r="S1" t="s">
        <v>68</v>
      </c>
      <c r="T1" t="s">
        <v>13</v>
      </c>
    </row>
    <row r="2" spans="1:20" x14ac:dyDescent="0.2">
      <c r="A2" t="s">
        <v>14</v>
      </c>
      <c r="B2">
        <v>8487</v>
      </c>
      <c r="C2">
        <v>13661</v>
      </c>
      <c r="D2">
        <f>DatabaseTable36[[#This Row],[Vegetated Area from GEP (m^2)]]/DatabaseTable36[[#This Row],[Total island area (m^2)]]</f>
        <v>0.62125759461240027</v>
      </c>
      <c r="E2">
        <f>LOG10(DatabaseTable36[[#This Row],[Vegetated Area from GEP (m^2)]])</f>
        <v>3.9287542021766533</v>
      </c>
      <c r="F2" s="1">
        <v>5454</v>
      </c>
      <c r="G2">
        <v>1.15253728592589</v>
      </c>
      <c r="H2">
        <f>(DatabaseTable36[[#This Row],[Red Mangrove Area (m^2)]]*G2)/(2*3.14*(72-35))</f>
        <v>27.052583738336221</v>
      </c>
      <c r="I2">
        <f>DatabaseTable36[[#This Row],[Dispersion Coefficient Planet (m^2/yr)]]/365</f>
        <v>7.411666777626362E-2</v>
      </c>
      <c r="J2">
        <f>DatabaseTable36[[#This Row],[Dispersion Coefficient Planet (m^2/yr)]]+(DatabaseTable36[[#This Row],[Dispersion Coefficient Planet (m^2/yr)]]*0.5)</f>
        <v>40.57887560750433</v>
      </c>
      <c r="K2">
        <f>DatabaseTable36[[#This Row],[Dispersion Coefficient Planet (m^2/yr)]]-(DatabaseTable36[[#This Row],[Dispersion Coefficient Planet (m^2/yr)]]*0.5)</f>
        <v>13.52629186916811</v>
      </c>
      <c r="L2">
        <v>100</v>
      </c>
      <c r="M2">
        <v>35</v>
      </c>
      <c r="N2">
        <f>(3.1415*(DatabaseTable36[[#This Row],[Sc]]-DatabaseTable36[[#This Row],[So]])/(DatabaseTable36[[#This Row],[Enet (m/yr)]]))*(2*DatabaseTable36[[#This Row],[Dispersion Coefficient Planet (m^2/yr)]])</f>
        <v>9585.9284300223808</v>
      </c>
      <c r="O2">
        <f>(3.1415*(DatabaseTable36[[#This Row],[Sc]]-DatabaseTable36[[#This Row],[So]])/(DatabaseTable36[[#This Row],[Enet (m/yr)]]))*(2*DatabaseTable36[[#This Row],[Dispersion increase 50 percent]])</f>
        <v>14378.892645033571</v>
      </c>
      <c r="P2">
        <f>(3.1415*(DatabaseTable36[[#This Row],[Sc]]-DatabaseTable36[[#This Row],[So]])/(DatabaseTable36[[#This Row],[Enet (m/yr)]]))*(2*DatabaseTable36[[#This Row],[Dispersion decrease 50 percent]])</f>
        <v>4792.9642150111904</v>
      </c>
      <c r="Q2">
        <f>LOG(DatabaseTable36[[#This Row],[Vegetated Area Model (m^2)]])</f>
        <v>3.981634182160215</v>
      </c>
      <c r="R2">
        <f>LOG(DatabaseTable36[[#This Row],[Vegetated Area Model (m^2)_DCIncrease]])</f>
        <v>4.1577254412158959</v>
      </c>
      <c r="S2">
        <f>LOG(DatabaseTable36[[#This Row],[Vegetated Area Model (m^2)_DCDecrease]])</f>
        <v>3.6806041864962338</v>
      </c>
    </row>
    <row r="3" spans="1:20" x14ac:dyDescent="0.2">
      <c r="A3" t="s">
        <v>14</v>
      </c>
      <c r="B3">
        <v>7174</v>
      </c>
      <c r="C3">
        <v>9045</v>
      </c>
      <c r="D3">
        <f>DatabaseTable36[[#This Row],[Vegetated Area from GEP (m^2)]]/DatabaseTable36[[#This Row],[Total island area (m^2)]]</f>
        <v>0.79314538419016034</v>
      </c>
      <c r="E3">
        <f>LOG10(DatabaseTable36[[#This Row],[Vegetated Area from GEP (m^2)]])</f>
        <v>3.855761372339948</v>
      </c>
      <c r="F3" s="1">
        <v>4473</v>
      </c>
      <c r="G3">
        <v>1.1525372859258889</v>
      </c>
      <c r="H3">
        <f>(DatabaseTable36[[#This Row],[Red Mangrove Area (m^2)]]*G3)/(2*3.14*(72-35))</f>
        <v>22.186689963618957</v>
      </c>
      <c r="I3">
        <f>DatabaseTable36[[#This Row],[Dispersion Coefficient Planet (m^2/yr)]]/365</f>
        <v>6.0785451955120431E-2</v>
      </c>
      <c r="J3">
        <f>DatabaseTable36[[#This Row],[Dispersion Coefficient Planet (m^2/yr)]]+(DatabaseTable36[[#This Row],[Dispersion Coefficient Planet (m^2/yr)]]*0.5)</f>
        <v>33.280034945428433</v>
      </c>
      <c r="K3">
        <f>DatabaseTable36[[#This Row],[Dispersion Coefficient Planet (m^2/yr)]]-(DatabaseTable36[[#This Row],[Dispersion Coefficient Planet (m^2/yr)]]*0.5)</f>
        <v>11.093344981809478</v>
      </c>
      <c r="L3">
        <v>100</v>
      </c>
      <c r="M3">
        <v>35</v>
      </c>
      <c r="N3">
        <f>(3.1415*(DatabaseTable36[[#This Row],[Sc]]-DatabaseTable36[[#This Row],[So]])/(DatabaseTable36[[#This Row],[Enet (m/yr)]]))*(2*DatabaseTable36[[#This Row],[Dispersion Coefficient Planet (m^2/yr)]])</f>
        <v>7861.7267817180245</v>
      </c>
      <c r="O3">
        <f>(3.1415*(DatabaseTable36[[#This Row],[Sc]]-DatabaseTable36[[#This Row],[So]])/(DatabaseTable36[[#This Row],[Enet (m/yr)]]))*(2*DatabaseTable36[[#This Row],[Dispersion increase 50 percent]])</f>
        <v>11792.590172577036</v>
      </c>
      <c r="P3">
        <f>(3.1415*(DatabaseTable36[[#This Row],[Sc]]-DatabaseTable36[[#This Row],[So]])/(DatabaseTable36[[#This Row],[Enet (m/yr)]]))*(2*DatabaseTable36[[#This Row],[Dispersion decrease 50 percent]])</f>
        <v>3930.8633908590123</v>
      </c>
      <c r="Q3">
        <f>LOG(DatabaseTable36[[#This Row],[Vegetated Area Model (m^2)]])</f>
        <v>3.8955179467272609</v>
      </c>
      <c r="R3">
        <f>LOG(DatabaseTable36[[#This Row],[Vegetated Area Model (m^2)_DCIncrease]])</f>
        <v>4.0716092057829423</v>
      </c>
      <c r="S3">
        <f>LOG(DatabaseTable36[[#This Row],[Vegetated Area Model (m^2)_DCDecrease]])</f>
        <v>3.5944879510632797</v>
      </c>
    </row>
    <row r="4" spans="1:20" x14ac:dyDescent="0.2">
      <c r="A4" t="s">
        <v>14</v>
      </c>
      <c r="B4">
        <v>17014</v>
      </c>
      <c r="C4">
        <v>20878</v>
      </c>
      <c r="D4">
        <f>DatabaseTable36[[#This Row],[Vegetated Area from GEP (m^2)]]/DatabaseTable36[[#This Row],[Total island area (m^2)]]</f>
        <v>0.81492480122617106</v>
      </c>
      <c r="E4">
        <f>LOG10(DatabaseTable36[[#This Row],[Vegetated Area from GEP (m^2)]])</f>
        <v>4.2308064284688829</v>
      </c>
      <c r="F4" s="2">
        <v>15090</v>
      </c>
      <c r="G4">
        <v>1.1525372859258889</v>
      </c>
      <c r="H4">
        <f>(DatabaseTable36[[#This Row],[Red Mangrove Area (m^2)]]*G4)/(2*3.14*(72-35))</f>
        <v>74.848457757882869</v>
      </c>
      <c r="I4">
        <f>DatabaseTable36[[#This Row],[Dispersion Coefficient Planet (m^2/yr)]]/365</f>
        <v>0.20506426782981607</v>
      </c>
      <c r="J4">
        <f>DatabaseTable36[[#This Row],[Dispersion Coefficient Planet (m^2/yr)]]+(DatabaseTable36[[#This Row],[Dispersion Coefficient Planet (m^2/yr)]]*0.5)</f>
        <v>112.2726866368243</v>
      </c>
      <c r="K4">
        <f>DatabaseTable36[[#This Row],[Dispersion Coefficient Planet (m^2/yr)]]-(DatabaseTable36[[#This Row],[Dispersion Coefficient Planet (m^2/yr)]]*0.5)</f>
        <v>37.424228878941435</v>
      </c>
      <c r="L4">
        <v>100</v>
      </c>
      <c r="M4">
        <v>35</v>
      </c>
      <c r="N4">
        <f>(3.1415*(DatabaseTable36[[#This Row],[Sc]]-DatabaseTable36[[#This Row],[So]])/(DatabaseTable36[[#This Row],[Enet (m/yr)]]))*(2*DatabaseTable36[[#This Row],[Dispersion Coefficient Planet (m^2/yr)]])</f>
        <v>26522.123213978313</v>
      </c>
      <c r="O4">
        <f>(3.1415*(DatabaseTable36[[#This Row],[Sc]]-DatabaseTable36[[#This Row],[So]])/(DatabaseTable36[[#This Row],[Enet (m/yr)]]))*(2*DatabaseTable36[[#This Row],[Dispersion increase 50 percent]])</f>
        <v>39783.184820967472</v>
      </c>
      <c r="P4">
        <f>(3.1415*(DatabaseTable36[[#This Row],[Sc]]-DatabaseTable36[[#This Row],[So]])/(DatabaseTable36[[#This Row],[Enet (m/yr)]]))*(2*DatabaseTable36[[#This Row],[Dispersion decrease 50 percent]])</f>
        <v>13261.061606989157</v>
      </c>
      <c r="Q4">
        <f>LOG(DatabaseTable36[[#This Row],[Vegetated Area Model (m^2)]])</f>
        <v>4.4236082883301933</v>
      </c>
      <c r="R4">
        <f>LOG(DatabaseTable36[[#This Row],[Vegetated Area Model (m^2)_DCIncrease]])</f>
        <v>4.5996995473858746</v>
      </c>
      <c r="S4">
        <f>LOG(DatabaseTable36[[#This Row],[Vegetated Area Model (m^2)_DCDecrease]])</f>
        <v>4.122578292666212</v>
      </c>
    </row>
    <row r="5" spans="1:20" x14ac:dyDescent="0.2">
      <c r="A5" t="s">
        <v>14</v>
      </c>
      <c r="B5">
        <v>23700</v>
      </c>
      <c r="C5">
        <v>32807</v>
      </c>
      <c r="D5">
        <f>DatabaseTable36[[#This Row],[Vegetated Area from GEP (m^2)]]/DatabaseTable36[[#This Row],[Total island area (m^2)]]</f>
        <v>0.72240680342609809</v>
      </c>
      <c r="E5">
        <f>LOG10(DatabaseTable36[[#This Row],[Vegetated Area from GEP (m^2)]])</f>
        <v>4.3747483460101035</v>
      </c>
      <c r="F5" s="2">
        <v>10857</v>
      </c>
      <c r="G5">
        <v>1.1525372859258889</v>
      </c>
      <c r="H5">
        <f>(DatabaseTable36[[#This Row],[Red Mangrove Area (m^2)]]*G5)/(2*3.14*(72-35))</f>
        <v>53.85220052202348</v>
      </c>
      <c r="I5">
        <f>DatabaseTable36[[#This Row],[Dispersion Coefficient Planet (m^2/yr)]]/365</f>
        <v>0.14754027540280407</v>
      </c>
      <c r="J5">
        <f>DatabaseTable36[[#This Row],[Dispersion Coefficient Planet (m^2/yr)]]+(DatabaseTable36[[#This Row],[Dispersion Coefficient Planet (m^2/yr)]]*0.5)</f>
        <v>80.77830078303522</v>
      </c>
      <c r="K5">
        <f>DatabaseTable36[[#This Row],[Dispersion Coefficient Planet (m^2/yr)]]-(DatabaseTable36[[#This Row],[Dispersion Coefficient Planet (m^2/yr)]]*0.5)</f>
        <v>26.92610026101174</v>
      </c>
      <c r="L5">
        <v>100</v>
      </c>
      <c r="M5">
        <v>35</v>
      </c>
      <c r="N5">
        <f>(3.1415*(DatabaseTable36[[#This Row],[Sc]]-DatabaseTable36[[#This Row],[So]])/(DatabaseTable36[[#This Row],[Enet (m/yr)]]))*(2*DatabaseTable36[[#This Row],[Dispersion Coefficient Planet (m^2/yr)]])</f>
        <v>19082.219465484595</v>
      </c>
      <c r="O5">
        <f>(3.1415*(DatabaseTable36[[#This Row],[Sc]]-DatabaseTable36[[#This Row],[So]])/(DatabaseTable36[[#This Row],[Enet (m/yr)]]))*(2*DatabaseTable36[[#This Row],[Dispersion increase 50 percent]])</f>
        <v>28623.329198226893</v>
      </c>
      <c r="P5">
        <f>(3.1415*(DatabaseTable36[[#This Row],[Sc]]-DatabaseTable36[[#This Row],[So]])/(DatabaseTable36[[#This Row],[Enet (m/yr)]]))*(2*DatabaseTable36[[#This Row],[Dispersion decrease 50 percent]])</f>
        <v>9541.1097327422976</v>
      </c>
      <c r="Q5">
        <f>LOG(DatabaseTable36[[#This Row],[Vegetated Area Model (m^2)]])</f>
        <v>4.2806288863824653</v>
      </c>
      <c r="R5">
        <f>LOG(DatabaseTable36[[#This Row],[Vegetated Area Model (m^2)_DCIncrease]])</f>
        <v>4.4567201454381467</v>
      </c>
      <c r="S5">
        <f>LOG(DatabaseTable36[[#This Row],[Vegetated Area Model (m^2)_DCDecrease]])</f>
        <v>3.9795988907184845</v>
      </c>
    </row>
    <row r="6" spans="1:20" x14ac:dyDescent="0.2">
      <c r="A6" t="s">
        <v>14</v>
      </c>
      <c r="B6">
        <v>67701</v>
      </c>
      <c r="C6">
        <v>87153</v>
      </c>
      <c r="D6">
        <f>DatabaseTable36[[#This Row],[Vegetated Area from GEP (m^2)]]/DatabaseTable36[[#This Row],[Total island area (m^2)]]</f>
        <v>0.77680630615125124</v>
      </c>
      <c r="E6">
        <f>LOG10(DatabaseTable36[[#This Row],[Vegetated Area from GEP (m^2)]])</f>
        <v>4.830595083622728</v>
      </c>
      <c r="F6" s="1">
        <v>47205</v>
      </c>
      <c r="G6">
        <v>1.1525372859258889</v>
      </c>
      <c r="H6">
        <f>(DatabaseTable36[[#This Row],[Red Mangrove Area (m^2)]]*G6)/(2*3.14*(72-35))</f>
        <v>234.14323714121011</v>
      </c>
      <c r="I6">
        <f>DatabaseTable36[[#This Row],[Dispersion Coefficient Planet (m^2/yr)]]/365</f>
        <v>0.64148832093482222</v>
      </c>
      <c r="J6">
        <f>DatabaseTable36[[#This Row],[Dispersion Coefficient Planet (m^2/yr)]]+(DatabaseTable36[[#This Row],[Dispersion Coefficient Planet (m^2/yr)]]*0.5)</f>
        <v>351.21485571181518</v>
      </c>
      <c r="K6">
        <f>DatabaseTable36[[#This Row],[Dispersion Coefficient Planet (m^2/yr)]]-(DatabaseTable36[[#This Row],[Dispersion Coefficient Planet (m^2/yr)]]*0.5)</f>
        <v>117.07161857060505</v>
      </c>
      <c r="L6">
        <v>100</v>
      </c>
      <c r="M6">
        <v>35</v>
      </c>
      <c r="N6">
        <f>(3.1415*(DatabaseTable36[[#This Row],[Sc]]-DatabaseTable36[[#This Row],[So]])/(DatabaseTable36[[#This Row],[Enet (m/yr)]]))*(2*DatabaseTable36[[#This Row],[Dispersion Coefficient Planet (m^2/yr)]])</f>
        <v>82967.317847305909</v>
      </c>
      <c r="O6">
        <f>(3.1415*(DatabaseTable36[[#This Row],[Sc]]-DatabaseTable36[[#This Row],[So]])/(DatabaseTable36[[#This Row],[Enet (m/yr)]]))*(2*DatabaseTable36[[#This Row],[Dispersion increase 50 percent]])</f>
        <v>124450.97677095886</v>
      </c>
      <c r="P6">
        <f>(3.1415*(DatabaseTable36[[#This Row],[Sc]]-DatabaseTable36[[#This Row],[So]])/(DatabaseTable36[[#This Row],[Enet (m/yr)]]))*(2*DatabaseTable36[[#This Row],[Dispersion decrease 50 percent]])</f>
        <v>41483.658923652954</v>
      </c>
      <c r="Q6">
        <f>LOG(DatabaseTable36[[#This Row],[Vegetated Area Model (m^2)]])</f>
        <v>4.9189070505235053</v>
      </c>
      <c r="R6">
        <f>LOG(DatabaseTable36[[#This Row],[Vegetated Area Model (m^2)_DCIncrease]])</f>
        <v>5.0949983095791866</v>
      </c>
      <c r="S6">
        <f>LOG(DatabaseTable36[[#This Row],[Vegetated Area Model (m^2)_DCDecrease]])</f>
        <v>4.617877054859524</v>
      </c>
    </row>
    <row r="7" spans="1:20" x14ac:dyDescent="0.2">
      <c r="A7" t="s">
        <v>14</v>
      </c>
      <c r="B7">
        <v>85012</v>
      </c>
      <c r="C7">
        <v>86429</v>
      </c>
      <c r="D7">
        <f>DatabaseTable36[[#This Row],[Vegetated Area from GEP (m^2)]]/DatabaseTable36[[#This Row],[Total island area (m^2)]]</f>
        <v>0.98360503997500837</v>
      </c>
      <c r="E7">
        <f>LOG10(DatabaseTable36[[#This Row],[Vegetated Area from GEP (m^2)]])</f>
        <v>4.9294802335489338</v>
      </c>
      <c r="F7" s="1">
        <v>72216</v>
      </c>
      <c r="G7">
        <v>1.1525372859258889</v>
      </c>
      <c r="H7">
        <f>(DatabaseTable36[[#This Row],[Red Mangrove Area (m^2)]]*G7)/(2*3.14*(72-35))</f>
        <v>358.20120778285417</v>
      </c>
      <c r="I7">
        <f>DatabaseTable36[[#This Row],[Dispersion Coefficient Planet (m^2/yr)]]/365</f>
        <v>0.98137317200781959</v>
      </c>
      <c r="J7">
        <f>DatabaseTable36[[#This Row],[Dispersion Coefficient Planet (m^2/yr)]]+(DatabaseTable36[[#This Row],[Dispersion Coefficient Planet (m^2/yr)]]*0.5)</f>
        <v>537.30181167428123</v>
      </c>
      <c r="K7">
        <f>DatabaseTable36[[#This Row],[Dispersion Coefficient Planet (m^2/yr)]]-(DatabaseTable36[[#This Row],[Dispersion Coefficient Planet (m^2/yr)]]*0.5)</f>
        <v>179.10060389142708</v>
      </c>
      <c r="L7">
        <v>100</v>
      </c>
      <c r="M7">
        <v>35</v>
      </c>
      <c r="N7">
        <f>(3.1415*(DatabaseTable36[[#This Row],[Sc]]-DatabaseTable36[[#This Row],[So]])/(DatabaseTable36[[#This Row],[Enet (m/yr)]]))*(2*DatabaseTable36[[#This Row],[Dispersion Coefficient Planet (m^2/yr)]])</f>
        <v>126926.55069719403</v>
      </c>
      <c r="O7">
        <f>(3.1415*(DatabaseTable36[[#This Row],[Sc]]-DatabaseTable36[[#This Row],[So]])/(DatabaseTable36[[#This Row],[Enet (m/yr)]]))*(2*DatabaseTable36[[#This Row],[Dispersion increase 50 percent]])</f>
        <v>190389.82604579104</v>
      </c>
      <c r="P7">
        <f>(3.1415*(DatabaseTable36[[#This Row],[Sc]]-DatabaseTable36[[#This Row],[So]])/(DatabaseTable36[[#This Row],[Enet (m/yr)]]))*(2*DatabaseTable36[[#This Row],[Dispersion decrease 50 percent]])</f>
        <v>63463.275348597017</v>
      </c>
      <c r="Q7">
        <f>LOG(DatabaseTable36[[#This Row],[Vegetated Area Model (m^2)]])</f>
        <v>5.1035524780062902</v>
      </c>
      <c r="R7">
        <f>LOG(DatabaseTable36[[#This Row],[Vegetated Area Model (m^2)_DCIncrease]])</f>
        <v>5.2796437370619715</v>
      </c>
      <c r="S7">
        <f>LOG(DatabaseTable36[[#This Row],[Vegetated Area Model (m^2)_DCDecrease]])</f>
        <v>4.8025224823423089</v>
      </c>
    </row>
    <row r="8" spans="1:20" x14ac:dyDescent="0.2">
      <c r="A8" t="s">
        <v>15</v>
      </c>
      <c r="B8">
        <v>2979571</v>
      </c>
      <c r="C8">
        <v>3405557</v>
      </c>
      <c r="D8">
        <f>DatabaseTable36[[#This Row],[Vegetated Area from GEP (m^2)]]/DatabaseTable36[[#This Row],[Total island area (m^2)]]</f>
        <v>0.87491444130871987</v>
      </c>
      <c r="E8">
        <f>LOG10(DatabaseTable36[[#This Row],[Vegetated Area from GEP (m^2)]])</f>
        <v>6.4741537386585506</v>
      </c>
      <c r="F8" s="1">
        <v>2529542</v>
      </c>
      <c r="G8">
        <v>0.31887381192570502</v>
      </c>
      <c r="H8">
        <f>(DatabaseTable36[[#This Row],[Red Mangrove Area (m^2)]]*G8)/(2*3.14*(72-35))</f>
        <v>3471.3578067058515</v>
      </c>
      <c r="I8">
        <f>DatabaseTable36[[#This Row],[Dispersion Coefficient Planet (m^2/yr)]]/365</f>
        <v>9.5105693334406887</v>
      </c>
      <c r="J8">
        <f>DatabaseTable36[[#This Row],[Dispersion Coefficient Planet (m^2/yr)]]+(DatabaseTable36[[#This Row],[Dispersion Coefficient Planet (m^2/yr)]]*0.5)</f>
        <v>5207.0367100587773</v>
      </c>
      <c r="K8">
        <f>DatabaseTable36[[#This Row],[Dispersion Coefficient Planet (m^2/yr)]]-(DatabaseTable36[[#This Row],[Dispersion Coefficient Planet (m^2/yr)]]*0.5)</f>
        <v>1735.6789033529258</v>
      </c>
      <c r="L8">
        <v>100</v>
      </c>
      <c r="M8">
        <v>35</v>
      </c>
      <c r="N8">
        <f>(3.1415*(DatabaseTable36[[#This Row],[Sc]]-DatabaseTable36[[#This Row],[So]])/(DatabaseTable36[[#This Row],[Enet (m/yr)]]))*(2*DatabaseTable36[[#This Row],[Dispersion Coefficient Planet (m^2/yr)]])</f>
        <v>4445912.8296178346</v>
      </c>
      <c r="O8">
        <f>(3.1415*(DatabaseTable36[[#This Row],[Sc]]-DatabaseTable36[[#This Row],[So]])/(DatabaseTable36[[#This Row],[Enet (m/yr)]]))*(2*DatabaseTable36[[#This Row],[Dispersion increase 50 percent]])</f>
        <v>6668869.2444267515</v>
      </c>
      <c r="P8">
        <f>(3.1415*(DatabaseTable36[[#This Row],[Sc]]-DatabaseTable36[[#This Row],[So]])/(DatabaseTable36[[#This Row],[Enet (m/yr)]]))*(2*DatabaseTable36[[#This Row],[Dispersion decrease 50 percent]])</f>
        <v>2222956.4148089173</v>
      </c>
      <c r="Q8">
        <f>LOG(DatabaseTable36[[#This Row],[Vegetated Area Model (m^2)]])</f>
        <v>6.6479609432961499</v>
      </c>
      <c r="R8">
        <f>LOG(DatabaseTable36[[#This Row],[Vegetated Area Model (m^2)_DCIncrease]])</f>
        <v>6.8240522023518304</v>
      </c>
      <c r="S8">
        <f>LOG(DatabaseTable36[[#This Row],[Vegetated Area Model (m^2)_DCDecrease]])</f>
        <v>6.3469309476321687</v>
      </c>
    </row>
    <row r="9" spans="1:20" x14ac:dyDescent="0.2">
      <c r="A9" t="s">
        <v>16</v>
      </c>
      <c r="B9">
        <v>1197621</v>
      </c>
      <c r="C9">
        <v>1299823</v>
      </c>
      <c r="D9">
        <f>DatabaseTable36[[#This Row],[Vegetated Area from GEP (m^2)]]/DatabaseTable36[[#This Row],[Total island area (m^2)]]</f>
        <v>0.9213723714690385</v>
      </c>
      <c r="E9">
        <f>LOG10(DatabaseTable36[[#This Row],[Vegetated Area from GEP (m^2)]])</f>
        <v>6.0783194026524301</v>
      </c>
      <c r="F9" s="1">
        <v>828207</v>
      </c>
      <c r="G9">
        <v>0.92038931379905498</v>
      </c>
      <c r="H9">
        <f>(DatabaseTable36[[#This Row],[Red Mangrove Area (m^2)]]*G9)/(2*3.14*(72-35))</f>
        <v>3280.5683956514627</v>
      </c>
      <c r="I9">
        <f>DatabaseTable36[[#This Row],[Dispersion Coefficient Planet (m^2/yr)]]/365</f>
        <v>8.9878586182231857</v>
      </c>
      <c r="J9">
        <f>DatabaseTable36[[#This Row],[Dispersion Coefficient Planet (m^2/yr)]]+(DatabaseTable36[[#This Row],[Dispersion Coefficient Planet (m^2/yr)]]*0.5)</f>
        <v>4920.8525934771942</v>
      </c>
      <c r="K9">
        <f>DatabaseTable36[[#This Row],[Dispersion Coefficient Planet (m^2/yr)]]-(DatabaseTable36[[#This Row],[Dispersion Coefficient Planet (m^2/yr)]]*0.5)</f>
        <v>1640.2841978257313</v>
      </c>
      <c r="L9">
        <v>100</v>
      </c>
      <c r="M9">
        <v>35</v>
      </c>
      <c r="N9">
        <f>(3.1415*(DatabaseTable36[[#This Row],[Sc]]-DatabaseTable36[[#This Row],[So]])/(DatabaseTable36[[#This Row],[Enet (m/yr)]]))*(2*DatabaseTable36[[#This Row],[Dispersion Coefficient Planet (m^2/yr)]])</f>
        <v>1455653.2869900155</v>
      </c>
      <c r="O9">
        <f>(3.1415*(DatabaseTable36[[#This Row],[Sc]]-DatabaseTable36[[#This Row],[So]])/(DatabaseTable36[[#This Row],[Enet (m/yr)]]))*(2*DatabaseTable36[[#This Row],[Dispersion increase 50 percent]])</f>
        <v>2183479.9304850232</v>
      </c>
      <c r="P9">
        <f>(3.1415*(DatabaseTable36[[#This Row],[Sc]]-DatabaseTable36[[#This Row],[So]])/(DatabaseTable36[[#This Row],[Enet (m/yr)]]))*(2*DatabaseTable36[[#This Row],[Dispersion decrease 50 percent]])</f>
        <v>727826.64349500777</v>
      </c>
      <c r="Q9">
        <f>LOG(DatabaseTable36[[#This Row],[Vegetated Area Model (m^2)]])</f>
        <v>6.163057945390519</v>
      </c>
      <c r="R9">
        <f>LOG(DatabaseTable36[[#This Row],[Vegetated Area Model (m^2)_DCIncrease]])</f>
        <v>6.3391492044461994</v>
      </c>
      <c r="S9">
        <f>LOG(DatabaseTable36[[#This Row],[Vegetated Area Model (m^2)_DCDecrease]])</f>
        <v>5.8620279497265377</v>
      </c>
    </row>
    <row r="10" spans="1:20" x14ac:dyDescent="0.2">
      <c r="A10" t="s">
        <v>17</v>
      </c>
      <c r="B10">
        <v>295857</v>
      </c>
      <c r="C10">
        <v>321709</v>
      </c>
      <c r="D10">
        <f>DatabaseTable36[[#This Row],[Vegetated Area from GEP (m^2)]]/DatabaseTable36[[#This Row],[Total island area (m^2)]]</f>
        <v>0.91964166373959078</v>
      </c>
      <c r="E10">
        <f>LOG10(DatabaseTable36[[#This Row],[Vegetated Area from GEP (m^2)]])</f>
        <v>5.4710818491763531</v>
      </c>
      <c r="F10" s="1">
        <v>113157</v>
      </c>
      <c r="G10">
        <v>0.98009154376289997</v>
      </c>
      <c r="H10">
        <f>(DatabaseTable36[[#This Row],[Red Mangrove Area (m^2)]]*G10)/(2*3.14*(72-35))</f>
        <v>477.29479608184914</v>
      </c>
      <c r="I10">
        <f>DatabaseTable36[[#This Row],[Dispersion Coefficient Planet (m^2/yr)]]/365</f>
        <v>1.30765697556671</v>
      </c>
      <c r="J10">
        <f>DatabaseTable36[[#This Row],[Dispersion Coefficient Planet (m^2/yr)]]+(DatabaseTable36[[#This Row],[Dispersion Coefficient Planet (m^2/yr)]]*0.5)</f>
        <v>715.94219412277369</v>
      </c>
      <c r="K10">
        <f>DatabaseTable36[[#This Row],[Dispersion Coefficient Planet (m^2/yr)]]-(DatabaseTable36[[#This Row],[Dispersion Coefficient Planet (m^2/yr)]]*0.5)</f>
        <v>238.64739804092457</v>
      </c>
      <c r="L10">
        <v>100</v>
      </c>
      <c r="M10">
        <v>35</v>
      </c>
      <c r="N10">
        <f>(3.1415*(DatabaseTable36[[#This Row],[Sc]]-DatabaseTable36[[#This Row],[So]])/(DatabaseTable36[[#This Row],[Enet (m/yr)]]))*(2*DatabaseTable36[[#This Row],[Dispersion Coefficient Planet (m^2/yr)]])</f>
        <v>198884.28737734549</v>
      </c>
      <c r="O10">
        <f>(3.1415*(DatabaseTable36[[#This Row],[Sc]]-DatabaseTable36[[#This Row],[So]])/(DatabaseTable36[[#This Row],[Enet (m/yr)]]))*(2*DatabaseTable36[[#This Row],[Dispersion increase 50 percent]])</f>
        <v>298326.43106601824</v>
      </c>
      <c r="P10">
        <f>(3.1415*(DatabaseTable36[[#This Row],[Sc]]-DatabaseTable36[[#This Row],[So]])/(DatabaseTable36[[#This Row],[Enet (m/yr)]]))*(2*DatabaseTable36[[#This Row],[Dispersion decrease 50 percent]])</f>
        <v>99442.143688672746</v>
      </c>
      <c r="Q10">
        <f>LOG(DatabaseTable36[[#This Row],[Vegetated Area Model (m^2)]])</f>
        <v>5.2986004735474355</v>
      </c>
      <c r="R10">
        <f>LOG(DatabaseTable36[[#This Row],[Vegetated Area Model (m^2)_DCIncrease]])</f>
        <v>5.4746917326031168</v>
      </c>
      <c r="S10">
        <f>LOG(DatabaseTable36[[#This Row],[Vegetated Area Model (m^2)_DCDecrease]])</f>
        <v>4.9975704778834542</v>
      </c>
      <c r="T10" s="3" t="s">
        <v>18</v>
      </c>
    </row>
    <row r="11" spans="1:20" x14ac:dyDescent="0.2">
      <c r="A11" t="s">
        <v>17</v>
      </c>
      <c r="B11">
        <v>29122</v>
      </c>
      <c r="C11">
        <v>51434</v>
      </c>
      <c r="D11">
        <f>DatabaseTable36[[#This Row],[Vegetated Area from GEP (m^2)]]/DatabaseTable36[[#This Row],[Total island area (m^2)]]</f>
        <v>0.56620134541353973</v>
      </c>
      <c r="E11">
        <f>LOG10(DatabaseTable36[[#This Row],[Vegetated Area from GEP (m^2)]])</f>
        <v>4.4642211975344495</v>
      </c>
      <c r="F11" s="1">
        <v>4104</v>
      </c>
      <c r="G11">
        <v>0.98009154376289986</v>
      </c>
      <c r="H11">
        <f>(DatabaseTable36[[#This Row],[Red Mangrove Area (m^2)]]*G11)/(2*3.14*(72-35))</f>
        <v>17.310620139451458</v>
      </c>
      <c r="I11">
        <f>DatabaseTable36[[#This Row],[Dispersion Coefficient Planet (m^2/yr)]]/365</f>
        <v>4.7426356546442353E-2</v>
      </c>
      <c r="J11">
        <f>DatabaseTable36[[#This Row],[Dispersion Coefficient Planet (m^2/yr)]]+(DatabaseTable36[[#This Row],[Dispersion Coefficient Planet (m^2/yr)]]*0.5)</f>
        <v>25.965930209177188</v>
      </c>
      <c r="K11">
        <f>DatabaseTable36[[#This Row],[Dispersion Coefficient Planet (m^2/yr)]]-(DatabaseTable36[[#This Row],[Dispersion Coefficient Planet (m^2/yr)]]*0.5)</f>
        <v>8.6553100697257292</v>
      </c>
      <c r="L11">
        <v>100</v>
      </c>
      <c r="M11">
        <v>35</v>
      </c>
      <c r="N11">
        <f>(3.1415*(DatabaseTable36[[#This Row],[Sc]]-DatabaseTable36[[#This Row],[So]])/(DatabaseTable36[[#This Row],[Enet (m/yr)]]))*(2*DatabaseTable36[[#This Row],[Dispersion Coefficient Planet (m^2/yr)]])</f>
        <v>7213.1738681356519</v>
      </c>
      <c r="O11">
        <f>(3.1415*(DatabaseTable36[[#This Row],[Sc]]-DatabaseTable36[[#This Row],[So]])/(DatabaseTable36[[#This Row],[Enet (m/yr)]]))*(2*DatabaseTable36[[#This Row],[Dispersion increase 50 percent]])</f>
        <v>10819.760802203478</v>
      </c>
      <c r="P11">
        <f>(3.1415*(DatabaseTable36[[#This Row],[Sc]]-DatabaseTable36[[#This Row],[So]])/(DatabaseTable36[[#This Row],[Enet (m/yr)]]))*(2*DatabaseTable36[[#This Row],[Dispersion decrease 50 percent]])</f>
        <v>3606.586934067826</v>
      </c>
      <c r="Q11">
        <f>LOG(DatabaseTable36[[#This Row],[Vegetated Area Model (m^2)]])</f>
        <v>3.8581264006583638</v>
      </c>
      <c r="R11">
        <f>LOG(DatabaseTable36[[#This Row],[Vegetated Area Model (m^2)_DCIncrease]])</f>
        <v>4.0342176597140451</v>
      </c>
      <c r="S11">
        <f>LOG(DatabaseTable36[[#This Row],[Vegetated Area Model (m^2)_DCDecrease]])</f>
        <v>3.5570964049943825</v>
      </c>
      <c r="T11" t="s">
        <v>18</v>
      </c>
    </row>
    <row r="12" spans="1:20" x14ac:dyDescent="0.2">
      <c r="A12" t="s">
        <v>17</v>
      </c>
      <c r="B12">
        <v>241064</v>
      </c>
      <c r="C12">
        <v>387736</v>
      </c>
      <c r="D12">
        <f>DatabaseTable36[[#This Row],[Vegetated Area from GEP (m^2)]]/DatabaseTable36[[#This Row],[Total island area (m^2)]]</f>
        <v>0.62172199640992842</v>
      </c>
      <c r="E12">
        <f>LOG10(DatabaseTable36[[#This Row],[Vegetated Area from GEP (m^2)]])</f>
        <v>5.3821323585785734</v>
      </c>
      <c r="F12" s="1">
        <v>54675</v>
      </c>
      <c r="G12">
        <v>0.98009154376289986</v>
      </c>
      <c r="H12">
        <f>(DatabaseTable36[[#This Row],[Red Mangrove Area (m^2)]]*G12)/(2*3.14*(72-35))</f>
        <v>230.61845909466581</v>
      </c>
      <c r="I12">
        <f>DatabaseTable36[[#This Row],[Dispersion Coefficient Planet (m^2/yr)]]/365</f>
        <v>0.63183139477990635</v>
      </c>
      <c r="J12">
        <f>DatabaseTable36[[#This Row],[Dispersion Coefficient Planet (m^2/yr)]]+(DatabaseTable36[[#This Row],[Dispersion Coefficient Planet (m^2/yr)]]*0.5)</f>
        <v>345.92768864199871</v>
      </c>
      <c r="K12">
        <f>DatabaseTable36[[#This Row],[Dispersion Coefficient Planet (m^2/yr)]]-(DatabaseTable36[[#This Row],[Dispersion Coefficient Planet (m^2/yr)]]*0.5)</f>
        <v>115.3092295473329</v>
      </c>
      <c r="L12">
        <v>100</v>
      </c>
      <c r="M12">
        <v>35</v>
      </c>
      <c r="N12">
        <f>(3.1415*(DatabaseTable36[[#This Row],[Sc]]-DatabaseTable36[[#This Row],[So]])/(DatabaseTable36[[#This Row],[Enet (m/yr)]]))*(2*DatabaseTable36[[#This Row],[Dispersion Coefficient Planet (m^2/yr)]])</f>
        <v>96096.559756412462</v>
      </c>
      <c r="O12">
        <f>(3.1415*(DatabaseTable36[[#This Row],[Sc]]-DatabaseTable36[[#This Row],[So]])/(DatabaseTable36[[#This Row],[Enet (m/yr)]]))*(2*DatabaseTable36[[#This Row],[Dispersion increase 50 percent]])</f>
        <v>144144.83963461869</v>
      </c>
      <c r="P12">
        <f>(3.1415*(DatabaseTable36[[#This Row],[Sc]]-DatabaseTable36[[#This Row],[So]])/(DatabaseTable36[[#This Row],[Enet (m/yr)]]))*(2*DatabaseTable36[[#This Row],[Dispersion decrease 50 percent]])</f>
        <v>48048.279878206231</v>
      </c>
      <c r="Q12">
        <f>LOG(DatabaseTable36[[#This Row],[Vegetated Area Model (m^2)]])</f>
        <v>4.9827078402642782</v>
      </c>
      <c r="R12">
        <f>LOG(DatabaseTable36[[#This Row],[Vegetated Area Model (m^2)_DCIncrease]])</f>
        <v>5.1587990993199595</v>
      </c>
      <c r="S12">
        <f>LOG(DatabaseTable36[[#This Row],[Vegetated Area Model (m^2)_DCDecrease]])</f>
        <v>4.6816778446002969</v>
      </c>
      <c r="T12" t="s">
        <v>18</v>
      </c>
    </row>
    <row r="13" spans="1:20" x14ac:dyDescent="0.2">
      <c r="A13" t="s">
        <v>17</v>
      </c>
      <c r="B13">
        <v>112319</v>
      </c>
      <c r="C13">
        <v>140474</v>
      </c>
      <c r="D13">
        <f>DatabaseTable36[[#This Row],[Vegetated Area from GEP (m^2)]]/DatabaseTable36[[#This Row],[Total island area (m^2)]]</f>
        <v>0.79957145094465876</v>
      </c>
      <c r="E13">
        <f>LOG10(DatabaseTable36[[#This Row],[Vegetated Area from GEP (m^2)]])</f>
        <v>5.0504532281865915</v>
      </c>
      <c r="F13" s="1">
        <v>59490</v>
      </c>
      <c r="G13">
        <v>0.98009154376289986</v>
      </c>
      <c r="H13">
        <f>(DatabaseTable36[[#This Row],[Red Mangrove Area (m^2)]]*G13)/(2*3.14*(72-35))</f>
        <v>250.92806824950469</v>
      </c>
      <c r="I13">
        <f>DatabaseTable36[[#This Row],[Dispersion Coefficient Planet (m^2/yr)]]/365</f>
        <v>0.6874741595876841</v>
      </c>
      <c r="J13">
        <f>DatabaseTable36[[#This Row],[Dispersion Coefficient Planet (m^2/yr)]]+(DatabaseTable36[[#This Row],[Dispersion Coefficient Planet (m^2/yr)]]*0.5)</f>
        <v>376.39210237425704</v>
      </c>
      <c r="K13">
        <f>DatabaseTable36[[#This Row],[Dispersion Coefficient Planet (m^2/yr)]]-(DatabaseTable36[[#This Row],[Dispersion Coefficient Planet (m^2/yr)]]*0.5)</f>
        <v>125.46403412475235</v>
      </c>
      <c r="L13">
        <v>100</v>
      </c>
      <c r="M13">
        <v>35</v>
      </c>
      <c r="N13">
        <f>(3.1415*(DatabaseTable36[[#This Row],[Sc]]-DatabaseTable36[[#This Row],[So]])/(DatabaseTable36[[#This Row],[Enet (m/yr)]]))*(2*DatabaseTable36[[#This Row],[Dispersion Coefficient Planet (m^2/yr)]])</f>
        <v>104559.38436047513</v>
      </c>
      <c r="O13">
        <f>(3.1415*(DatabaseTable36[[#This Row],[Sc]]-DatabaseTable36[[#This Row],[So]])/(DatabaseTable36[[#This Row],[Enet (m/yr)]]))*(2*DatabaseTable36[[#This Row],[Dispersion increase 50 percent]])</f>
        <v>156839.0765407127</v>
      </c>
      <c r="P13">
        <f>(3.1415*(DatabaseTable36[[#This Row],[Sc]]-DatabaseTable36[[#This Row],[So]])/(DatabaseTable36[[#This Row],[Enet (m/yr)]]))*(2*DatabaseTable36[[#This Row],[Dispersion decrease 50 percent]])</f>
        <v>52279.692180237565</v>
      </c>
      <c r="Q13">
        <f>LOG(DatabaseTable36[[#This Row],[Vegetated Area Model (m^2)]])</f>
        <v>5.0193630174795691</v>
      </c>
      <c r="R13">
        <f>LOG(DatabaseTable36[[#This Row],[Vegetated Area Model (m^2)_DCIncrease]])</f>
        <v>5.1954542765352505</v>
      </c>
      <c r="S13">
        <f>LOG(DatabaseTable36[[#This Row],[Vegetated Area Model (m^2)_DCDecrease]])</f>
        <v>4.7183330218155879</v>
      </c>
      <c r="T13" t="s">
        <v>19</v>
      </c>
    </row>
    <row r="14" spans="1:20" x14ac:dyDescent="0.2">
      <c r="A14" t="s">
        <v>17</v>
      </c>
      <c r="B14">
        <v>77645</v>
      </c>
      <c r="C14">
        <v>135257</v>
      </c>
      <c r="D14">
        <f>DatabaseTable36[[#This Row],[Vegetated Area from GEP (m^2)]]/DatabaseTable36[[#This Row],[Total island area (m^2)]]</f>
        <v>0.57405531691520584</v>
      </c>
      <c r="E14">
        <f>LOG10(DatabaseTable36[[#This Row],[Vegetated Area from GEP (m^2)]])</f>
        <v>4.890113494290917</v>
      </c>
      <c r="F14" s="1">
        <v>34968</v>
      </c>
      <c r="G14">
        <v>0.98009154376289986</v>
      </c>
      <c r="H14">
        <f>(DatabaseTable36[[#This Row],[Red Mangrove Area (m^2)]]*G14)/(2*3.14*(72-35))</f>
        <v>147.49458212386418</v>
      </c>
      <c r="I14">
        <f>DatabaseTable36[[#This Row],[Dispersion Coefficient Planet (m^2/yr)]]/365</f>
        <v>0.40409474554483338</v>
      </c>
      <c r="J14">
        <f>DatabaseTable36[[#This Row],[Dispersion Coefficient Planet (m^2/yr)]]+(DatabaseTable36[[#This Row],[Dispersion Coefficient Planet (m^2/yr)]]*0.5)</f>
        <v>221.24187318579627</v>
      </c>
      <c r="K14">
        <f>DatabaseTable36[[#This Row],[Dispersion Coefficient Planet (m^2/yr)]]-(DatabaseTable36[[#This Row],[Dispersion Coefficient Planet (m^2/yr)]]*0.5)</f>
        <v>73.747291061932088</v>
      </c>
      <c r="L14">
        <v>100</v>
      </c>
      <c r="M14">
        <v>35</v>
      </c>
      <c r="N14">
        <f>(3.1415*(DatabaseTable36[[#This Row],[Sc]]-DatabaseTable36[[#This Row],[So]])/(DatabaseTable36[[#This Row],[Enet (m/yr)]]))*(2*DatabaseTable36[[#This Row],[Dispersion Coefficient Planet (m^2/yr)]])</f>
        <v>61459.61594078155</v>
      </c>
      <c r="O14">
        <f>(3.1415*(DatabaseTable36[[#This Row],[Sc]]-DatabaseTable36[[#This Row],[So]])/(DatabaseTable36[[#This Row],[Enet (m/yr)]]))*(2*DatabaseTable36[[#This Row],[Dispersion increase 50 percent]])</f>
        <v>92189.423911172329</v>
      </c>
      <c r="P14">
        <f>(3.1415*(DatabaseTable36[[#This Row],[Sc]]-DatabaseTable36[[#This Row],[So]])/(DatabaseTable36[[#This Row],[Enet (m/yr)]]))*(2*DatabaseTable36[[#This Row],[Dispersion decrease 50 percent]])</f>
        <v>30729.807970390775</v>
      </c>
      <c r="Q14">
        <f>LOG(DatabaseTable36[[#This Row],[Vegetated Area Model (m^2)]])</f>
        <v>4.7885898420361999</v>
      </c>
      <c r="R14">
        <f>LOG(DatabaseTable36[[#This Row],[Vegetated Area Model (m^2)_DCIncrease]])</f>
        <v>4.9646811010918812</v>
      </c>
      <c r="S14">
        <f>LOG(DatabaseTable36[[#This Row],[Vegetated Area Model (m^2)_DCDecrease]])</f>
        <v>4.4875598463722186</v>
      </c>
      <c r="T14" t="s">
        <v>18</v>
      </c>
    </row>
    <row r="15" spans="1:20" x14ac:dyDescent="0.2">
      <c r="A15" t="s">
        <v>17</v>
      </c>
      <c r="B15">
        <v>35737</v>
      </c>
      <c r="C15">
        <v>37028</v>
      </c>
      <c r="D15">
        <f>DatabaseTable36[[#This Row],[Vegetated Area from GEP (m^2)]]/DatabaseTable36[[#This Row],[Total island area (m^2)]]</f>
        <v>0.96513449281624719</v>
      </c>
      <c r="E15">
        <f>LOG10(DatabaseTable36[[#This Row],[Vegetated Area from GEP (m^2)]])</f>
        <v>4.5531180921503056</v>
      </c>
      <c r="F15" s="1">
        <v>23301</v>
      </c>
      <c r="G15">
        <v>0.98009154376289986</v>
      </c>
      <c r="H15">
        <f>(DatabaseTable36[[#This Row],[Red Mangrove Area (m^2)]]*G15)/(2*3.14*(72-35))</f>
        <v>98.283323554911902</v>
      </c>
      <c r="I15">
        <f>DatabaseTable36[[#This Row],[Dispersion Coefficient Planet (m^2/yr)]]/365</f>
        <v>0.26926937960249836</v>
      </c>
      <c r="J15">
        <f>DatabaseTable36[[#This Row],[Dispersion Coefficient Planet (m^2/yr)]]+(DatabaseTable36[[#This Row],[Dispersion Coefficient Planet (m^2/yr)]]*0.5)</f>
        <v>147.42498533236784</v>
      </c>
      <c r="K15">
        <f>DatabaseTable36[[#This Row],[Dispersion Coefficient Planet (m^2/yr)]]-(DatabaseTable36[[#This Row],[Dispersion Coefficient Planet (m^2/yr)]]*0.5)</f>
        <v>49.141661777455951</v>
      </c>
      <c r="L15">
        <v>100</v>
      </c>
      <c r="M15">
        <v>35</v>
      </c>
      <c r="N15">
        <f>(3.1415*(DatabaseTable36[[#This Row],[Sc]]-DatabaseTable36[[#This Row],[So]])/(DatabaseTable36[[#This Row],[Enet (m/yr)]]))*(2*DatabaseTable36[[#This Row],[Dispersion Coefficient Planet (m^2/yr)]])</f>
        <v>40953.743738164922</v>
      </c>
      <c r="O15">
        <f>(3.1415*(DatabaseTable36[[#This Row],[Sc]]-DatabaseTable36[[#This Row],[So]])/(DatabaseTable36[[#This Row],[Enet (m/yr)]]))*(2*DatabaseTable36[[#This Row],[Dispersion increase 50 percent]])</f>
        <v>61430.615607247375</v>
      </c>
      <c r="P15">
        <f>(3.1415*(DatabaseTable36[[#This Row],[Sc]]-DatabaseTable36[[#This Row],[So]])/(DatabaseTable36[[#This Row],[Enet (m/yr)]]))*(2*DatabaseTable36[[#This Row],[Dispersion decrease 50 percent]])</f>
        <v>20476.871869082461</v>
      </c>
      <c r="Q15">
        <f>LOG(DatabaseTable36[[#This Row],[Vegetated Area Model (m^2)]])</f>
        <v>4.6122936084288009</v>
      </c>
      <c r="R15">
        <f>LOG(DatabaseTable36[[#This Row],[Vegetated Area Model (m^2)_DCIncrease]])</f>
        <v>4.7883848674844822</v>
      </c>
      <c r="S15">
        <f>LOG(DatabaseTable36[[#This Row],[Vegetated Area Model (m^2)_DCDecrease]])</f>
        <v>4.3112636127648196</v>
      </c>
      <c r="T15" t="s">
        <v>18</v>
      </c>
    </row>
    <row r="16" spans="1:20" x14ac:dyDescent="0.2">
      <c r="A16" t="s">
        <v>20</v>
      </c>
      <c r="B16">
        <v>579468</v>
      </c>
      <c r="C16">
        <v>617999</v>
      </c>
      <c r="D16">
        <f>DatabaseTable36[[#This Row],[Vegetated Area from GEP (m^2)]]/DatabaseTable36[[#This Row],[Total island area (m^2)]]</f>
        <v>0.93765200267314353</v>
      </c>
      <c r="E16">
        <f>LOG10(DatabaseTable36[[#This Row],[Vegetated Area from GEP (m^2)]])</f>
        <v>5.7630294578886687</v>
      </c>
      <c r="F16" s="2">
        <v>278697</v>
      </c>
      <c r="G16">
        <v>0.86335287540379702</v>
      </c>
      <c r="H16">
        <f>(DatabaseTable36[[#This Row],[Red Mangrove Area (m^2)]]*G16)/(2*3.14*(72-35))</f>
        <v>1035.5218467740231</v>
      </c>
      <c r="I16">
        <f>DatabaseTable36[[#This Row],[Dispersion Coefficient Planet (m^2/yr)]]/365</f>
        <v>2.8370461555452686</v>
      </c>
      <c r="J16">
        <f>DatabaseTable36[[#This Row],[Dispersion Coefficient Planet (m^2/yr)]]+(DatabaseTable36[[#This Row],[Dispersion Coefficient Planet (m^2/yr)]]*0.5)</f>
        <v>1553.2827701610345</v>
      </c>
      <c r="K16">
        <f>DatabaseTable36[[#This Row],[Dispersion Coefficient Planet (m^2/yr)]]-(DatabaseTable36[[#This Row],[Dispersion Coefficient Planet (m^2/yr)]]*0.5)</f>
        <v>517.76092338701153</v>
      </c>
      <c r="L16">
        <v>100</v>
      </c>
      <c r="M16">
        <v>35</v>
      </c>
      <c r="N16">
        <f>(3.1415*(DatabaseTable36[[#This Row],[Sc]]-DatabaseTable36[[#This Row],[So]])/(DatabaseTable36[[#This Row],[Enet (m/yr)]]))*(2*DatabaseTable36[[#This Row],[Dispersion Coefficient Planet (m^2/yr)]])</f>
        <v>489836.72454381135</v>
      </c>
      <c r="O16">
        <f>(3.1415*(DatabaseTable36[[#This Row],[Sc]]-DatabaseTable36[[#This Row],[So]])/(DatabaseTable36[[#This Row],[Enet (m/yr)]]))*(2*DatabaseTable36[[#This Row],[Dispersion increase 50 percent]])</f>
        <v>734755.08681571693</v>
      </c>
      <c r="P16">
        <f>(3.1415*(DatabaseTable36[[#This Row],[Sc]]-DatabaseTable36[[#This Row],[So]])/(DatabaseTable36[[#This Row],[Enet (m/yr)]]))*(2*DatabaseTable36[[#This Row],[Dispersion decrease 50 percent]])</f>
        <v>244918.36227190567</v>
      </c>
      <c r="Q16">
        <f>LOG(DatabaseTable36[[#This Row],[Vegetated Area Model (m^2)]])</f>
        <v>5.6900513423828771</v>
      </c>
      <c r="R16">
        <f>LOG(DatabaseTable36[[#This Row],[Vegetated Area Model (m^2)_DCIncrease]])</f>
        <v>5.8661426014385585</v>
      </c>
      <c r="S16">
        <f>LOG(DatabaseTable36[[#This Row],[Vegetated Area Model (m^2)_DCDecrease]])</f>
        <v>5.3890213467188959</v>
      </c>
    </row>
    <row r="17" spans="1:20" x14ac:dyDescent="0.2">
      <c r="A17" t="s">
        <v>21</v>
      </c>
      <c r="B17">
        <v>161227</v>
      </c>
      <c r="C17">
        <v>177239</v>
      </c>
      <c r="D17">
        <f>DatabaseTable36[[#This Row],[Vegetated Area from GEP (m^2)]]/DatabaseTable36[[#This Row],[Total island area (m^2)]]</f>
        <v>0.90965870942625493</v>
      </c>
      <c r="E17">
        <f>LOG10(DatabaseTable36[[#This Row],[Vegetated Area from GEP (m^2)]])</f>
        <v>5.2074377730094499</v>
      </c>
      <c r="F17" s="2">
        <v>76879</v>
      </c>
      <c r="G17">
        <v>0.71682219806846503</v>
      </c>
      <c r="H17">
        <f>(DatabaseTable36[[#This Row],[Red Mangrove Area (m^2)]]*G17)/(2*3.14*(72-35))</f>
        <v>237.168935123539</v>
      </c>
      <c r="I17">
        <f>DatabaseTable36[[#This Row],[Dispersion Coefficient Planet (m^2/yr)]]/365</f>
        <v>0.64977790444805206</v>
      </c>
      <c r="J17">
        <f>DatabaseTable36[[#This Row],[Dispersion Coefficient Planet (m^2/yr)]]+(DatabaseTable36[[#This Row],[Dispersion Coefficient Planet (m^2/yr)]]*0.5)</f>
        <v>355.75340268530852</v>
      </c>
      <c r="K17">
        <f>DatabaseTable36[[#This Row],[Dispersion Coefficient Planet (m^2/yr)]]-(DatabaseTable36[[#This Row],[Dispersion Coefficient Planet (m^2/yr)]]*0.5)</f>
        <v>118.5844675617695</v>
      </c>
      <c r="L17">
        <v>100</v>
      </c>
      <c r="M17">
        <v>35</v>
      </c>
      <c r="N17">
        <f>(3.1415*(DatabaseTable36[[#This Row],[Sc]]-DatabaseTable36[[#This Row],[So]])/(DatabaseTable36[[#This Row],[Enet (m/yr)]]))*(2*DatabaseTable36[[#This Row],[Dispersion Coefficient Planet (m^2/yr)]])</f>
        <v>135122.22071354795</v>
      </c>
      <c r="O17">
        <f>(3.1415*(DatabaseTable36[[#This Row],[Sc]]-DatabaseTable36[[#This Row],[So]])/(DatabaseTable36[[#This Row],[Enet (m/yr)]]))*(2*DatabaseTable36[[#This Row],[Dispersion increase 50 percent]])</f>
        <v>202683.33107032196</v>
      </c>
      <c r="P17">
        <f>(3.1415*(DatabaseTable36[[#This Row],[Sc]]-DatabaseTable36[[#This Row],[So]])/(DatabaseTable36[[#This Row],[Enet (m/yr)]]))*(2*DatabaseTable36[[#This Row],[Dispersion decrease 50 percent]])</f>
        <v>67561.110356773977</v>
      </c>
      <c r="Q17">
        <f>LOG(DatabaseTable36[[#This Row],[Vegetated Area Model (m^2)]])</f>
        <v>5.1307267741866536</v>
      </c>
      <c r="R17">
        <f>LOG(DatabaseTable36[[#This Row],[Vegetated Area Model (m^2)_DCIncrease]])</f>
        <v>5.3068180332423349</v>
      </c>
      <c r="S17">
        <f>LOG(DatabaseTable36[[#This Row],[Vegetated Area Model (m^2)_DCDecrease]])</f>
        <v>4.8296967785226723</v>
      </c>
    </row>
    <row r="18" spans="1:20" x14ac:dyDescent="0.2">
      <c r="A18" t="s">
        <v>21</v>
      </c>
      <c r="B18">
        <v>366635</v>
      </c>
      <c r="C18">
        <v>421560</v>
      </c>
      <c r="D18">
        <f>DatabaseTable36[[#This Row],[Vegetated Area from GEP (m^2)]]/DatabaseTable36[[#This Row],[Total island area (m^2)]]</f>
        <v>0.86971012430021821</v>
      </c>
      <c r="E18">
        <f>LOG10(DatabaseTable36[[#This Row],[Vegetated Area from GEP (m^2)]])</f>
        <v>5.5642339215681282</v>
      </c>
      <c r="F18" s="2">
        <v>190847</v>
      </c>
      <c r="G18">
        <v>0.71682219806846503</v>
      </c>
      <c r="H18">
        <f>(DatabaseTable36[[#This Row],[Red Mangrove Area (m^2)]]*G18)/(2*3.14*(72-35))</f>
        <v>588.7560941417297</v>
      </c>
      <c r="I18">
        <f>DatabaseTable36[[#This Row],[Dispersion Coefficient Planet (m^2/yr)]]/365</f>
        <v>1.6130303949088485</v>
      </c>
      <c r="J18">
        <f>DatabaseTable36[[#This Row],[Dispersion Coefficient Planet (m^2/yr)]]+(DatabaseTable36[[#This Row],[Dispersion Coefficient Planet (m^2/yr)]]*0.5)</f>
        <v>883.13414121259461</v>
      </c>
      <c r="K18">
        <f>DatabaseTable36[[#This Row],[Dispersion Coefficient Planet (m^2/yr)]]-(DatabaseTable36[[#This Row],[Dispersion Coefficient Planet (m^2/yr)]]*0.5)</f>
        <v>294.37804707086485</v>
      </c>
      <c r="L18">
        <v>100</v>
      </c>
      <c r="M18">
        <v>35</v>
      </c>
      <c r="N18">
        <f>(3.1415*(DatabaseTable36[[#This Row],[Sc]]-DatabaseTable36[[#This Row],[So]])/(DatabaseTable36[[#This Row],[Enet (m/yr)]]))*(2*DatabaseTable36[[#This Row],[Dispersion Coefficient Planet (m^2/yr)]])</f>
        <v>335431.91842399724</v>
      </c>
      <c r="O18">
        <f>(3.1415*(DatabaseTable36[[#This Row],[Sc]]-DatabaseTable36[[#This Row],[So]])/(DatabaseTable36[[#This Row],[Enet (m/yr)]]))*(2*DatabaseTable36[[#This Row],[Dispersion increase 50 percent]])</f>
        <v>503147.87763599586</v>
      </c>
      <c r="P18">
        <f>(3.1415*(DatabaseTable36[[#This Row],[Sc]]-DatabaseTable36[[#This Row],[So]])/(DatabaseTable36[[#This Row],[Enet (m/yr)]]))*(2*DatabaseTable36[[#This Row],[Dispersion decrease 50 percent]])</f>
        <v>167715.95921199862</v>
      </c>
      <c r="Q18">
        <f>LOG(DatabaseTable36[[#This Row],[Vegetated Area Model (m^2)]])</f>
        <v>5.5256043860454538</v>
      </c>
      <c r="R18">
        <f>LOG(DatabaseTable36[[#This Row],[Vegetated Area Model (m^2)_DCIncrease]])</f>
        <v>5.7016956451011351</v>
      </c>
      <c r="S18">
        <f>LOG(DatabaseTable36[[#This Row],[Vegetated Area Model (m^2)_DCDecrease]])</f>
        <v>5.2245743903814725</v>
      </c>
    </row>
    <row r="19" spans="1:20" x14ac:dyDescent="0.2">
      <c r="A19" t="s">
        <v>22</v>
      </c>
      <c r="B19">
        <v>1293025</v>
      </c>
      <c r="C19">
        <v>2058331</v>
      </c>
      <c r="D19">
        <f>DatabaseTable36[[#This Row],[Vegetated Area from GEP (m^2)]]/DatabaseTable36[[#This Row],[Total island area (m^2)]]</f>
        <v>0.62819099552015689</v>
      </c>
      <c r="E19">
        <f>LOG10(DatabaseTable36[[#This Row],[Vegetated Area from GEP (m^2)]])</f>
        <v>6.1116069218309637</v>
      </c>
      <c r="F19" s="2">
        <v>1072976</v>
      </c>
      <c r="G19">
        <v>1.0291596190535</v>
      </c>
      <c r="H19">
        <f>(DatabaseTable36[[#This Row],[Red Mangrove Area (m^2)]]*G19)/(2*3.14*(72-35))</f>
        <v>4752.3823868718719</v>
      </c>
      <c r="I19">
        <f>DatabaseTable36[[#This Row],[Dispersion Coefficient Planet (m^2/yr)]]/365</f>
        <v>13.020225717457183</v>
      </c>
      <c r="J19">
        <f>DatabaseTable36[[#This Row],[Dispersion Coefficient Planet (m^2/yr)]]+(DatabaseTable36[[#This Row],[Dispersion Coefficient Planet (m^2/yr)]]*0.5)</f>
        <v>7128.5735803078078</v>
      </c>
      <c r="K19">
        <f>DatabaseTable36[[#This Row],[Dispersion Coefficient Planet (m^2/yr)]]-(DatabaseTable36[[#This Row],[Dispersion Coefficient Planet (m^2/yr)]]*0.5)</f>
        <v>2376.1911934359359</v>
      </c>
      <c r="L19">
        <v>100</v>
      </c>
      <c r="M19">
        <v>35</v>
      </c>
      <c r="N19">
        <f>(3.1415*(DatabaseTable36[[#This Row],[Sc]]-DatabaseTable36[[#This Row],[So]])/(DatabaseTable36[[#This Row],[Enet (m/yr)]]))*(2*DatabaseTable36[[#This Row],[Dispersion Coefficient Planet (m^2/yr)]])</f>
        <v>1885858.295403684</v>
      </c>
      <c r="O19">
        <f>(3.1415*(DatabaseTable36[[#This Row],[Sc]]-DatabaseTable36[[#This Row],[So]])/(DatabaseTable36[[#This Row],[Enet (m/yr)]]))*(2*DatabaseTable36[[#This Row],[Dispersion increase 50 percent]])</f>
        <v>2828787.4431055258</v>
      </c>
      <c r="P19">
        <f>(3.1415*(DatabaseTable36[[#This Row],[Sc]]-DatabaseTable36[[#This Row],[So]])/(DatabaseTable36[[#This Row],[Enet (m/yr)]]))*(2*DatabaseTable36[[#This Row],[Dispersion decrease 50 percent]])</f>
        <v>942929.14770184201</v>
      </c>
      <c r="Q19">
        <f>LOG(DatabaseTable36[[#This Row],[Vegetated Area Model (m^2)]])</f>
        <v>6.2755090564626475</v>
      </c>
      <c r="R19">
        <f>LOG(DatabaseTable36[[#This Row],[Vegetated Area Model (m^2)_DCIncrease]])</f>
        <v>6.4516003155183288</v>
      </c>
      <c r="S19">
        <f>LOG(DatabaseTable36[[#This Row],[Vegetated Area Model (m^2)_DCDecrease]])</f>
        <v>5.9744790607986662</v>
      </c>
    </row>
    <row r="20" spans="1:20" x14ac:dyDescent="0.2">
      <c r="A20" t="s">
        <v>22</v>
      </c>
      <c r="B20">
        <v>42603</v>
      </c>
      <c r="C20">
        <v>146487</v>
      </c>
      <c r="D20">
        <f>DatabaseTable36[[#This Row],[Vegetated Area from GEP (m^2)]]/DatabaseTable36[[#This Row],[Total island area (m^2)]]</f>
        <v>0.29083126830367201</v>
      </c>
      <c r="E20">
        <f>LOG10(DatabaseTable36[[#This Row],[Vegetated Area from GEP (m^2)]])</f>
        <v>4.6294401821443074</v>
      </c>
      <c r="F20" s="1">
        <v>19881</v>
      </c>
      <c r="G20">
        <v>1.0291596190535044</v>
      </c>
      <c r="H20">
        <f>(DatabaseTable36[[#This Row],[Red Mangrove Area (m^2)]]*G20)/(2*3.14*(72-35))</f>
        <v>88.056130084363573</v>
      </c>
      <c r="I20">
        <f>DatabaseTable36[[#This Row],[Dispersion Coefficient Planet (m^2/yr)]]/365</f>
        <v>0.2412496714640098</v>
      </c>
      <c r="J20">
        <f>DatabaseTable36[[#This Row],[Dispersion Coefficient Planet (m^2/yr)]]+(DatabaseTable36[[#This Row],[Dispersion Coefficient Planet (m^2/yr)]]*0.5)</f>
        <v>132.08419512654535</v>
      </c>
      <c r="K20">
        <f>DatabaseTable36[[#This Row],[Dispersion Coefficient Planet (m^2/yr)]]-(DatabaseTable36[[#This Row],[Dispersion Coefficient Planet (m^2/yr)]]*0.5)</f>
        <v>44.028065042181787</v>
      </c>
      <c r="L20">
        <v>100</v>
      </c>
      <c r="M20">
        <v>35</v>
      </c>
      <c r="N20">
        <f>(3.1415*(DatabaseTable36[[#This Row],[Sc]]-DatabaseTable36[[#This Row],[So]])/(DatabaseTable36[[#This Row],[Enet (m/yr)]]))*(2*DatabaseTable36[[#This Row],[Dispersion Coefficient Planet (m^2/yr)]])</f>
        <v>34942.765514718543</v>
      </c>
      <c r="O20">
        <f>(3.1415*(DatabaseTable36[[#This Row],[Sc]]-DatabaseTable36[[#This Row],[So]])/(DatabaseTable36[[#This Row],[Enet (m/yr)]]))*(2*DatabaseTable36[[#This Row],[Dispersion increase 50 percent]])</f>
        <v>52414.148272077808</v>
      </c>
      <c r="P20">
        <f>(3.1415*(DatabaseTable36[[#This Row],[Sc]]-DatabaseTable36[[#This Row],[So]])/(DatabaseTable36[[#This Row],[Enet (m/yr)]]))*(2*DatabaseTable36[[#This Row],[Dispersion decrease 50 percent]])</f>
        <v>17471.382757359272</v>
      </c>
      <c r="Q20">
        <f>LOG(DatabaseTable36[[#This Row],[Vegetated Area Model (m^2)]])</f>
        <v>4.5433572738653636</v>
      </c>
      <c r="R20">
        <f>LOG(DatabaseTable36[[#This Row],[Vegetated Area Model (m^2)_DCIncrease]])</f>
        <v>4.7194485329210449</v>
      </c>
      <c r="S20">
        <f>LOG(DatabaseTable36[[#This Row],[Vegetated Area Model (m^2)_DCDecrease]])</f>
        <v>4.2423272782013823</v>
      </c>
    </row>
    <row r="21" spans="1:20" x14ac:dyDescent="0.2">
      <c r="A21" t="s">
        <v>17</v>
      </c>
      <c r="B21">
        <v>136350</v>
      </c>
      <c r="C21">
        <v>138045.5</v>
      </c>
      <c r="D21">
        <f>DatabaseTable36[[#This Row],[Vegetated Area from GEP (m^2)]]/DatabaseTable36[[#This Row],[Total island area (m^2)]]</f>
        <v>0.98771781767605604</v>
      </c>
      <c r="E21">
        <f>LOG10(DatabaseTable36[[#This Row],[Vegetated Area from GEP (m^2)]])</f>
        <v>5.1346551422776487</v>
      </c>
      <c r="F21" s="1">
        <v>63954</v>
      </c>
      <c r="G21">
        <v>0.98009154376289986</v>
      </c>
      <c r="H21">
        <f>(DatabaseTable36[[#This Row],[Red Mangrove Area (m^2)]]*G21)/(2*3.14*(72-35))</f>
        <v>269.75716383978522</v>
      </c>
      <c r="I21">
        <f>DatabaseTable36[[#This Row],[Dispersion Coefficient Planet (m^2/yr)]]/365</f>
        <v>0.73906072284872659</v>
      </c>
      <c r="J21">
        <f>DatabaseTable36[[#This Row],[Dispersion Coefficient Planet (m^2/yr)]]+(DatabaseTable36[[#This Row],[Dispersion Coefficient Planet (m^2/yr)]]*0.5)</f>
        <v>404.63574575967783</v>
      </c>
      <c r="K21">
        <f>DatabaseTable36[[#This Row],[Dispersion Coefficient Planet (m^2/yr)]]-(DatabaseTable36[[#This Row],[Dispersion Coefficient Planet (m^2/yr)]]*0.5)</f>
        <v>134.87858191989261</v>
      </c>
      <c r="L21">
        <v>100</v>
      </c>
      <c r="M21">
        <v>35</v>
      </c>
      <c r="N21">
        <f>(3.1415*(DatabaseTable36[[#This Row],[Sc]]-DatabaseTable36[[#This Row],[So]])/(DatabaseTable36[[#This Row],[Enet (m/yr)]]))*(2*DatabaseTable36[[#This Row],[Dispersion Coefficient Planet (m^2/yr)]])</f>
        <v>112405.29277844724</v>
      </c>
      <c r="O21">
        <f>(3.1415*(DatabaseTable36[[#This Row],[Sc]]-DatabaseTable36[[#This Row],[So]])/(DatabaseTable36[[#This Row],[Enet (m/yr)]]))*(2*DatabaseTable36[[#This Row],[Dispersion increase 50 percent]])</f>
        <v>168607.93916767088</v>
      </c>
      <c r="P21">
        <f>(3.1415*(DatabaseTable36[[#This Row],[Sc]]-DatabaseTable36[[#This Row],[So]])/(DatabaseTable36[[#This Row],[Enet (m/yr)]]))*(2*DatabaseTable36[[#This Row],[Dispersion decrease 50 percent]])</f>
        <v>56202.646389223621</v>
      </c>
      <c r="Q21">
        <f>LOG(DatabaseTable36[[#This Row],[Vegetated Area Model (m^2)]])</f>
        <v>5.0507867611472381</v>
      </c>
      <c r="R21">
        <f>LOG(DatabaseTable36[[#This Row],[Vegetated Area Model (m^2)_DCIncrease]])</f>
        <v>5.2268780202029186</v>
      </c>
      <c r="S21">
        <f>LOG(DatabaseTable36[[#This Row],[Vegetated Area Model (m^2)_DCDecrease]])</f>
        <v>4.7497567654832569</v>
      </c>
      <c r="T21" t="s">
        <v>18</v>
      </c>
    </row>
    <row r="22" spans="1:20" x14ac:dyDescent="0.2">
      <c r="A22" t="s">
        <v>17</v>
      </c>
      <c r="B22">
        <v>544291</v>
      </c>
      <c r="C22">
        <v>553930</v>
      </c>
      <c r="D22">
        <f>DatabaseTable36[[#This Row],[Vegetated Area from GEP (m^2)]]/DatabaseTable36[[#This Row],[Total island area (m^2)]]</f>
        <v>0.98259888433556586</v>
      </c>
      <c r="E22">
        <f>LOG10(DatabaseTable36[[#This Row],[Vegetated Area from GEP (m^2)]])</f>
        <v>5.735831153198844</v>
      </c>
      <c r="F22" s="1">
        <v>24051</v>
      </c>
      <c r="G22">
        <v>0.98009154376289986</v>
      </c>
      <c r="H22">
        <f>(DatabaseTable36[[#This Row],[Red Mangrove Area (m^2)]]*G22)/(2*3.14*(72-35))</f>
        <v>101.44681407747248</v>
      </c>
      <c r="I22">
        <f>DatabaseTable36[[#This Row],[Dispersion Coefficient Planet (m^2/yr)]]/365</f>
        <v>0.27793647692458212</v>
      </c>
      <c r="J22">
        <f>DatabaseTable36[[#This Row],[Dispersion Coefficient Planet (m^2/yr)]]+(DatabaseTable36[[#This Row],[Dispersion Coefficient Planet (m^2/yr)]]*0.5)</f>
        <v>152.17022111620872</v>
      </c>
      <c r="K22">
        <f>DatabaseTable36[[#This Row],[Dispersion Coefficient Planet (m^2/yr)]]-(DatabaseTable36[[#This Row],[Dispersion Coefficient Planet (m^2/yr)]]*0.5)</f>
        <v>50.723407038736241</v>
      </c>
      <c r="L22">
        <v>100</v>
      </c>
      <c r="M22">
        <v>35</v>
      </c>
      <c r="N22">
        <f>(3.1415*(DatabaseTable36[[#This Row],[Sc]]-DatabaseTable36[[#This Row],[So]])/(DatabaseTable36[[#This Row],[Enet (m/yr)]]))*(2*DatabaseTable36[[#This Row],[Dispersion Coefficient Planet (m^2/yr)]])</f>
        <v>42271.940716990881</v>
      </c>
      <c r="O22">
        <f>(3.1415*(DatabaseTable36[[#This Row],[Sc]]-DatabaseTable36[[#This Row],[So]])/(DatabaseTable36[[#This Row],[Enet (m/yr)]]))*(2*DatabaseTable36[[#This Row],[Dispersion increase 50 percent]])</f>
        <v>63407.911075486321</v>
      </c>
      <c r="P22">
        <f>(3.1415*(DatabaseTable36[[#This Row],[Sc]]-DatabaseTable36[[#This Row],[So]])/(DatabaseTable36[[#This Row],[Enet (m/yr)]]))*(2*DatabaseTable36[[#This Row],[Dispersion decrease 50 percent]])</f>
        <v>21135.97035849544</v>
      </c>
      <c r="Q22">
        <f>LOG(DatabaseTable36[[#This Row],[Vegetated Area Model (m^2)]])</f>
        <v>4.6260521868716546</v>
      </c>
      <c r="R22">
        <f>LOG(DatabaseTable36[[#This Row],[Vegetated Area Model (m^2)_DCIncrease]])</f>
        <v>4.802143445927336</v>
      </c>
      <c r="S22">
        <f>LOG(DatabaseTable36[[#This Row],[Vegetated Area Model (m^2)_DCDecrease]])</f>
        <v>4.3250221912076734</v>
      </c>
      <c r="T22" t="s">
        <v>18</v>
      </c>
    </row>
    <row r="23" spans="1:20" x14ac:dyDescent="0.2">
      <c r="A23" t="s">
        <v>17</v>
      </c>
      <c r="B23">
        <v>252404</v>
      </c>
      <c r="C23">
        <v>636838</v>
      </c>
      <c r="D23">
        <f>DatabaseTable36[[#This Row],[Vegetated Area from GEP (m^2)]]/DatabaseTable36[[#This Row],[Total island area (m^2)]]</f>
        <v>0.39633941441936565</v>
      </c>
      <c r="E23">
        <f>LOG10(DatabaseTable36[[#This Row],[Vegetated Area from GEP (m^2)]])</f>
        <v>5.4020962331559419</v>
      </c>
      <c r="F23" s="1">
        <v>104904</v>
      </c>
      <c r="G23">
        <v>0.98009154376289986</v>
      </c>
      <c r="H23">
        <f>(DatabaseTable36[[#This Row],[Red Mangrove Area (m^2)]]*G23)/(2*3.14*(72-35))</f>
        <v>442.48374637159253</v>
      </c>
      <c r="I23">
        <f>DatabaseTable36[[#This Row],[Dispersion Coefficient Planet (m^2/yr)]]/365</f>
        <v>1.2122842366345001</v>
      </c>
      <c r="J23">
        <f>DatabaseTable36[[#This Row],[Dispersion Coefficient Planet (m^2/yr)]]+(DatabaseTable36[[#This Row],[Dispersion Coefficient Planet (m^2/yr)]]*0.5)</f>
        <v>663.72561955738877</v>
      </c>
      <c r="K23">
        <f>DatabaseTable36[[#This Row],[Dispersion Coefficient Planet (m^2/yr)]]-(DatabaseTable36[[#This Row],[Dispersion Coefficient Planet (m^2/yr)]]*0.5)</f>
        <v>221.24187318579627</v>
      </c>
      <c r="L23">
        <v>100</v>
      </c>
      <c r="M23">
        <v>35</v>
      </c>
      <c r="N23">
        <f>(3.1415*(DatabaseTable36[[#This Row],[Sc]]-DatabaseTable36[[#This Row],[So]])/(DatabaseTable36[[#This Row],[Enet (m/yr)]]))*(2*DatabaseTable36[[#This Row],[Dispersion Coefficient Planet (m^2/yr)]])</f>
        <v>184378.84782234466</v>
      </c>
      <c r="O23">
        <f>(3.1415*(DatabaseTable36[[#This Row],[Sc]]-DatabaseTable36[[#This Row],[So]])/(DatabaseTable36[[#This Row],[Enet (m/yr)]]))*(2*DatabaseTable36[[#This Row],[Dispersion increase 50 percent]])</f>
        <v>276568.27173351694</v>
      </c>
      <c r="P23">
        <f>(3.1415*(DatabaseTable36[[#This Row],[Sc]]-DatabaseTable36[[#This Row],[So]])/(DatabaseTable36[[#This Row],[Enet (m/yr)]]))*(2*DatabaseTable36[[#This Row],[Dispersion decrease 50 percent]])</f>
        <v>92189.423911172329</v>
      </c>
      <c r="Q23">
        <f>LOG(DatabaseTable36[[#This Row],[Vegetated Area Model (m^2)]])</f>
        <v>5.2657110967558625</v>
      </c>
      <c r="R23">
        <f>LOG(DatabaseTable36[[#This Row],[Vegetated Area Model (m^2)_DCIncrease]])</f>
        <v>5.4418023558115438</v>
      </c>
      <c r="S23">
        <f>LOG(DatabaseTable36[[#This Row],[Vegetated Area Model (m^2)_DCDecrease]])</f>
        <v>4.9646811010918812</v>
      </c>
      <c r="T23" t="s">
        <v>18</v>
      </c>
    </row>
    <row r="24" spans="1:20" x14ac:dyDescent="0.2">
      <c r="A24" t="s">
        <v>17</v>
      </c>
      <c r="B24">
        <v>75396</v>
      </c>
      <c r="C24">
        <v>99877</v>
      </c>
      <c r="D24">
        <f>DatabaseTable36[[#This Row],[Vegetated Area from GEP (m^2)]]/DatabaseTable36[[#This Row],[Total island area (m^2)]]</f>
        <v>0.75488851287083114</v>
      </c>
      <c r="E24">
        <f>LOG10(DatabaseTable36[[#This Row],[Vegetated Area from GEP (m^2)]])</f>
        <v>4.8773483057635643</v>
      </c>
      <c r="F24" s="1">
        <v>35631</v>
      </c>
      <c r="G24">
        <v>0.98009154376289986</v>
      </c>
      <c r="H24">
        <f>(DatabaseTable36[[#This Row],[Red Mangrove Area (m^2)]]*G24)/(2*3.14*(72-35))</f>
        <v>150.29110774580772</v>
      </c>
      <c r="I24">
        <f>DatabaseTable36[[#This Row],[Dispersion Coefficient Planet (m^2/yr)]]/365</f>
        <v>0.41175645957755541</v>
      </c>
      <c r="J24">
        <f>DatabaseTable36[[#This Row],[Dispersion Coefficient Planet (m^2/yr)]]+(DatabaseTable36[[#This Row],[Dispersion Coefficient Planet (m^2/yr)]]*0.5)</f>
        <v>225.43666161871158</v>
      </c>
      <c r="K24">
        <f>DatabaseTable36[[#This Row],[Dispersion Coefficient Planet (m^2/yr)]]-(DatabaseTable36[[#This Row],[Dispersion Coefficient Planet (m^2/yr)]]*0.5)</f>
        <v>75.145553872903861</v>
      </c>
      <c r="L24">
        <v>100</v>
      </c>
      <c r="M24">
        <v>35</v>
      </c>
      <c r="N24">
        <f>(3.1415*(DatabaseTable36[[#This Row],[Sc]]-DatabaseTable36[[#This Row],[So]])/(DatabaseTable36[[#This Row],[Enet (m/yr)]]))*(2*DatabaseTable36[[#This Row],[Dispersion Coefficient Planet (m^2/yr)]])</f>
        <v>62624.902070063697</v>
      </c>
      <c r="O24">
        <f>(3.1415*(DatabaseTable36[[#This Row],[Sc]]-DatabaseTable36[[#This Row],[So]])/(DatabaseTable36[[#This Row],[Enet (m/yr)]]))*(2*DatabaseTable36[[#This Row],[Dispersion increase 50 percent]])</f>
        <v>93937.35310509555</v>
      </c>
      <c r="P24">
        <f>(3.1415*(DatabaseTable36[[#This Row],[Sc]]-DatabaseTable36[[#This Row],[So]])/(DatabaseTable36[[#This Row],[Enet (m/yr)]]))*(2*DatabaseTable36[[#This Row],[Dispersion decrease 50 percent]])</f>
        <v>31312.451035031849</v>
      </c>
      <c r="Q24">
        <f>LOG(DatabaseTable36[[#This Row],[Vegetated Area Model (m^2)]])</f>
        <v>4.7967470597461332</v>
      </c>
      <c r="R24">
        <f>LOG(DatabaseTable36[[#This Row],[Vegetated Area Model (m^2)_DCIncrease]])</f>
        <v>4.9728383188018146</v>
      </c>
      <c r="S24">
        <f>LOG(DatabaseTable36[[#This Row],[Vegetated Area Model (m^2)_DCDecrease]])</f>
        <v>4.495717064082152</v>
      </c>
      <c r="T24" t="s">
        <v>18</v>
      </c>
    </row>
    <row r="25" spans="1:20" x14ac:dyDescent="0.2">
      <c r="A25" t="s">
        <v>17</v>
      </c>
      <c r="B25">
        <v>120650</v>
      </c>
      <c r="C25">
        <v>121718</v>
      </c>
      <c r="D25">
        <f>DatabaseTable36[[#This Row],[Vegetated Area from GEP (m^2)]]/DatabaseTable36[[#This Row],[Total island area (m^2)]]</f>
        <v>0.99122561987544977</v>
      </c>
      <c r="E25">
        <f>LOG10(DatabaseTable36[[#This Row],[Vegetated Area from GEP (m^2)]])</f>
        <v>5.0815273262448049</v>
      </c>
      <c r="F25" s="1">
        <v>46512</v>
      </c>
      <c r="G25">
        <v>0.98009154376289986</v>
      </c>
      <c r="H25">
        <f>(DatabaseTable36[[#This Row],[Red Mangrove Area (m^2)]]*G25)/(2*3.14*(72-35))</f>
        <v>196.18702824711653</v>
      </c>
      <c r="I25">
        <f>DatabaseTable36[[#This Row],[Dispersion Coefficient Planet (m^2/yr)]]/365</f>
        <v>0.53749870752634665</v>
      </c>
      <c r="J25">
        <f>DatabaseTable36[[#This Row],[Dispersion Coefficient Planet (m^2/yr)]]+(DatabaseTable36[[#This Row],[Dispersion Coefficient Planet (m^2/yr)]]*0.5)</f>
        <v>294.28054237067477</v>
      </c>
      <c r="K25">
        <f>DatabaseTable36[[#This Row],[Dispersion Coefficient Planet (m^2/yr)]]-(DatabaseTable36[[#This Row],[Dispersion Coefficient Planet (m^2/yr)]]*0.5)</f>
        <v>98.093514123558265</v>
      </c>
      <c r="L25">
        <v>100</v>
      </c>
      <c r="M25">
        <v>35</v>
      </c>
      <c r="N25">
        <f>(3.1415*(DatabaseTable36[[#This Row],[Sc]]-DatabaseTable36[[#This Row],[So]])/(DatabaseTable36[[#This Row],[Enet (m/yr)]]))*(2*DatabaseTable36[[#This Row],[Dispersion Coefficient Planet (m^2/yr)]])</f>
        <v>81749.303838870721</v>
      </c>
      <c r="O25">
        <f>(3.1415*(DatabaseTable36[[#This Row],[Sc]]-DatabaseTable36[[#This Row],[So]])/(DatabaseTable36[[#This Row],[Enet (m/yr)]]))*(2*DatabaseTable36[[#This Row],[Dispersion increase 50 percent]])</f>
        <v>122623.95575830607</v>
      </c>
      <c r="P25">
        <f>(3.1415*(DatabaseTable36[[#This Row],[Sc]]-DatabaseTable36[[#This Row],[So]])/(DatabaseTable36[[#This Row],[Enet (m/yr)]]))*(2*DatabaseTable36[[#This Row],[Dispersion decrease 50 percent]])</f>
        <v>40874.65191943536</v>
      </c>
      <c r="Q25">
        <f>LOG(DatabaseTable36[[#This Row],[Vegetated Area Model (m^2)]])</f>
        <v>4.9124840629809565</v>
      </c>
      <c r="R25">
        <f>LOG(DatabaseTable36[[#This Row],[Vegetated Area Model (m^2)_DCIncrease]])</f>
        <v>5.0885753220366379</v>
      </c>
      <c r="S25">
        <f>LOG(DatabaseTable36[[#This Row],[Vegetated Area Model (m^2)_DCDecrease]])</f>
        <v>4.6114540673169753</v>
      </c>
      <c r="T25" t="s">
        <v>18</v>
      </c>
    </row>
    <row r="26" spans="1:20" x14ac:dyDescent="0.2">
      <c r="A26" t="s">
        <v>17</v>
      </c>
      <c r="B26">
        <v>106110</v>
      </c>
      <c r="C26">
        <v>229855</v>
      </c>
      <c r="D26">
        <f>DatabaseTable36[[#This Row],[Vegetated Area from GEP (m^2)]]/DatabaseTable36[[#This Row],[Total island area (m^2)]]</f>
        <v>0.46163885928085097</v>
      </c>
      <c r="E26">
        <f>LOG10(DatabaseTable36[[#This Row],[Vegetated Area from GEP (m^2)]])</f>
        <v>5.025756314534414</v>
      </c>
      <c r="F26" s="1">
        <v>39042</v>
      </c>
      <c r="G26">
        <v>0.98009154376289986</v>
      </c>
      <c r="H26">
        <f>(DatabaseTable36[[#This Row],[Red Mangrove Area (m^2)]]*G26)/(2*3.14*(72-35))</f>
        <v>164.6786626424132</v>
      </c>
      <c r="I26">
        <f>DatabaseTable36[[#This Row],[Dispersion Coefficient Planet (m^2/yr)]]/365</f>
        <v>0.45117441819839232</v>
      </c>
      <c r="J26">
        <f>DatabaseTable36[[#This Row],[Dispersion Coefficient Planet (m^2/yr)]]+(DatabaseTable36[[#This Row],[Dispersion Coefficient Planet (m^2/yr)]]*0.5)</f>
        <v>247.0179939636198</v>
      </c>
      <c r="K26">
        <f>DatabaseTable36[[#This Row],[Dispersion Coefficient Planet (m^2/yr)]]-(DatabaseTable36[[#This Row],[Dispersion Coefficient Planet (m^2/yr)]]*0.5)</f>
        <v>82.3393313212066</v>
      </c>
      <c r="L26">
        <v>100</v>
      </c>
      <c r="M26">
        <v>35</v>
      </c>
      <c r="N26">
        <f>(3.1415*(DatabaseTable36[[#This Row],[Sc]]-DatabaseTable36[[#This Row],[So]])/(DatabaseTable36[[#This Row],[Enet (m/yr)]]))*(2*DatabaseTable36[[#This Row],[Dispersion Coefficient Planet (m^2/yr)]])</f>
        <v>68620.061929764153</v>
      </c>
      <c r="O26">
        <f>(3.1415*(DatabaseTable36[[#This Row],[Sc]]-DatabaseTable36[[#This Row],[So]])/(DatabaseTable36[[#This Row],[Enet (m/yr)]]))*(2*DatabaseTable36[[#This Row],[Dispersion increase 50 percent]])</f>
        <v>102930.09289464624</v>
      </c>
      <c r="P26">
        <f>(3.1415*(DatabaseTable36[[#This Row],[Sc]]-DatabaseTable36[[#This Row],[So]])/(DatabaseTable36[[#This Row],[Enet (m/yr)]]))*(2*DatabaseTable36[[#This Row],[Dispersion decrease 50 percent]])</f>
        <v>34310.030964882077</v>
      </c>
      <c r="Q26">
        <f>LOG(DatabaseTable36[[#This Row],[Vegetated Area Model (m^2)]])</f>
        <v>4.8364511056721033</v>
      </c>
      <c r="R26">
        <f>LOG(DatabaseTable36[[#This Row],[Vegetated Area Model (m^2)_DCIncrease]])</f>
        <v>5.0125423647277847</v>
      </c>
      <c r="S26">
        <f>LOG(DatabaseTable36[[#This Row],[Vegetated Area Model (m^2)_DCDecrease]])</f>
        <v>4.5354211100081221</v>
      </c>
      <c r="T26" t="s">
        <v>18</v>
      </c>
    </row>
    <row r="27" spans="1:20" x14ac:dyDescent="0.2">
      <c r="A27" t="s">
        <v>17</v>
      </c>
      <c r="B27">
        <v>74044</v>
      </c>
      <c r="C27">
        <v>110299</v>
      </c>
      <c r="D27">
        <f>DatabaseTable36[[#This Row],[Vegetated Area from GEP (m^2)]]/DatabaseTable36[[#This Row],[Total island area (m^2)]]</f>
        <v>0.67130255034043829</v>
      </c>
      <c r="E27">
        <f>LOG10(DatabaseTable36[[#This Row],[Vegetated Area from GEP (m^2)]])</f>
        <v>4.8694898721419673</v>
      </c>
      <c r="F27" s="1">
        <v>14517</v>
      </c>
      <c r="G27">
        <v>0.98009154376289986</v>
      </c>
      <c r="H27">
        <f>(DatabaseTable36[[#This Row],[Red Mangrove Area (m^2)]]*G27)/(2*3.14*(72-35))</f>
        <v>61.232522554682461</v>
      </c>
      <c r="I27">
        <f>DatabaseTable36[[#This Row],[Dispersion Coefficient Planet (m^2/yr)]]/365</f>
        <v>0.16776033576625332</v>
      </c>
      <c r="J27">
        <f>DatabaseTable36[[#This Row],[Dispersion Coefficient Planet (m^2/yr)]]+(DatabaseTable36[[#This Row],[Dispersion Coefficient Planet (m^2/yr)]]*0.5)</f>
        <v>91.848783832023685</v>
      </c>
      <c r="K27">
        <f>DatabaseTable36[[#This Row],[Dispersion Coefficient Planet (m^2/yr)]]-(DatabaseTable36[[#This Row],[Dispersion Coefficient Planet (m^2/yr)]]*0.5)</f>
        <v>30.616261277341231</v>
      </c>
      <c r="L27">
        <v>100</v>
      </c>
      <c r="M27">
        <v>35</v>
      </c>
      <c r="N27">
        <f>(3.1415*(DatabaseTable36[[#This Row],[Sc]]-DatabaseTable36[[#This Row],[So]])/(DatabaseTable36[[#This Row],[Enet (m/yr)]]))*(2*DatabaseTable36[[#This Row],[Dispersion Coefficient Planet (m^2/yr)]])</f>
        <v>25515.020722155277</v>
      </c>
      <c r="O27">
        <f>(3.1415*(DatabaseTable36[[#This Row],[Sc]]-DatabaseTable36[[#This Row],[So]])/(DatabaseTable36[[#This Row],[Enet (m/yr)]]))*(2*DatabaseTable36[[#This Row],[Dispersion increase 50 percent]])</f>
        <v>38272.531083232912</v>
      </c>
      <c r="P27">
        <f>(3.1415*(DatabaseTable36[[#This Row],[Sc]]-DatabaseTable36[[#This Row],[So]])/(DatabaseTable36[[#This Row],[Enet (m/yr)]]))*(2*DatabaseTable36[[#This Row],[Dispersion decrease 50 percent]])</f>
        <v>12757.510361077639</v>
      </c>
      <c r="Q27">
        <f>LOG(DatabaseTable36[[#This Row],[Vegetated Area Model (m^2)]])</f>
        <v>4.4067959253828901</v>
      </c>
      <c r="R27">
        <f>LOG(DatabaseTable36[[#This Row],[Vegetated Area Model (m^2)_DCIncrease]])</f>
        <v>4.5828871844385715</v>
      </c>
      <c r="S27">
        <f>LOG(DatabaseTable36[[#This Row],[Vegetated Area Model (m^2)_DCDecrease]])</f>
        <v>4.1057659297189089</v>
      </c>
      <c r="T27" t="s">
        <v>18</v>
      </c>
    </row>
    <row r="28" spans="1:20" x14ac:dyDescent="0.2">
      <c r="A28" t="s">
        <v>17</v>
      </c>
      <c r="B28">
        <v>737302</v>
      </c>
      <c r="C28">
        <v>797543</v>
      </c>
      <c r="D28">
        <f>DatabaseTable36[[#This Row],[Vegetated Area from GEP (m^2)]]/DatabaseTable36[[#This Row],[Total island area (m^2)]]</f>
        <v>0.92446676856294896</v>
      </c>
      <c r="E28">
        <f>LOG10(DatabaseTable36[[#This Row],[Vegetated Area from GEP (m^2)]])</f>
        <v>5.8676454119687245</v>
      </c>
      <c r="F28" s="1">
        <v>666630</v>
      </c>
      <c r="G28">
        <v>0.98009154376289986</v>
      </c>
      <c r="H28">
        <f>(DatabaseTable36[[#This Row],[Red Mangrove Area (m^2)]]*G28)/(2*3.14*(72-35))</f>
        <v>2811.8369160727402</v>
      </c>
      <c r="I28">
        <f>DatabaseTable36[[#This Row],[Dispersion Coefficient Planet (m^2/yr)]]/365</f>
        <v>7.7036627837609322</v>
      </c>
      <c r="J28">
        <f>DatabaseTable36[[#This Row],[Dispersion Coefficient Planet (m^2/yr)]]+(DatabaseTable36[[#This Row],[Dispersion Coefficient Planet (m^2/yr)]]*0.5)</f>
        <v>4217.7553741091106</v>
      </c>
      <c r="K28">
        <f>DatabaseTable36[[#This Row],[Dispersion Coefficient Planet (m^2/yr)]]-(DatabaseTable36[[#This Row],[Dispersion Coefficient Planet (m^2/yr)]]*0.5)</f>
        <v>1405.9184580363701</v>
      </c>
      <c r="L28">
        <v>100</v>
      </c>
      <c r="M28">
        <v>35</v>
      </c>
      <c r="N28">
        <f>(3.1415*(DatabaseTable36[[#This Row],[Sc]]-DatabaseTable36[[#This Row],[So]])/(DatabaseTable36[[#This Row],[Enet (m/yr)]]))*(2*DatabaseTable36[[#This Row],[Dispersion Coefficient Planet (m^2/yr)]])</f>
        <v>1171666.2026596661</v>
      </c>
      <c r="O28">
        <f>(3.1415*(DatabaseTable36[[#This Row],[Sc]]-DatabaseTable36[[#This Row],[So]])/(DatabaseTable36[[#This Row],[Enet (m/yr)]]))*(2*DatabaseTable36[[#This Row],[Dispersion increase 50 percent]])</f>
        <v>1757499.3039894993</v>
      </c>
      <c r="P28">
        <f>(3.1415*(DatabaseTable36[[#This Row],[Sc]]-DatabaseTable36[[#This Row],[So]])/(DatabaseTable36[[#This Row],[Enet (m/yr)]]))*(2*DatabaseTable36[[#This Row],[Dispersion decrease 50 percent]])</f>
        <v>585833.10132983304</v>
      </c>
      <c r="Q28">
        <f>LOG(DatabaseTable36[[#This Row],[Vegetated Area Model (m^2)]])</f>
        <v>6.0688039026455236</v>
      </c>
      <c r="R28">
        <f>LOG(DatabaseTable36[[#This Row],[Vegetated Area Model (m^2)_DCIncrease]])</f>
        <v>6.244895161701205</v>
      </c>
      <c r="S28">
        <f>LOG(DatabaseTable36[[#This Row],[Vegetated Area Model (m^2)_DCDecrease]])</f>
        <v>5.7677739069815424</v>
      </c>
      <c r="T28" t="s">
        <v>23</v>
      </c>
    </row>
    <row r="29" spans="1:20" x14ac:dyDescent="0.2">
      <c r="A29" t="s">
        <v>17</v>
      </c>
      <c r="B29">
        <v>195762</v>
      </c>
      <c r="C29">
        <v>219211</v>
      </c>
      <c r="D29">
        <f>DatabaseTable36[[#This Row],[Vegetated Area from GEP (m^2)]]/DatabaseTable36[[#This Row],[Total island area (m^2)]]</f>
        <v>0.893030003056416</v>
      </c>
      <c r="E29">
        <f>LOG10(DatabaseTable36[[#This Row],[Vegetated Area from GEP (m^2)]])</f>
        <v>5.2917283933304864</v>
      </c>
      <c r="F29" s="1">
        <v>153199</v>
      </c>
      <c r="G29">
        <v>0.98009154376289986</v>
      </c>
      <c r="H29">
        <f>(DatabaseTable36[[#This Row],[Red Mangrove Area (m^2)]]*G29)/(2*3.14*(72-35))</f>
        <v>646.19144608767647</v>
      </c>
      <c r="I29">
        <f>DatabaseTable36[[#This Row],[Dispersion Coefficient Planet (m^2/yr)]]/365</f>
        <v>1.7703875235278808</v>
      </c>
      <c r="J29">
        <f>DatabaseTable36[[#This Row],[Dispersion Coefficient Planet (m^2/yr)]]+(DatabaseTable36[[#This Row],[Dispersion Coefficient Planet (m^2/yr)]]*0.5)</f>
        <v>969.2871691315147</v>
      </c>
      <c r="K29">
        <f>DatabaseTable36[[#This Row],[Dispersion Coefficient Planet (m^2/yr)]]-(DatabaseTable36[[#This Row],[Dispersion Coefficient Planet (m^2/yr)]]*0.5)</f>
        <v>323.09572304383823</v>
      </c>
      <c r="L29">
        <v>100</v>
      </c>
      <c r="M29">
        <v>35</v>
      </c>
      <c r="N29">
        <f>(3.1415*(DatabaseTable36[[#This Row],[Sc]]-DatabaseTable36[[#This Row],[So]])/(DatabaseTable36[[#This Row],[Enet (m/yr)]]))*(2*DatabaseTable36[[#This Row],[Dispersion Coefficient Planet (m^2/yr)]])</f>
        <v>269261.94527887763</v>
      </c>
      <c r="O29">
        <f>(3.1415*(DatabaseTable36[[#This Row],[Sc]]-DatabaseTable36[[#This Row],[So]])/(DatabaseTable36[[#This Row],[Enet (m/yr)]]))*(2*DatabaseTable36[[#This Row],[Dispersion increase 50 percent]])</f>
        <v>403892.9179183165</v>
      </c>
      <c r="P29">
        <f>(3.1415*(DatabaseTable36[[#This Row],[Sc]]-DatabaseTable36[[#This Row],[So]])/(DatabaseTable36[[#This Row],[Enet (m/yr)]]))*(2*DatabaseTable36[[#This Row],[Dispersion decrease 50 percent]])</f>
        <v>134630.97263943881</v>
      </c>
      <c r="Q29">
        <f>LOG(DatabaseTable36[[#This Row],[Vegetated Area Model (m^2)]])</f>
        <v>5.430174979021559</v>
      </c>
      <c r="R29">
        <f>LOG(DatabaseTable36[[#This Row],[Vegetated Area Model (m^2)_DCIncrease]])</f>
        <v>5.6062662380772403</v>
      </c>
      <c r="S29">
        <f>LOG(DatabaseTable36[[#This Row],[Vegetated Area Model (m^2)_DCDecrease]])</f>
        <v>5.1291449833575777</v>
      </c>
      <c r="T29" t="s">
        <v>23</v>
      </c>
    </row>
    <row r="30" spans="1:20" x14ac:dyDescent="0.2">
      <c r="A30" t="s">
        <v>17</v>
      </c>
      <c r="B30">
        <v>62553</v>
      </c>
      <c r="C30">
        <v>83055</v>
      </c>
      <c r="D30">
        <f>DatabaseTable36[[#This Row],[Vegetated Area from GEP (m^2)]]/DatabaseTable36[[#This Row],[Total island area (m^2)]]</f>
        <v>0.75315152609716451</v>
      </c>
      <c r="E30">
        <f>LOG10(DatabaseTable36[[#This Row],[Vegetated Area from GEP (m^2)]])</f>
        <v>4.7962481430015007</v>
      </c>
      <c r="F30" s="1">
        <v>36423</v>
      </c>
      <c r="G30">
        <v>0.98009154376289986</v>
      </c>
      <c r="H30">
        <f>(DatabaseTable36[[#This Row],[Red Mangrove Area (m^2)]]*G30)/(2*3.14*(72-35))</f>
        <v>153.6317537376317</v>
      </c>
      <c r="I30">
        <f>DatabaseTable36[[#This Row],[Dispersion Coefficient Planet (m^2/yr)]]/365</f>
        <v>0.42090891434967587</v>
      </c>
      <c r="J30">
        <f>DatabaseTable36[[#This Row],[Dispersion Coefficient Planet (m^2/yr)]]+(DatabaseTable36[[#This Row],[Dispersion Coefficient Planet (m^2/yr)]]*0.5)</f>
        <v>230.44763060644755</v>
      </c>
      <c r="K30">
        <f>DatabaseTable36[[#This Row],[Dispersion Coefficient Planet (m^2/yr)]]-(DatabaseTable36[[#This Row],[Dispersion Coefficient Planet (m^2/yr)]]*0.5)</f>
        <v>76.815876868815849</v>
      </c>
      <c r="L30">
        <v>100</v>
      </c>
      <c r="M30">
        <v>35</v>
      </c>
      <c r="N30">
        <f>(3.1415*(DatabaseTable36[[#This Row],[Sc]]-DatabaseTable36[[#This Row],[So]])/(DatabaseTable36[[#This Row],[Enet (m/yr)]]))*(2*DatabaseTable36[[#This Row],[Dispersion Coefficient Planet (m^2/yr)]])</f>
        <v>64016.918079703915</v>
      </c>
      <c r="O30">
        <f>(3.1415*(DatabaseTable36[[#This Row],[Sc]]-DatabaseTable36[[#This Row],[So]])/(DatabaseTable36[[#This Row],[Enet (m/yr)]]))*(2*DatabaseTable36[[#This Row],[Dispersion increase 50 percent]])</f>
        <v>96025.377119555866</v>
      </c>
      <c r="P30">
        <f>(3.1415*(DatabaseTable36[[#This Row],[Sc]]-DatabaseTable36[[#This Row],[So]])/(DatabaseTable36[[#This Row],[Enet (m/yr)]]))*(2*DatabaseTable36[[#This Row],[Dispersion decrease 50 percent]])</f>
        <v>32008.459039851958</v>
      </c>
      <c r="Q30">
        <f>LOG(DatabaseTable36[[#This Row],[Vegetated Area Model (m^2)]])</f>
        <v>4.8062947623854955</v>
      </c>
      <c r="R30">
        <f>LOG(DatabaseTable36[[#This Row],[Vegetated Area Model (m^2)_DCIncrease]])</f>
        <v>4.9823860214411768</v>
      </c>
      <c r="S30">
        <f>LOG(DatabaseTable36[[#This Row],[Vegetated Area Model (m^2)_DCDecrease]])</f>
        <v>4.5052647667215142</v>
      </c>
      <c r="T30" t="s">
        <v>23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5D57-13C1-8748-8E9B-AAAC314BB8E6}">
  <dimension ref="A1:AE31"/>
  <sheetViews>
    <sheetView tabSelected="1" topLeftCell="A20" zoomScale="125" workbookViewId="0">
      <selection activeCell="D29" sqref="D29"/>
    </sheetView>
  </sheetViews>
  <sheetFormatPr baseColWidth="10" defaultRowHeight="16" x14ac:dyDescent="0.2"/>
  <cols>
    <col min="2" max="2" width="25" bestFit="1" customWidth="1"/>
    <col min="3" max="3" width="23.33203125" bestFit="1" customWidth="1"/>
    <col min="4" max="4" width="23.33203125" customWidth="1"/>
    <col min="5" max="5" width="15.6640625" bestFit="1" customWidth="1"/>
    <col min="6" max="6" width="15.6640625" customWidth="1"/>
    <col min="7" max="7" width="19.5" bestFit="1" customWidth="1"/>
    <col min="8" max="9" width="19.5" customWidth="1"/>
    <col min="10" max="10" width="12.33203125" bestFit="1" customWidth="1"/>
    <col min="11" max="11" width="24.33203125" bestFit="1" customWidth="1"/>
    <col min="12" max="14" width="24.33203125" customWidth="1"/>
    <col min="15" max="15" width="24.33203125" style="6" customWidth="1"/>
    <col min="17" max="17" width="18" bestFit="1" customWidth="1"/>
    <col min="18" max="18" width="24.33203125" bestFit="1" customWidth="1"/>
    <col min="20" max="20" width="10.83203125" style="6"/>
    <col min="30" max="30" width="15.5" bestFit="1" customWidth="1"/>
    <col min="31" max="31" width="26.6640625" customWidth="1"/>
  </cols>
  <sheetData>
    <row r="1" spans="1:31" x14ac:dyDescent="0.2">
      <c r="A1" t="s">
        <v>31</v>
      </c>
      <c r="B1" t="s">
        <v>46</v>
      </c>
      <c r="C1" t="s">
        <v>47</v>
      </c>
      <c r="D1" t="s">
        <v>118</v>
      </c>
      <c r="E1" t="s">
        <v>39</v>
      </c>
      <c r="F1" t="s">
        <v>42</v>
      </c>
      <c r="G1" t="s">
        <v>40</v>
      </c>
      <c r="H1" t="s">
        <v>43</v>
      </c>
      <c r="I1" t="s">
        <v>38</v>
      </c>
      <c r="J1" t="s">
        <v>44</v>
      </c>
      <c r="K1" t="s">
        <v>57</v>
      </c>
      <c r="L1" t="s">
        <v>58</v>
      </c>
      <c r="M1" t="s">
        <v>59</v>
      </c>
      <c r="N1" t="s">
        <v>60</v>
      </c>
      <c r="O1" s="6" t="s">
        <v>61</v>
      </c>
      <c r="P1" t="s">
        <v>48</v>
      </c>
      <c r="Q1" t="s">
        <v>41</v>
      </c>
      <c r="R1" t="s">
        <v>49</v>
      </c>
      <c r="S1" t="s">
        <v>32</v>
      </c>
      <c r="T1" s="6" t="s">
        <v>50</v>
      </c>
      <c r="U1" t="s">
        <v>35</v>
      </c>
      <c r="V1" t="s">
        <v>33</v>
      </c>
      <c r="W1" s="6" t="s">
        <v>51</v>
      </c>
      <c r="X1" t="s">
        <v>36</v>
      </c>
      <c r="Y1" t="s">
        <v>34</v>
      </c>
      <c r="Z1" s="6" t="s">
        <v>52</v>
      </c>
      <c r="AA1" t="s">
        <v>37</v>
      </c>
      <c r="AD1" t="s">
        <v>0</v>
      </c>
      <c r="AE1" t="s">
        <v>1</v>
      </c>
    </row>
    <row r="2" spans="1:31" x14ac:dyDescent="0.2">
      <c r="A2" t="s">
        <v>17</v>
      </c>
      <c r="B2">
        <v>195762</v>
      </c>
      <c r="C2">
        <f>B2*0.0001</f>
        <v>19.5762</v>
      </c>
      <c r="D2">
        <f>E2/C2</f>
        <v>2718.3259830814973</v>
      </c>
      <c r="E2">
        <v>53214.493110000003</v>
      </c>
      <c r="F2">
        <f>E2*0.475</f>
        <v>25276.884227250001</v>
      </c>
      <c r="G2">
        <f>E2*5.66</f>
        <v>301194.03100260004</v>
      </c>
      <c r="H2">
        <f>G2*0.475</f>
        <v>143067.164726235</v>
      </c>
      <c r="J2">
        <f>F2+H2+I2</f>
        <v>168344.04895348501</v>
      </c>
      <c r="K2">
        <v>6.75</v>
      </c>
      <c r="L2">
        <f>K2*0.475</f>
        <v>3.2062499999999998</v>
      </c>
      <c r="M2">
        <v>1.0900000000000001</v>
      </c>
      <c r="N2">
        <f>M2+L2</f>
        <v>4.2962499999999997</v>
      </c>
      <c r="O2" s="6">
        <f>N2*C2</f>
        <v>84.104249249999995</v>
      </c>
      <c r="P2" t="e">
        <f>#REF!*C2</f>
        <v>#REF!</v>
      </c>
      <c r="Q2">
        <v>7.99</v>
      </c>
      <c r="R2">
        <f>Q2*0.43</f>
        <v>3.4357000000000002</v>
      </c>
      <c r="S2">
        <v>-9.6755621799999997E-3</v>
      </c>
      <c r="T2" s="6">
        <f>S2*O2</f>
        <v>-0.81375589322059327</v>
      </c>
      <c r="U2">
        <f>O2-($O2*ABS(S2))</f>
        <v>83.290493356779407</v>
      </c>
      <c r="V2">
        <v>-5.8502410929999998E-2</v>
      </c>
      <c r="W2" s="6">
        <f>V2*O2</f>
        <v>-4.9203013505826441</v>
      </c>
      <c r="X2">
        <f>$O2-($O2*ABS(V2))</f>
        <v>79.183947899417348</v>
      </c>
      <c r="Y2">
        <v>-8.9185064009999995E-2</v>
      </c>
      <c r="Z2" s="6">
        <f>Y2*O2</f>
        <v>-7.5008428528742437</v>
      </c>
      <c r="AA2">
        <f>$O2-($O2*ABS(Y2))</f>
        <v>76.603406397125752</v>
      </c>
    </row>
    <row r="3" spans="1:31" x14ac:dyDescent="0.2">
      <c r="A3" t="s">
        <v>17</v>
      </c>
      <c r="B3">
        <v>252404</v>
      </c>
      <c r="C3">
        <f t="shared" ref="C3:C28" si="0">B3*0.0001</f>
        <v>25.240400000000001</v>
      </c>
      <c r="D3">
        <f t="shared" ref="D3:D31" si="1">E3/C3</f>
        <v>46.617196914470448</v>
      </c>
      <c r="E3">
        <v>1176.6366969999999</v>
      </c>
      <c r="F3">
        <f t="shared" ref="F3:F27" si="2">E3*0.475</f>
        <v>558.90243107499998</v>
      </c>
      <c r="G3">
        <f t="shared" ref="G3:G27" si="3">E3*5.66</f>
        <v>6659.7637050200001</v>
      </c>
      <c r="H3">
        <f t="shared" ref="H3:H27" si="4">G3*0.475</f>
        <v>3163.3877598844997</v>
      </c>
      <c r="J3">
        <f t="shared" ref="J3:J27" si="5">F3+H3+I3</f>
        <v>3722.2901909594998</v>
      </c>
      <c r="K3">
        <v>6.75</v>
      </c>
      <c r="L3">
        <f t="shared" ref="L3:L28" si="6">K3*0.475</f>
        <v>3.2062499999999998</v>
      </c>
      <c r="M3">
        <v>1.0900000000000001</v>
      </c>
      <c r="N3">
        <f t="shared" ref="N3:N28" si="7">M3+L3</f>
        <v>4.2962499999999997</v>
      </c>
      <c r="O3" s="6">
        <f t="shared" ref="O3:O27" si="8">N3*C3</f>
        <v>108.43906849999999</v>
      </c>
      <c r="P3" t="e">
        <f>#REF!*C3</f>
        <v>#REF!</v>
      </c>
      <c r="Q3">
        <v>7.99</v>
      </c>
      <c r="R3">
        <f t="shared" ref="R3:R28" si="9">Q3*0.43</f>
        <v>3.4357000000000002</v>
      </c>
      <c r="S3">
        <v>-9.6755621799999997E-3</v>
      </c>
      <c r="T3" s="6">
        <f t="shared" ref="T3:T28" si="10">S3*O3</f>
        <v>-1.0492089500130293</v>
      </c>
      <c r="U3">
        <f t="shared" ref="U3:U27" si="11">O3-($O3*ABS(S3))</f>
        <v>107.38985954998697</v>
      </c>
      <c r="V3">
        <v>-5.8502410929999998E-2</v>
      </c>
      <c r="W3" s="6">
        <f t="shared" ref="W3:W28" si="12">V3*O3</f>
        <v>-6.3439469462534177</v>
      </c>
      <c r="X3">
        <f t="shared" ref="X3:X27" si="13">$O3-($O3*ABS(V3))</f>
        <v>102.09512155374657</v>
      </c>
      <c r="Y3">
        <v>-8.9185064009999995E-2</v>
      </c>
      <c r="Z3" s="6">
        <f t="shared" ref="Z3:Z28" si="14">Y3*O3</f>
        <v>-9.6711452653572731</v>
      </c>
      <c r="AA3">
        <f t="shared" ref="AA3:AA27" si="15">$O3-($O3*ABS(Y3))</f>
        <v>98.767923234642723</v>
      </c>
    </row>
    <row r="4" spans="1:31" x14ac:dyDescent="0.2">
      <c r="A4" t="s">
        <v>17</v>
      </c>
      <c r="B4">
        <v>75396</v>
      </c>
      <c r="C4">
        <f t="shared" si="0"/>
        <v>7.5396000000000001</v>
      </c>
      <c r="D4">
        <f t="shared" si="1"/>
        <v>31.774858719295452</v>
      </c>
      <c r="E4">
        <v>239.56972479999999</v>
      </c>
      <c r="F4">
        <f t="shared" si="2"/>
        <v>113.79561927999998</v>
      </c>
      <c r="G4">
        <f t="shared" si="3"/>
        <v>1355.9646423679999</v>
      </c>
      <c r="H4">
        <f t="shared" si="4"/>
        <v>644.08320512479986</v>
      </c>
      <c r="J4">
        <f t="shared" si="5"/>
        <v>757.87882440479984</v>
      </c>
      <c r="K4">
        <v>6.75</v>
      </c>
      <c r="L4">
        <f t="shared" si="6"/>
        <v>3.2062499999999998</v>
      </c>
      <c r="M4">
        <v>1.0900000000000001</v>
      </c>
      <c r="N4">
        <f t="shared" si="7"/>
        <v>4.2962499999999997</v>
      </c>
      <c r="O4" s="6">
        <f t="shared" si="8"/>
        <v>32.392006500000001</v>
      </c>
      <c r="P4" t="e">
        <f>#REF!*C4</f>
        <v>#REF!</v>
      </c>
      <c r="Q4">
        <v>7.99</v>
      </c>
      <c r="R4">
        <f t="shared" si="9"/>
        <v>3.4357000000000002</v>
      </c>
      <c r="S4">
        <v>-9.6755621799999997E-3</v>
      </c>
      <c r="T4" s="6">
        <f t="shared" si="10"/>
        <v>-0.31341087302571419</v>
      </c>
      <c r="U4">
        <f t="shared" si="11"/>
        <v>32.078595626974284</v>
      </c>
      <c r="V4">
        <v>-5.8502410929999998E-2</v>
      </c>
      <c r="W4" s="6">
        <f t="shared" si="12"/>
        <v>-1.895010475110231</v>
      </c>
      <c r="X4">
        <f t="shared" si="13"/>
        <v>30.496996024889771</v>
      </c>
      <c r="Y4">
        <v>-8.9185064009999995E-2</v>
      </c>
      <c r="Z4" s="6">
        <f t="shared" si="14"/>
        <v>-2.8888831731148361</v>
      </c>
      <c r="AA4">
        <f t="shared" si="15"/>
        <v>29.503123326885166</v>
      </c>
    </row>
    <row r="5" spans="1:31" x14ac:dyDescent="0.2">
      <c r="A5" t="s">
        <v>15</v>
      </c>
      <c r="B5">
        <v>2979571</v>
      </c>
      <c r="C5">
        <f t="shared" si="0"/>
        <v>297.95710000000003</v>
      </c>
      <c r="D5">
        <f t="shared" si="1"/>
        <v>181.49427092020966</v>
      </c>
      <c r="E5">
        <v>54077.506630000003</v>
      </c>
      <c r="F5">
        <f t="shared" si="2"/>
        <v>25686.815649250002</v>
      </c>
      <c r="G5">
        <f t="shared" si="3"/>
        <v>306078.68752580002</v>
      </c>
      <c r="H5">
        <f t="shared" si="4"/>
        <v>145387.37657475501</v>
      </c>
      <c r="J5">
        <f t="shared" si="5"/>
        <v>171074.192224005</v>
      </c>
      <c r="K5">
        <v>6.75</v>
      </c>
      <c r="L5">
        <f t="shared" si="6"/>
        <v>3.2062499999999998</v>
      </c>
      <c r="M5">
        <v>1.0900000000000001</v>
      </c>
      <c r="N5">
        <f t="shared" si="7"/>
        <v>4.2962499999999997</v>
      </c>
      <c r="O5" s="6">
        <f t="shared" si="8"/>
        <v>1280.098190875</v>
      </c>
      <c r="P5" t="e">
        <f>#REF!*C5</f>
        <v>#REF!</v>
      </c>
      <c r="Q5">
        <v>7.99</v>
      </c>
      <c r="R5">
        <f t="shared" si="9"/>
        <v>3.4357000000000002</v>
      </c>
      <c r="S5">
        <v>-6.3940990330000003E-2</v>
      </c>
      <c r="T5" s="6">
        <f t="shared" si="10"/>
        <v>-81.850746044188867</v>
      </c>
      <c r="U5">
        <f t="shared" si="11"/>
        <v>1198.2474448308112</v>
      </c>
      <c r="V5">
        <v>-2.8776614230000001E-2</v>
      </c>
      <c r="W5" s="6">
        <f t="shared" si="12"/>
        <v>-36.83689181533078</v>
      </c>
      <c r="X5">
        <f t="shared" si="13"/>
        <v>1243.2612990596692</v>
      </c>
      <c r="Y5">
        <v>-0.2077123384</v>
      </c>
      <c r="Z5" s="6">
        <f t="shared" si="14"/>
        <v>-265.89218860825582</v>
      </c>
      <c r="AA5">
        <f t="shared" si="15"/>
        <v>1014.2060022667442</v>
      </c>
    </row>
    <row r="6" spans="1:31" x14ac:dyDescent="0.2">
      <c r="A6" t="s">
        <v>22</v>
      </c>
      <c r="B6">
        <v>1293025</v>
      </c>
      <c r="C6">
        <f t="shared" si="0"/>
        <v>129.30250000000001</v>
      </c>
      <c r="D6">
        <f t="shared" si="1"/>
        <v>504.15103845633303</v>
      </c>
      <c r="E6">
        <v>65187.989650000003</v>
      </c>
      <c r="F6">
        <f t="shared" si="2"/>
        <v>30964.295083749999</v>
      </c>
      <c r="G6">
        <f t="shared" si="3"/>
        <v>368964.02141900006</v>
      </c>
      <c r="H6">
        <f t="shared" si="4"/>
        <v>175257.91017402502</v>
      </c>
      <c r="J6">
        <f t="shared" si="5"/>
        <v>206222.20525777503</v>
      </c>
      <c r="K6">
        <v>6.75</v>
      </c>
      <c r="L6">
        <f t="shared" si="6"/>
        <v>3.2062499999999998</v>
      </c>
      <c r="M6">
        <v>1.0900000000000001</v>
      </c>
      <c r="N6">
        <f t="shared" si="7"/>
        <v>4.2962499999999997</v>
      </c>
      <c r="O6" s="6">
        <f t="shared" si="8"/>
        <v>555.51586562499995</v>
      </c>
      <c r="P6" t="e">
        <f>#REF!*C6</f>
        <v>#REF!</v>
      </c>
      <c r="Q6">
        <v>7.99</v>
      </c>
      <c r="R6">
        <f t="shared" si="9"/>
        <v>3.4357000000000002</v>
      </c>
      <c r="S6">
        <v>1.7173667600000001E-3</v>
      </c>
      <c r="T6" s="6">
        <f t="shared" si="10"/>
        <v>0.95402448227700165</v>
      </c>
      <c r="U6">
        <f t="shared" si="11"/>
        <v>554.56184114272298</v>
      </c>
      <c r="V6">
        <v>-7.4616358290000004E-2</v>
      </c>
      <c r="W6" s="6">
        <f t="shared" si="12"/>
        <v>-41.450570865254491</v>
      </c>
      <c r="X6">
        <f t="shared" si="13"/>
        <v>514.06529475974548</v>
      </c>
      <c r="Y6">
        <v>-0.1100241456</v>
      </c>
      <c r="Z6" s="6">
        <f t="shared" si="14"/>
        <v>-61.120158482635027</v>
      </c>
      <c r="AA6">
        <f t="shared" si="15"/>
        <v>494.39570714236493</v>
      </c>
    </row>
    <row r="7" spans="1:31" x14ac:dyDescent="0.2">
      <c r="A7" t="s">
        <v>22</v>
      </c>
      <c r="B7">
        <v>42603</v>
      </c>
      <c r="C7">
        <f t="shared" si="0"/>
        <v>4.2603</v>
      </c>
      <c r="D7">
        <f t="shared" si="1"/>
        <v>506.07143651855506</v>
      </c>
      <c r="E7">
        <v>2156.0161410000001</v>
      </c>
      <c r="F7">
        <f t="shared" si="2"/>
        <v>1024.107666975</v>
      </c>
      <c r="G7">
        <f t="shared" si="3"/>
        <v>12203.05135806</v>
      </c>
      <c r="H7">
        <f t="shared" si="4"/>
        <v>5796.4493950784999</v>
      </c>
      <c r="J7">
        <f t="shared" si="5"/>
        <v>6820.5570620535</v>
      </c>
      <c r="K7">
        <v>6.75</v>
      </c>
      <c r="L7">
        <f t="shared" si="6"/>
        <v>3.2062499999999998</v>
      </c>
      <c r="M7">
        <v>1.0900000000000001</v>
      </c>
      <c r="N7">
        <f t="shared" si="7"/>
        <v>4.2962499999999997</v>
      </c>
      <c r="O7" s="6">
        <f t="shared" si="8"/>
        <v>18.303313874999997</v>
      </c>
      <c r="P7" t="e">
        <f>#REF!*C7</f>
        <v>#REF!</v>
      </c>
      <c r="Q7">
        <v>7.99</v>
      </c>
      <c r="R7">
        <f t="shared" si="9"/>
        <v>3.4357000000000002</v>
      </c>
      <c r="S7">
        <v>1.7173667600000001E-3</v>
      </c>
      <c r="T7" s="6">
        <f t="shared" si="10"/>
        <v>3.1433502846771794E-2</v>
      </c>
      <c r="U7">
        <f t="shared" si="11"/>
        <v>18.271880372153227</v>
      </c>
      <c r="V7">
        <v>-7.4616358290000004E-2</v>
      </c>
      <c r="W7" s="6">
        <f t="shared" si="12"/>
        <v>-1.3657266259913281</v>
      </c>
      <c r="X7">
        <f t="shared" si="13"/>
        <v>16.937587249008669</v>
      </c>
      <c r="Y7">
        <v>-0.1100241456</v>
      </c>
      <c r="Z7" s="6">
        <f t="shared" si="14"/>
        <v>-2.0138064707454997</v>
      </c>
      <c r="AA7">
        <f t="shared" si="15"/>
        <v>16.289507404254497</v>
      </c>
    </row>
    <row r="8" spans="1:31" x14ac:dyDescent="0.2">
      <c r="A8" t="s">
        <v>17</v>
      </c>
      <c r="B8">
        <v>136350</v>
      </c>
      <c r="C8">
        <f t="shared" si="0"/>
        <v>13.635</v>
      </c>
      <c r="D8">
        <f t="shared" si="1"/>
        <v>231.1700036670334</v>
      </c>
      <c r="E8">
        <v>3152.0030000000002</v>
      </c>
      <c r="F8">
        <f t="shared" si="2"/>
        <v>1497.201425</v>
      </c>
      <c r="G8">
        <f t="shared" si="3"/>
        <v>17840.33698</v>
      </c>
      <c r="H8">
        <f t="shared" si="4"/>
        <v>8474.1600655000002</v>
      </c>
      <c r="J8">
        <f t="shared" si="5"/>
        <v>9971.3614904999995</v>
      </c>
      <c r="K8">
        <v>6.75</v>
      </c>
      <c r="L8">
        <f t="shared" si="6"/>
        <v>3.2062499999999998</v>
      </c>
      <c r="M8">
        <v>1.0900000000000001</v>
      </c>
      <c r="N8">
        <f t="shared" si="7"/>
        <v>4.2962499999999997</v>
      </c>
      <c r="O8" s="6">
        <f t="shared" si="8"/>
        <v>58.579368749999993</v>
      </c>
      <c r="P8" t="e">
        <f>#REF!*C8</f>
        <v>#REF!</v>
      </c>
      <c r="Q8">
        <v>7.99</v>
      </c>
      <c r="R8">
        <f t="shared" si="9"/>
        <v>3.4357000000000002</v>
      </c>
      <c r="S8">
        <v>-9.6755621799999997E-3</v>
      </c>
      <c r="T8" s="6">
        <f t="shared" si="10"/>
        <v>-0.56678832480577379</v>
      </c>
      <c r="U8">
        <f t="shared" si="11"/>
        <v>58.012580425194223</v>
      </c>
      <c r="V8">
        <v>-5.8502410929999998E-2</v>
      </c>
      <c r="W8" s="6">
        <f t="shared" si="12"/>
        <v>-3.4270343026324999</v>
      </c>
      <c r="X8">
        <f t="shared" si="13"/>
        <v>55.152334447367494</v>
      </c>
      <c r="Y8">
        <v>-8.9185064009999995E-2</v>
      </c>
      <c r="Z8" s="6">
        <f t="shared" si="14"/>
        <v>-5.2244047516341432</v>
      </c>
      <c r="AA8">
        <f t="shared" si="15"/>
        <v>53.354963998365847</v>
      </c>
    </row>
    <row r="9" spans="1:31" x14ac:dyDescent="0.2">
      <c r="A9" t="s">
        <v>17</v>
      </c>
      <c r="B9">
        <v>544291</v>
      </c>
      <c r="C9">
        <f t="shared" si="0"/>
        <v>54.429100000000005</v>
      </c>
      <c r="D9">
        <f t="shared" si="1"/>
        <v>223.25999933858907</v>
      </c>
      <c r="E9">
        <v>12151.840829999999</v>
      </c>
      <c r="F9">
        <f t="shared" si="2"/>
        <v>5772.1243942499996</v>
      </c>
      <c r="G9">
        <f t="shared" si="3"/>
        <v>68779.419097799997</v>
      </c>
      <c r="H9">
        <f t="shared" si="4"/>
        <v>32670.224071454995</v>
      </c>
      <c r="J9">
        <f t="shared" si="5"/>
        <v>38442.348465704992</v>
      </c>
      <c r="K9">
        <v>6.75</v>
      </c>
      <c r="L9">
        <f t="shared" si="6"/>
        <v>3.2062499999999998</v>
      </c>
      <c r="M9">
        <v>1.0900000000000001</v>
      </c>
      <c r="N9">
        <f t="shared" si="7"/>
        <v>4.2962499999999997</v>
      </c>
      <c r="O9" s="6">
        <f t="shared" si="8"/>
        <v>233.841020875</v>
      </c>
      <c r="P9" t="e">
        <f>#REF!*C9</f>
        <v>#REF!</v>
      </c>
      <c r="Q9">
        <v>7.99</v>
      </c>
      <c r="R9">
        <f t="shared" si="9"/>
        <v>3.4357000000000002</v>
      </c>
      <c r="S9">
        <v>-9.6755621799999997E-3</v>
      </c>
      <c r="T9" s="6">
        <f t="shared" si="10"/>
        <v>-2.2625433377107402</v>
      </c>
      <c r="U9">
        <f t="shared" si="11"/>
        <v>231.57847753728925</v>
      </c>
      <c r="V9">
        <v>-5.8502410929999998E-2</v>
      </c>
      <c r="W9" s="6">
        <f t="shared" si="12"/>
        <v>-13.680263495519958</v>
      </c>
      <c r="X9">
        <f t="shared" si="13"/>
        <v>220.16075737948003</v>
      </c>
      <c r="Y9">
        <v>-8.9185064009999995E-2</v>
      </c>
      <c r="Z9" s="6">
        <f t="shared" si="14"/>
        <v>-20.855126414900621</v>
      </c>
      <c r="AA9">
        <f t="shared" si="15"/>
        <v>212.98589446009939</v>
      </c>
    </row>
    <row r="10" spans="1:31" x14ac:dyDescent="0.2">
      <c r="A10" t="s">
        <v>17</v>
      </c>
      <c r="B10">
        <v>120650</v>
      </c>
      <c r="C10">
        <f t="shared" si="0"/>
        <v>12.065000000000001</v>
      </c>
      <c r="D10">
        <f t="shared" si="1"/>
        <v>208.08314844591791</v>
      </c>
      <c r="E10">
        <v>2510.5231859999999</v>
      </c>
      <c r="F10">
        <f t="shared" si="2"/>
        <v>1192.4985133499999</v>
      </c>
      <c r="G10">
        <f t="shared" si="3"/>
        <v>14209.561232759999</v>
      </c>
      <c r="H10">
        <f t="shared" si="4"/>
        <v>6749.541585560999</v>
      </c>
      <c r="J10">
        <f t="shared" si="5"/>
        <v>7942.0400989109985</v>
      </c>
      <c r="K10">
        <v>6.75</v>
      </c>
      <c r="L10">
        <f t="shared" si="6"/>
        <v>3.2062499999999998</v>
      </c>
      <c r="M10">
        <v>1.0900000000000001</v>
      </c>
      <c r="N10">
        <f t="shared" si="7"/>
        <v>4.2962499999999997</v>
      </c>
      <c r="O10" s="6">
        <f t="shared" si="8"/>
        <v>51.834256250000003</v>
      </c>
      <c r="P10" t="e">
        <f>#REF!*C10</f>
        <v>#REF!</v>
      </c>
      <c r="Q10">
        <v>7.99</v>
      </c>
      <c r="R10">
        <f t="shared" si="9"/>
        <v>3.4357000000000002</v>
      </c>
      <c r="S10">
        <v>-9.6755621799999997E-3</v>
      </c>
      <c r="T10" s="6">
        <f t="shared" si="10"/>
        <v>-0.50152556940092863</v>
      </c>
      <c r="U10">
        <f t="shared" si="11"/>
        <v>51.332730680599077</v>
      </c>
      <c r="V10">
        <v>-5.8502410929999998E-2</v>
      </c>
      <c r="W10" s="6">
        <f t="shared" si="12"/>
        <v>-3.0324289593884211</v>
      </c>
      <c r="X10">
        <f t="shared" si="13"/>
        <v>48.801827290611584</v>
      </c>
      <c r="Y10">
        <v>-8.9185064009999995E-2</v>
      </c>
      <c r="Z10" s="6">
        <f t="shared" si="14"/>
        <v>-4.6228414615669928</v>
      </c>
      <c r="AA10">
        <f t="shared" si="15"/>
        <v>47.211414788433011</v>
      </c>
    </row>
    <row r="11" spans="1:31" x14ac:dyDescent="0.2">
      <c r="A11" t="s">
        <v>17</v>
      </c>
      <c r="B11">
        <v>295857</v>
      </c>
      <c r="C11">
        <f t="shared" si="0"/>
        <v>29.585700000000003</v>
      </c>
      <c r="D11">
        <f t="shared" si="1"/>
        <v>39.59055526825459</v>
      </c>
      <c r="E11">
        <v>1171.3142909999999</v>
      </c>
      <c r="F11">
        <f t="shared" si="2"/>
        <v>556.37428822499999</v>
      </c>
      <c r="G11">
        <f t="shared" si="3"/>
        <v>6629.6388870599994</v>
      </c>
      <c r="H11">
        <f t="shared" si="4"/>
        <v>3149.0784713534995</v>
      </c>
      <c r="J11">
        <f t="shared" si="5"/>
        <v>3705.4527595784994</v>
      </c>
      <c r="K11">
        <v>6.75</v>
      </c>
      <c r="L11">
        <f t="shared" si="6"/>
        <v>3.2062499999999998</v>
      </c>
      <c r="M11">
        <v>1.0900000000000001</v>
      </c>
      <c r="N11">
        <f t="shared" si="7"/>
        <v>4.2962499999999997</v>
      </c>
      <c r="O11" s="6">
        <f t="shared" si="8"/>
        <v>127.107563625</v>
      </c>
      <c r="P11" t="e">
        <f>#REF!*C11</f>
        <v>#REF!</v>
      </c>
      <c r="Q11">
        <v>7.99</v>
      </c>
      <c r="R11">
        <f t="shared" si="9"/>
        <v>3.4357000000000002</v>
      </c>
      <c r="S11">
        <v>-9.6755621799999997E-3</v>
      </c>
      <c r="T11" s="6">
        <f t="shared" si="10"/>
        <v>-1.2298371354019937</v>
      </c>
      <c r="U11">
        <f t="shared" si="11"/>
        <v>125.877726489598</v>
      </c>
      <c r="V11">
        <v>-5.8502410929999998E-2</v>
      </c>
      <c r="W11" s="6">
        <f t="shared" si="12"/>
        <v>-7.4360989195008704</v>
      </c>
      <c r="X11">
        <f t="shared" si="13"/>
        <v>119.67146470549913</v>
      </c>
      <c r="Y11">
        <v>-8.9185064009999995E-2</v>
      </c>
      <c r="Z11" s="6">
        <f t="shared" si="14"/>
        <v>-11.336096198050772</v>
      </c>
      <c r="AA11">
        <f t="shared" si="15"/>
        <v>115.77146742694923</v>
      </c>
    </row>
    <row r="12" spans="1:31" x14ac:dyDescent="0.2">
      <c r="A12" t="s">
        <v>17</v>
      </c>
      <c r="B12">
        <v>241064</v>
      </c>
      <c r="C12">
        <f t="shared" si="0"/>
        <v>24.106400000000001</v>
      </c>
      <c r="D12">
        <f t="shared" si="1"/>
        <v>24.253081837188464</v>
      </c>
      <c r="E12">
        <v>584.654492</v>
      </c>
      <c r="F12">
        <f t="shared" si="2"/>
        <v>277.71088370000001</v>
      </c>
      <c r="G12">
        <f t="shared" si="3"/>
        <v>3309.1444247200002</v>
      </c>
      <c r="H12">
        <f t="shared" si="4"/>
        <v>1571.8436017419999</v>
      </c>
      <c r="J12">
        <f t="shared" si="5"/>
        <v>1849.554485442</v>
      </c>
      <c r="K12">
        <v>6.75</v>
      </c>
      <c r="L12">
        <f t="shared" si="6"/>
        <v>3.2062499999999998</v>
      </c>
      <c r="M12">
        <v>1.0900000000000001</v>
      </c>
      <c r="N12">
        <f t="shared" si="7"/>
        <v>4.2962499999999997</v>
      </c>
      <c r="O12" s="6">
        <f t="shared" si="8"/>
        <v>103.567121</v>
      </c>
      <c r="P12" t="e">
        <f>#REF!*C12</f>
        <v>#REF!</v>
      </c>
      <c r="Q12">
        <v>7.99</v>
      </c>
      <c r="R12">
        <f t="shared" si="9"/>
        <v>3.4357000000000002</v>
      </c>
      <c r="S12">
        <v>-9.6755621799999997E-3</v>
      </c>
      <c r="T12" s="6">
        <f t="shared" si="10"/>
        <v>-1.0020701190390837</v>
      </c>
      <c r="U12">
        <f t="shared" si="11"/>
        <v>102.56505088096091</v>
      </c>
      <c r="V12">
        <v>-5.8502410929999998E-2</v>
      </c>
      <c r="W12" s="6">
        <f t="shared" si="12"/>
        <v>-6.0589262715790326</v>
      </c>
      <c r="X12">
        <f t="shared" si="13"/>
        <v>97.50819472842096</v>
      </c>
      <c r="Y12">
        <v>-8.9185064009999995E-2</v>
      </c>
      <c r="Z12" s="6">
        <f t="shared" si="14"/>
        <v>-9.2366403157164143</v>
      </c>
      <c r="AA12">
        <f t="shared" si="15"/>
        <v>94.330480684283586</v>
      </c>
    </row>
    <row r="13" spans="1:31" x14ac:dyDescent="0.2">
      <c r="A13" t="s">
        <v>17</v>
      </c>
      <c r="B13">
        <v>112319</v>
      </c>
      <c r="C13">
        <f t="shared" si="0"/>
        <v>11.231900000000001</v>
      </c>
      <c r="D13">
        <f t="shared" si="1"/>
        <v>195.96091489418527</v>
      </c>
      <c r="E13">
        <v>2201.0133999999998</v>
      </c>
      <c r="F13">
        <f t="shared" si="2"/>
        <v>1045.4813649999999</v>
      </c>
      <c r="G13">
        <f t="shared" si="3"/>
        <v>12457.735843999999</v>
      </c>
      <c r="H13">
        <f t="shared" si="4"/>
        <v>5917.424525899999</v>
      </c>
      <c r="J13">
        <f t="shared" si="5"/>
        <v>6962.9058908999987</v>
      </c>
      <c r="K13">
        <v>6.75</v>
      </c>
      <c r="L13">
        <f t="shared" si="6"/>
        <v>3.2062499999999998</v>
      </c>
      <c r="M13">
        <v>1.0900000000000001</v>
      </c>
      <c r="N13">
        <f t="shared" si="7"/>
        <v>4.2962499999999997</v>
      </c>
      <c r="O13" s="6">
        <f t="shared" si="8"/>
        <v>48.255050375000003</v>
      </c>
      <c r="P13" t="e">
        <f>#REF!*C13</f>
        <v>#REF!</v>
      </c>
      <c r="Q13">
        <v>7.99</v>
      </c>
      <c r="R13">
        <f t="shared" si="9"/>
        <v>3.4357000000000002</v>
      </c>
      <c r="S13">
        <v>-9.6755621799999997E-3</v>
      </c>
      <c r="T13" s="6">
        <f t="shared" si="10"/>
        <v>-0.46689474040234485</v>
      </c>
      <c r="U13">
        <f t="shared" si="11"/>
        <v>47.788155634597658</v>
      </c>
      <c r="V13">
        <v>-5.8502410929999998E-2</v>
      </c>
      <c r="W13" s="6">
        <f t="shared" si="12"/>
        <v>-2.8230367864861008</v>
      </c>
      <c r="X13">
        <f t="shared" si="13"/>
        <v>45.432013588513904</v>
      </c>
      <c r="Y13">
        <v>-8.9185064009999995E-2</v>
      </c>
      <c r="Z13" s="6">
        <f t="shared" si="14"/>
        <v>-4.3036297565001496</v>
      </c>
      <c r="AA13">
        <f t="shared" si="15"/>
        <v>43.951420618499853</v>
      </c>
    </row>
    <row r="14" spans="1:31" x14ac:dyDescent="0.2">
      <c r="A14" t="s">
        <v>17</v>
      </c>
      <c r="B14">
        <v>35737</v>
      </c>
      <c r="C14">
        <f t="shared" si="0"/>
        <v>3.5737000000000001</v>
      </c>
      <c r="D14">
        <f t="shared" si="1"/>
        <v>1.0267523295184262</v>
      </c>
      <c r="E14">
        <v>3.6693047999999999</v>
      </c>
      <c r="F14">
        <f t="shared" si="2"/>
        <v>1.7429197799999998</v>
      </c>
      <c r="G14">
        <f t="shared" si="3"/>
        <v>20.768265167999999</v>
      </c>
      <c r="H14">
        <f t="shared" si="4"/>
        <v>9.8649259547999986</v>
      </c>
      <c r="J14">
        <f t="shared" si="5"/>
        <v>11.607845734799998</v>
      </c>
      <c r="K14">
        <v>6.75</v>
      </c>
      <c r="L14">
        <f t="shared" si="6"/>
        <v>3.2062499999999998</v>
      </c>
      <c r="M14">
        <v>1.0900000000000001</v>
      </c>
      <c r="N14">
        <f t="shared" si="7"/>
        <v>4.2962499999999997</v>
      </c>
      <c r="O14" s="6">
        <f t="shared" si="8"/>
        <v>15.353508625</v>
      </c>
      <c r="P14" t="e">
        <f>#REF!*C14</f>
        <v>#REF!</v>
      </c>
      <c r="Q14">
        <v>7.99</v>
      </c>
      <c r="R14">
        <f t="shared" si="9"/>
        <v>3.4357000000000002</v>
      </c>
      <c r="S14">
        <v>-9.6755621799999997E-3</v>
      </c>
      <c r="T14" s="6">
        <f t="shared" si="10"/>
        <v>-0.14855382738235379</v>
      </c>
      <c r="U14">
        <f t="shared" si="11"/>
        <v>15.204954797617646</v>
      </c>
      <c r="V14">
        <v>-5.8502410929999998E-2</v>
      </c>
      <c r="W14" s="6">
        <f t="shared" si="12"/>
        <v>-0.89821727079704927</v>
      </c>
      <c r="X14">
        <f t="shared" si="13"/>
        <v>14.45529135420295</v>
      </c>
      <c r="Y14">
        <v>-8.9185064009999995E-2</v>
      </c>
      <c r="Z14" s="6">
        <f t="shared" si="14"/>
        <v>-1.3693036494987121</v>
      </c>
      <c r="AA14">
        <f t="shared" si="15"/>
        <v>13.984204975501289</v>
      </c>
    </row>
    <row r="15" spans="1:31" x14ac:dyDescent="0.2">
      <c r="A15" t="s">
        <v>16</v>
      </c>
      <c r="B15">
        <v>1197621</v>
      </c>
      <c r="C15">
        <f t="shared" si="0"/>
        <v>119.7621</v>
      </c>
      <c r="D15">
        <f t="shared" si="1"/>
        <v>99.468610019363382</v>
      </c>
      <c r="E15">
        <v>11912.56962</v>
      </c>
      <c r="F15">
        <f t="shared" si="2"/>
        <v>5658.4705695000002</v>
      </c>
      <c r="G15">
        <f t="shared" si="3"/>
        <v>67425.144049199997</v>
      </c>
      <c r="H15">
        <f t="shared" si="4"/>
        <v>32026.943423369998</v>
      </c>
      <c r="J15">
        <f t="shared" si="5"/>
        <v>37685.413992869995</v>
      </c>
      <c r="K15">
        <v>6.75</v>
      </c>
      <c r="L15">
        <f t="shared" si="6"/>
        <v>3.2062499999999998</v>
      </c>
      <c r="M15">
        <v>1.0900000000000001</v>
      </c>
      <c r="N15">
        <f t="shared" si="7"/>
        <v>4.2962499999999997</v>
      </c>
      <c r="O15" s="6">
        <f t="shared" si="8"/>
        <v>514.52792212500003</v>
      </c>
      <c r="P15" t="e">
        <f>#REF!*C15</f>
        <v>#REF!</v>
      </c>
      <c r="Q15">
        <v>7.99</v>
      </c>
      <c r="R15">
        <f t="shared" si="9"/>
        <v>3.4357000000000002</v>
      </c>
      <c r="S15">
        <v>-3.0484580179999998E-2</v>
      </c>
      <c r="T15" s="6">
        <f t="shared" si="10"/>
        <v>-15.685167696868358</v>
      </c>
      <c r="U15">
        <f t="shared" si="11"/>
        <v>498.84275442813168</v>
      </c>
      <c r="V15">
        <v>-3.9817887320000002E-2</v>
      </c>
      <c r="W15" s="6">
        <f t="shared" si="12"/>
        <v>-20.487414826166987</v>
      </c>
      <c r="X15">
        <f t="shared" si="13"/>
        <v>494.04050729883306</v>
      </c>
      <c r="Y15">
        <v>-0.1359423018</v>
      </c>
      <c r="Z15" s="6">
        <f t="shared" si="14"/>
        <v>-69.946110074043645</v>
      </c>
      <c r="AA15">
        <f t="shared" si="15"/>
        <v>444.58181205095639</v>
      </c>
    </row>
    <row r="16" spans="1:31" x14ac:dyDescent="0.2">
      <c r="A16" t="s">
        <v>14</v>
      </c>
      <c r="B16">
        <v>8487</v>
      </c>
      <c r="C16">
        <f t="shared" si="0"/>
        <v>0.84870000000000001</v>
      </c>
      <c r="D16">
        <f t="shared" si="1"/>
        <v>47.470323789324851</v>
      </c>
      <c r="E16">
        <v>40.288063800000003</v>
      </c>
      <c r="F16">
        <f t="shared" si="2"/>
        <v>19.136830305</v>
      </c>
      <c r="G16">
        <f t="shared" si="3"/>
        <v>228.03044110800002</v>
      </c>
      <c r="H16">
        <f t="shared" si="4"/>
        <v>108.3144595263</v>
      </c>
      <c r="J16">
        <f t="shared" si="5"/>
        <v>127.4512898313</v>
      </c>
      <c r="K16">
        <v>6.75</v>
      </c>
      <c r="L16">
        <f t="shared" si="6"/>
        <v>3.2062499999999998</v>
      </c>
      <c r="M16">
        <v>1.0900000000000001</v>
      </c>
      <c r="N16">
        <f t="shared" si="7"/>
        <v>4.2962499999999997</v>
      </c>
      <c r="O16" s="6">
        <f t="shared" si="8"/>
        <v>3.6462273749999996</v>
      </c>
      <c r="P16" t="e">
        <f>#REF!*C16</f>
        <v>#REF!</v>
      </c>
      <c r="Q16">
        <v>7.99</v>
      </c>
      <c r="R16">
        <f t="shared" si="9"/>
        <v>3.4357000000000002</v>
      </c>
      <c r="S16">
        <v>-2.7958372850000003E-2</v>
      </c>
      <c r="T16" s="6">
        <f t="shared" si="10"/>
        <v>-0.10194258444612676</v>
      </c>
      <c r="U16">
        <f t="shared" si="11"/>
        <v>3.5442847905538728</v>
      </c>
      <c r="V16">
        <v>-6.4427454940000004E-2</v>
      </c>
      <c r="W16" s="6">
        <f t="shared" si="12"/>
        <v>-0.23491714990380697</v>
      </c>
      <c r="X16">
        <f t="shared" si="13"/>
        <v>3.4113102250961926</v>
      </c>
      <c r="Y16">
        <v>-0.1278540356</v>
      </c>
      <c r="Z16" s="6">
        <f t="shared" si="14"/>
        <v>-0.46618488460894447</v>
      </c>
      <c r="AA16">
        <f t="shared" si="15"/>
        <v>3.1800424903910551</v>
      </c>
    </row>
    <row r="17" spans="1:27" x14ac:dyDescent="0.2">
      <c r="A17" t="s">
        <v>14</v>
      </c>
      <c r="B17">
        <v>7174</v>
      </c>
      <c r="C17">
        <f t="shared" si="0"/>
        <v>0.71740000000000004</v>
      </c>
      <c r="D17">
        <f t="shared" si="1"/>
        <v>157.97508056872036</v>
      </c>
      <c r="E17">
        <v>113.3313228</v>
      </c>
      <c r="F17">
        <f t="shared" si="2"/>
        <v>53.832378329999997</v>
      </c>
      <c r="G17">
        <f t="shared" si="3"/>
        <v>641.45528704799995</v>
      </c>
      <c r="H17">
        <f t="shared" si="4"/>
        <v>304.69126134779998</v>
      </c>
      <c r="J17">
        <f t="shared" si="5"/>
        <v>358.52363967779996</v>
      </c>
      <c r="K17">
        <v>6.75</v>
      </c>
      <c r="L17">
        <f t="shared" si="6"/>
        <v>3.2062499999999998</v>
      </c>
      <c r="M17">
        <v>1.0900000000000001</v>
      </c>
      <c r="N17">
        <f t="shared" si="7"/>
        <v>4.2962499999999997</v>
      </c>
      <c r="O17" s="6">
        <f t="shared" si="8"/>
        <v>3.08212975</v>
      </c>
      <c r="P17" t="e">
        <f>#REF!*C17</f>
        <v>#REF!</v>
      </c>
      <c r="Q17">
        <v>7.99</v>
      </c>
      <c r="R17">
        <f t="shared" si="9"/>
        <v>3.4357000000000002</v>
      </c>
      <c r="S17">
        <v>-2.7958372850000003E-2</v>
      </c>
      <c r="T17" s="6">
        <f t="shared" si="10"/>
        <v>-8.6171332722577293E-2</v>
      </c>
      <c r="U17">
        <f t="shared" si="11"/>
        <v>2.9959584172774227</v>
      </c>
      <c r="V17">
        <v>-6.4427454940000004E-2</v>
      </c>
      <c r="W17" s="6">
        <f t="shared" si="12"/>
        <v>-0.19857377558735848</v>
      </c>
      <c r="X17">
        <f t="shared" si="13"/>
        <v>2.8835559744126416</v>
      </c>
      <c r="Y17">
        <v>-0.1278540356</v>
      </c>
      <c r="Z17" s="6">
        <f t="shared" si="14"/>
        <v>-0.39406272678031912</v>
      </c>
      <c r="AA17">
        <f t="shared" si="15"/>
        <v>2.6880670232196811</v>
      </c>
    </row>
    <row r="18" spans="1:27" x14ac:dyDescent="0.2">
      <c r="A18" t="s">
        <v>14</v>
      </c>
      <c r="B18">
        <v>67701</v>
      </c>
      <c r="C18">
        <f t="shared" si="0"/>
        <v>6.7701000000000002</v>
      </c>
      <c r="D18">
        <f t="shared" si="1"/>
        <v>194.45218711688156</v>
      </c>
      <c r="E18">
        <v>1316.460752</v>
      </c>
      <c r="F18">
        <f t="shared" si="2"/>
        <v>625.31885719999991</v>
      </c>
      <c r="G18">
        <f t="shared" si="3"/>
        <v>7451.1678563200003</v>
      </c>
      <c r="H18">
        <f t="shared" si="4"/>
        <v>3539.304731752</v>
      </c>
      <c r="J18">
        <f t="shared" si="5"/>
        <v>4164.6235889519994</v>
      </c>
      <c r="K18">
        <v>6.75</v>
      </c>
      <c r="L18">
        <f t="shared" si="6"/>
        <v>3.2062499999999998</v>
      </c>
      <c r="M18">
        <v>1.0900000000000001</v>
      </c>
      <c r="N18">
        <f t="shared" si="7"/>
        <v>4.2962499999999997</v>
      </c>
      <c r="O18" s="6">
        <f t="shared" si="8"/>
        <v>29.086042124999999</v>
      </c>
      <c r="P18" t="e">
        <f>#REF!*C18</f>
        <v>#REF!</v>
      </c>
      <c r="Q18">
        <v>7.99</v>
      </c>
      <c r="R18">
        <f t="shared" si="9"/>
        <v>3.4357000000000002</v>
      </c>
      <c r="S18">
        <v>-2.7958372850000003E-2</v>
      </c>
      <c r="T18" s="6">
        <f t="shared" si="10"/>
        <v>-0.81319841046155639</v>
      </c>
      <c r="U18">
        <f t="shared" si="11"/>
        <v>28.272843714538443</v>
      </c>
      <c r="V18">
        <v>-6.4427454940000004E-2</v>
      </c>
      <c r="W18" s="6">
        <f t="shared" si="12"/>
        <v>-1.8739396683913794</v>
      </c>
      <c r="X18">
        <f t="shared" si="13"/>
        <v>27.212102456608619</v>
      </c>
      <c r="Y18">
        <v>-0.1278540356</v>
      </c>
      <c r="Z18" s="6">
        <f t="shared" si="14"/>
        <v>-3.7187678653128495</v>
      </c>
      <c r="AA18">
        <f t="shared" si="15"/>
        <v>25.36727425968715</v>
      </c>
    </row>
    <row r="19" spans="1:27" x14ac:dyDescent="0.2">
      <c r="A19" t="s">
        <v>14</v>
      </c>
      <c r="B19">
        <v>17014</v>
      </c>
      <c r="C19">
        <f t="shared" si="0"/>
        <v>1.7014</v>
      </c>
      <c r="D19">
        <f t="shared" si="1"/>
        <v>429.48839861290702</v>
      </c>
      <c r="E19">
        <v>730.73156140000003</v>
      </c>
      <c r="F19">
        <f t="shared" si="2"/>
        <v>347.09749166500001</v>
      </c>
      <c r="G19">
        <f t="shared" si="3"/>
        <v>4135.9406375240005</v>
      </c>
      <c r="H19">
        <f t="shared" si="4"/>
        <v>1964.5718028239</v>
      </c>
      <c r="J19">
        <f t="shared" si="5"/>
        <v>2311.6692944889001</v>
      </c>
      <c r="K19">
        <v>6.75</v>
      </c>
      <c r="L19">
        <f t="shared" si="6"/>
        <v>3.2062499999999998</v>
      </c>
      <c r="M19">
        <v>1.0900000000000001</v>
      </c>
      <c r="N19">
        <f t="shared" si="7"/>
        <v>4.2962499999999997</v>
      </c>
      <c r="O19" s="6">
        <f t="shared" si="8"/>
        <v>7.3096397499999997</v>
      </c>
      <c r="P19" t="e">
        <f>#REF!*C19</f>
        <v>#REF!</v>
      </c>
      <c r="Q19">
        <v>7.99</v>
      </c>
      <c r="R19">
        <f t="shared" si="9"/>
        <v>3.4357000000000002</v>
      </c>
      <c r="S19">
        <v>-2.7958372850000003E-2</v>
      </c>
      <c r="T19" s="6">
        <f t="shared" si="10"/>
        <v>-0.20436563352968079</v>
      </c>
      <c r="U19">
        <f t="shared" si="11"/>
        <v>7.1052741164703193</v>
      </c>
      <c r="V19">
        <v>-6.4427454940000004E-2</v>
      </c>
      <c r="W19" s="6">
        <f t="shared" si="12"/>
        <v>-0.47094148562075788</v>
      </c>
      <c r="X19">
        <f t="shared" si="13"/>
        <v>6.838698264379242</v>
      </c>
      <c r="Y19">
        <v>-0.1278540356</v>
      </c>
      <c r="Z19" s="6">
        <f t="shared" si="14"/>
        <v>-0.93456694081967506</v>
      </c>
      <c r="AA19">
        <f t="shared" si="15"/>
        <v>6.3750728091803248</v>
      </c>
    </row>
    <row r="20" spans="1:27" x14ac:dyDescent="0.2">
      <c r="A20" t="s">
        <v>14</v>
      </c>
      <c r="B20">
        <v>85012</v>
      </c>
      <c r="C20">
        <f t="shared" si="0"/>
        <v>8.5012000000000008</v>
      </c>
      <c r="D20">
        <f t="shared" si="1"/>
        <v>234.33203124264807</v>
      </c>
      <c r="E20">
        <v>1992.103464</v>
      </c>
      <c r="F20">
        <f t="shared" si="2"/>
        <v>946.24914539999997</v>
      </c>
      <c r="G20">
        <f t="shared" si="3"/>
        <v>11275.305606240001</v>
      </c>
      <c r="H20">
        <f t="shared" si="4"/>
        <v>5355.7701629640005</v>
      </c>
      <c r="J20">
        <f t="shared" si="5"/>
        <v>6302.0193083640006</v>
      </c>
      <c r="K20">
        <v>6.75</v>
      </c>
      <c r="L20">
        <f t="shared" si="6"/>
        <v>3.2062499999999998</v>
      </c>
      <c r="M20">
        <v>1.0900000000000001</v>
      </c>
      <c r="N20">
        <f t="shared" si="7"/>
        <v>4.2962499999999997</v>
      </c>
      <c r="O20" s="6">
        <f t="shared" si="8"/>
        <v>36.523280499999998</v>
      </c>
      <c r="P20" t="e">
        <f>#REF!*C20</f>
        <v>#REF!</v>
      </c>
      <c r="Q20">
        <v>7.99</v>
      </c>
      <c r="R20">
        <f t="shared" si="9"/>
        <v>3.4357000000000002</v>
      </c>
      <c r="S20">
        <v>-2.7958372850000003E-2</v>
      </c>
      <c r="T20" s="6">
        <f t="shared" si="10"/>
        <v>-1.0211314939241345</v>
      </c>
      <c r="U20">
        <f t="shared" si="11"/>
        <v>35.502149006075861</v>
      </c>
      <c r="V20">
        <v>-6.4427454940000004E-2</v>
      </c>
      <c r="W20" s="6">
        <f t="shared" si="12"/>
        <v>-2.3531020086747305</v>
      </c>
      <c r="X20">
        <f t="shared" si="13"/>
        <v>34.170178491325267</v>
      </c>
      <c r="Y20">
        <v>-0.1278540356</v>
      </c>
      <c r="Z20" s="6">
        <f t="shared" si="14"/>
        <v>-4.6696488052757852</v>
      </c>
      <c r="AA20">
        <f t="shared" si="15"/>
        <v>31.853631694724214</v>
      </c>
    </row>
    <row r="21" spans="1:27" x14ac:dyDescent="0.2">
      <c r="A21" t="s">
        <v>14</v>
      </c>
      <c r="B21">
        <v>23700</v>
      </c>
      <c r="C21">
        <f t="shared" si="0"/>
        <v>2.37</v>
      </c>
      <c r="D21">
        <f t="shared" si="1"/>
        <v>246.57233616033753</v>
      </c>
      <c r="E21">
        <v>584.3764367</v>
      </c>
      <c r="F21">
        <f t="shared" si="2"/>
        <v>277.57880743250001</v>
      </c>
      <c r="G21">
        <f t="shared" si="3"/>
        <v>3307.5706317220001</v>
      </c>
      <c r="H21">
        <f t="shared" si="4"/>
        <v>1571.09605006795</v>
      </c>
      <c r="J21">
        <f t="shared" si="5"/>
        <v>1848.6748575004501</v>
      </c>
      <c r="K21">
        <v>6.75</v>
      </c>
      <c r="L21">
        <f t="shared" si="6"/>
        <v>3.2062499999999998</v>
      </c>
      <c r="M21">
        <v>1.0900000000000001</v>
      </c>
      <c r="N21">
        <f t="shared" si="7"/>
        <v>4.2962499999999997</v>
      </c>
      <c r="O21" s="6">
        <f t="shared" si="8"/>
        <v>10.182112500000001</v>
      </c>
      <c r="P21" t="e">
        <f>#REF!*C21</f>
        <v>#REF!</v>
      </c>
      <c r="Q21">
        <v>7.99</v>
      </c>
      <c r="R21">
        <f t="shared" si="9"/>
        <v>3.4357000000000002</v>
      </c>
      <c r="S21">
        <v>-2.7958372850000003E-2</v>
      </c>
      <c r="T21" s="6">
        <f t="shared" si="10"/>
        <v>-0.2846752976756457</v>
      </c>
      <c r="U21">
        <f t="shared" si="11"/>
        <v>9.8974372023243546</v>
      </c>
      <c r="V21">
        <v>-6.4427454940000004E-2</v>
      </c>
      <c r="W21" s="6">
        <f t="shared" si="12"/>
        <v>-0.65600759428776079</v>
      </c>
      <c r="X21">
        <f t="shared" si="13"/>
        <v>9.5261049057122396</v>
      </c>
      <c r="Y21">
        <v>-0.1278540356</v>
      </c>
      <c r="Z21" s="6">
        <f t="shared" si="14"/>
        <v>-1.3018241740582051</v>
      </c>
      <c r="AA21">
        <f t="shared" si="15"/>
        <v>8.8802883259417946</v>
      </c>
    </row>
    <row r="22" spans="1:27" x14ac:dyDescent="0.2">
      <c r="A22" t="s">
        <v>17</v>
      </c>
      <c r="B22">
        <v>737302</v>
      </c>
      <c r="C22">
        <f t="shared" si="0"/>
        <v>73.730200000000011</v>
      </c>
      <c r="D22">
        <f t="shared" si="1"/>
        <v>266.61239993923789</v>
      </c>
      <c r="E22">
        <v>19657.385569999999</v>
      </c>
      <c r="F22">
        <f t="shared" si="2"/>
        <v>9337.2581457499982</v>
      </c>
      <c r="G22">
        <f t="shared" si="3"/>
        <v>111260.80232619999</v>
      </c>
      <c r="H22">
        <f t="shared" si="4"/>
        <v>52848.881104944994</v>
      </c>
      <c r="J22">
        <f t="shared" si="5"/>
        <v>62186.139250694992</v>
      </c>
      <c r="K22">
        <v>6.75</v>
      </c>
      <c r="L22">
        <f t="shared" si="6"/>
        <v>3.2062499999999998</v>
      </c>
      <c r="M22">
        <v>1.0900000000000001</v>
      </c>
      <c r="N22">
        <f t="shared" si="7"/>
        <v>4.2962499999999997</v>
      </c>
      <c r="O22" s="6">
        <f t="shared" si="8"/>
        <v>316.76337175000003</v>
      </c>
      <c r="P22" t="e">
        <f>#REF!*C22</f>
        <v>#REF!</v>
      </c>
      <c r="Q22">
        <v>7.99</v>
      </c>
      <c r="R22">
        <f t="shared" si="9"/>
        <v>3.4357000000000002</v>
      </c>
      <c r="S22">
        <v>-9.6755621799999997E-3</v>
      </c>
      <c r="T22" s="6">
        <f t="shared" si="10"/>
        <v>-3.0648636997135807</v>
      </c>
      <c r="U22">
        <f t="shared" si="11"/>
        <v>313.69850805028648</v>
      </c>
      <c r="V22">
        <v>-5.8502410929999998E-2</v>
      </c>
      <c r="W22" s="6">
        <f t="shared" si="12"/>
        <v>-18.531420941690854</v>
      </c>
      <c r="X22">
        <f t="shared" si="13"/>
        <v>298.23195080830919</v>
      </c>
      <c r="Y22">
        <v>-8.9185064009999995E-2</v>
      </c>
      <c r="Z22" s="6">
        <f t="shared" si="14"/>
        <v>-28.250561585547178</v>
      </c>
      <c r="AA22">
        <f t="shared" si="15"/>
        <v>288.51281016445284</v>
      </c>
    </row>
    <row r="23" spans="1:27" x14ac:dyDescent="0.2">
      <c r="A23" t="s">
        <v>17</v>
      </c>
      <c r="B23">
        <v>106110</v>
      </c>
      <c r="C23">
        <f t="shared" si="0"/>
        <v>10.611000000000001</v>
      </c>
      <c r="D23">
        <f t="shared" si="1"/>
        <v>63.243506700593713</v>
      </c>
      <c r="E23">
        <v>671.07684959999995</v>
      </c>
      <c r="F23">
        <f t="shared" si="2"/>
        <v>318.76150355999994</v>
      </c>
      <c r="G23">
        <f t="shared" si="3"/>
        <v>3798.2949687359996</v>
      </c>
      <c r="H23">
        <f t="shared" si="4"/>
        <v>1804.1901101495998</v>
      </c>
      <c r="J23">
        <f t="shared" si="5"/>
        <v>2122.9516137095998</v>
      </c>
      <c r="K23">
        <v>6.75</v>
      </c>
      <c r="L23">
        <f t="shared" si="6"/>
        <v>3.2062499999999998</v>
      </c>
      <c r="M23">
        <v>1.0900000000000001</v>
      </c>
      <c r="N23">
        <f t="shared" si="7"/>
        <v>4.2962499999999997</v>
      </c>
      <c r="O23" s="6">
        <f t="shared" si="8"/>
        <v>45.587508749999998</v>
      </c>
      <c r="P23" t="e">
        <f>#REF!*C23</f>
        <v>#REF!</v>
      </c>
      <c r="Q23">
        <v>7.99</v>
      </c>
      <c r="R23">
        <f t="shared" si="9"/>
        <v>3.4357000000000002</v>
      </c>
      <c r="S23">
        <v>-9.6755621799999997E-3</v>
      </c>
      <c r="T23" s="6">
        <f t="shared" si="10"/>
        <v>-0.44108477554191905</v>
      </c>
      <c r="U23">
        <f t="shared" si="11"/>
        <v>45.146423974458081</v>
      </c>
      <c r="V23">
        <v>-5.8502410929999998E-2</v>
      </c>
      <c r="W23" s="6">
        <f t="shared" si="12"/>
        <v>-2.6669791701674703</v>
      </c>
      <c r="X23">
        <f t="shared" si="13"/>
        <v>42.920529579832525</v>
      </c>
      <c r="Y23">
        <v>-8.9185064009999995E-2</v>
      </c>
      <c r="Z23" s="6">
        <f t="shared" si="14"/>
        <v>-4.0657248859251851</v>
      </c>
      <c r="AA23">
        <f t="shared" si="15"/>
        <v>41.521783864074813</v>
      </c>
    </row>
    <row r="24" spans="1:27" x14ac:dyDescent="0.2">
      <c r="A24" t="s">
        <v>17</v>
      </c>
      <c r="B24">
        <v>74044</v>
      </c>
      <c r="C24">
        <f t="shared" si="0"/>
        <v>7.4044000000000008</v>
      </c>
      <c r="D24">
        <f t="shared" si="1"/>
        <v>99.622335786829439</v>
      </c>
      <c r="E24">
        <v>737.64362310000001</v>
      </c>
      <c r="F24">
        <f t="shared" si="2"/>
        <v>350.3807209725</v>
      </c>
      <c r="G24">
        <f t="shared" si="3"/>
        <v>4175.0629067460004</v>
      </c>
      <c r="H24">
        <f t="shared" si="4"/>
        <v>1983.15488070435</v>
      </c>
      <c r="J24">
        <f t="shared" si="5"/>
        <v>2333.5356016768501</v>
      </c>
      <c r="K24">
        <v>6.75</v>
      </c>
      <c r="L24">
        <f t="shared" si="6"/>
        <v>3.2062499999999998</v>
      </c>
      <c r="M24">
        <v>1.0900000000000001</v>
      </c>
      <c r="N24">
        <f t="shared" si="7"/>
        <v>4.2962499999999997</v>
      </c>
      <c r="O24" s="6">
        <f t="shared" si="8"/>
        <v>31.8111535</v>
      </c>
      <c r="P24" t="e">
        <f>#REF!*C24</f>
        <v>#REF!</v>
      </c>
      <c r="Q24">
        <v>7.99</v>
      </c>
      <c r="R24">
        <f t="shared" si="9"/>
        <v>3.4357000000000002</v>
      </c>
      <c r="S24">
        <v>-9.6755621799999997E-3</v>
      </c>
      <c r="T24" s="6">
        <f t="shared" si="10"/>
        <v>-0.30779079370677459</v>
      </c>
      <c r="U24">
        <f t="shared" si="11"/>
        <v>31.503362706293224</v>
      </c>
      <c r="V24">
        <v>-5.8502410929999998E-2</v>
      </c>
      <c r="W24" s="6">
        <f t="shared" si="12"/>
        <v>-1.8610291742143077</v>
      </c>
      <c r="X24">
        <f t="shared" si="13"/>
        <v>29.950124325785691</v>
      </c>
      <c r="Y24">
        <v>-8.9185064009999995E-2</v>
      </c>
      <c r="Z24" s="6">
        <f t="shared" si="14"/>
        <v>-2.8370797611294352</v>
      </c>
      <c r="AA24">
        <f t="shared" si="15"/>
        <v>28.974073738870565</v>
      </c>
    </row>
    <row r="25" spans="1:27" x14ac:dyDescent="0.2">
      <c r="A25" t="s">
        <v>17</v>
      </c>
      <c r="B25">
        <v>62553</v>
      </c>
      <c r="C25">
        <f t="shared" si="0"/>
        <v>6.2553000000000001</v>
      </c>
      <c r="D25">
        <f t="shared" si="1"/>
        <v>256.43861061819575</v>
      </c>
      <c r="E25">
        <v>1604.100441</v>
      </c>
      <c r="F25">
        <f t="shared" si="2"/>
        <v>761.94770947500001</v>
      </c>
      <c r="G25">
        <f t="shared" si="3"/>
        <v>9079.2084960600005</v>
      </c>
      <c r="H25">
        <f t="shared" si="4"/>
        <v>4312.6240356284998</v>
      </c>
      <c r="J25">
        <f t="shared" si="5"/>
        <v>5074.5717451034998</v>
      </c>
      <c r="K25">
        <v>6.75</v>
      </c>
      <c r="L25">
        <f t="shared" si="6"/>
        <v>3.2062499999999998</v>
      </c>
      <c r="M25">
        <v>1.0900000000000001</v>
      </c>
      <c r="N25">
        <f t="shared" si="7"/>
        <v>4.2962499999999997</v>
      </c>
      <c r="O25" s="6">
        <f t="shared" si="8"/>
        <v>26.874332624999997</v>
      </c>
      <c r="P25" t="e">
        <f>#REF!*C25</f>
        <v>#REF!</v>
      </c>
      <c r="Q25">
        <v>7.99</v>
      </c>
      <c r="R25">
        <f t="shared" si="9"/>
        <v>3.4357000000000002</v>
      </c>
      <c r="S25">
        <v>-9.6755621799999997E-3</v>
      </c>
      <c r="T25" s="6">
        <f t="shared" si="10"/>
        <v>-0.26002427635919007</v>
      </c>
      <c r="U25">
        <f t="shared" si="11"/>
        <v>26.614308348640808</v>
      </c>
      <c r="V25">
        <v>-5.8502410929999998E-2</v>
      </c>
      <c r="W25" s="6">
        <f t="shared" si="12"/>
        <v>-1.5722132506972555</v>
      </c>
      <c r="X25">
        <f t="shared" si="13"/>
        <v>25.302119374302741</v>
      </c>
      <c r="Y25">
        <v>-8.9185064009999995E-2</v>
      </c>
      <c r="Z25" s="6">
        <f t="shared" si="14"/>
        <v>-2.3967890753866561</v>
      </c>
      <c r="AA25">
        <f t="shared" si="15"/>
        <v>24.47754354961334</v>
      </c>
    </row>
    <row r="26" spans="1:27" x14ac:dyDescent="0.2">
      <c r="A26" t="s">
        <v>21</v>
      </c>
      <c r="B26">
        <v>161227</v>
      </c>
      <c r="C26">
        <f t="shared" si="0"/>
        <v>16.122700000000002</v>
      </c>
      <c r="D26">
        <f t="shared" si="1"/>
        <v>106.06401111476364</v>
      </c>
      <c r="E26">
        <v>1710.0382320000001</v>
      </c>
      <c r="F26">
        <f t="shared" si="2"/>
        <v>812.26816020000001</v>
      </c>
      <c r="G26">
        <f t="shared" si="3"/>
        <v>9678.8163931200015</v>
      </c>
      <c r="H26">
        <f t="shared" si="4"/>
        <v>4597.4377867320009</v>
      </c>
      <c r="J26">
        <f t="shared" si="5"/>
        <v>5409.7059469320011</v>
      </c>
      <c r="K26">
        <v>6.75</v>
      </c>
      <c r="L26">
        <f t="shared" si="6"/>
        <v>3.2062499999999998</v>
      </c>
      <c r="M26">
        <v>1.0900000000000001</v>
      </c>
      <c r="N26">
        <f t="shared" si="7"/>
        <v>4.2962499999999997</v>
      </c>
      <c r="O26" s="6">
        <f t="shared" si="8"/>
        <v>69.267149875000001</v>
      </c>
      <c r="P26" t="e">
        <f>#REF!*C26</f>
        <v>#REF!</v>
      </c>
      <c r="Q26">
        <v>7.99</v>
      </c>
      <c r="R26">
        <f t="shared" si="9"/>
        <v>3.4357000000000002</v>
      </c>
      <c r="S26">
        <v>-4.2552412720000002E-2</v>
      </c>
      <c r="T26" s="6">
        <f t="shared" si="10"/>
        <v>-2.9474843494190965</v>
      </c>
      <c r="U26">
        <f t="shared" si="11"/>
        <v>66.319665525580902</v>
      </c>
      <c r="V26">
        <v>-7.3091950340000003E-2</v>
      </c>
      <c r="W26" s="6">
        <f t="shared" si="12"/>
        <v>-5.0628710788568378</v>
      </c>
      <c r="X26">
        <f t="shared" si="13"/>
        <v>64.204278796143157</v>
      </c>
      <c r="Y26">
        <v>-0.1503830558</v>
      </c>
      <c r="Z26" s="6">
        <f t="shared" si="14"/>
        <v>-10.416605664759087</v>
      </c>
      <c r="AA26">
        <f t="shared" si="15"/>
        <v>58.850544210240912</v>
      </c>
    </row>
    <row r="27" spans="1:27" x14ac:dyDescent="0.2">
      <c r="A27" t="s">
        <v>21</v>
      </c>
      <c r="B27">
        <v>366635</v>
      </c>
      <c r="C27">
        <f t="shared" si="0"/>
        <v>36.663499999999999</v>
      </c>
      <c r="D27">
        <f t="shared" si="1"/>
        <v>179.02216746900868</v>
      </c>
      <c r="E27">
        <v>6563.5792369999999</v>
      </c>
      <c r="F27">
        <f t="shared" si="2"/>
        <v>3117.7001375749996</v>
      </c>
      <c r="G27">
        <f t="shared" si="3"/>
        <v>37149.85848142</v>
      </c>
      <c r="H27">
        <f t="shared" si="4"/>
        <v>17646.182778674498</v>
      </c>
      <c r="J27">
        <f t="shared" si="5"/>
        <v>20763.882916249499</v>
      </c>
      <c r="K27">
        <v>6.75</v>
      </c>
      <c r="L27">
        <f t="shared" si="6"/>
        <v>3.2062499999999998</v>
      </c>
      <c r="M27">
        <v>1.0900000000000001</v>
      </c>
      <c r="N27">
        <f t="shared" si="7"/>
        <v>4.2962499999999997</v>
      </c>
      <c r="O27" s="6">
        <f t="shared" si="8"/>
        <v>157.51556187499997</v>
      </c>
      <c r="P27" t="e">
        <f>#REF!*C27</f>
        <v>#REF!</v>
      </c>
      <c r="Q27">
        <v>7.99</v>
      </c>
      <c r="R27">
        <f t="shared" si="9"/>
        <v>3.4357000000000002</v>
      </c>
      <c r="S27">
        <v>-4.2552412720000002E-2</v>
      </c>
      <c r="T27" s="6">
        <f t="shared" si="10"/>
        <v>-6.7026671987276965</v>
      </c>
      <c r="U27">
        <f t="shared" si="11"/>
        <v>150.81289467627226</v>
      </c>
      <c r="V27">
        <v>-7.3091950340000003E-2</v>
      </c>
      <c r="W27" s="6">
        <f t="shared" si="12"/>
        <v>-11.513119626344697</v>
      </c>
      <c r="X27">
        <f t="shared" si="13"/>
        <v>146.00244224865529</v>
      </c>
      <c r="Y27">
        <v>-0.1503830558</v>
      </c>
      <c r="Z27" s="6">
        <f t="shared" si="14"/>
        <v>-23.687671530816473</v>
      </c>
      <c r="AA27">
        <f t="shared" si="15"/>
        <v>133.82789034418352</v>
      </c>
    </row>
    <row r="28" spans="1:27" x14ac:dyDescent="0.2">
      <c r="A28" t="s">
        <v>20</v>
      </c>
      <c r="B28">
        <v>579468</v>
      </c>
      <c r="C28">
        <f t="shared" si="0"/>
        <v>57.946800000000003</v>
      </c>
      <c r="E28" s="5" t="s">
        <v>45</v>
      </c>
      <c r="L28">
        <f t="shared" si="6"/>
        <v>0</v>
      </c>
      <c r="M28">
        <v>1.0900000000000001</v>
      </c>
      <c r="N28">
        <f t="shared" si="7"/>
        <v>1.0900000000000001</v>
      </c>
      <c r="P28" t="e">
        <f>#REF!*C28</f>
        <v>#REF!</v>
      </c>
      <c r="R28">
        <f t="shared" si="9"/>
        <v>0</v>
      </c>
      <c r="T28" s="6">
        <f t="shared" si="10"/>
        <v>0</v>
      </c>
      <c r="W28" s="6">
        <f t="shared" si="12"/>
        <v>0</v>
      </c>
      <c r="Z28" s="6">
        <f t="shared" si="14"/>
        <v>0</v>
      </c>
    </row>
    <row r="29" spans="1:27" x14ac:dyDescent="0.2">
      <c r="A29" t="s">
        <v>17</v>
      </c>
      <c r="B29">
        <v>29122</v>
      </c>
      <c r="C29">
        <f>B29*0.0001</f>
        <v>2.9122000000000003</v>
      </c>
      <c r="E29" s="5" t="s">
        <v>45</v>
      </c>
      <c r="L29">
        <f>K29*0.475</f>
        <v>0</v>
      </c>
      <c r="M29">
        <v>1.0900000000000001</v>
      </c>
      <c r="O29" s="6">
        <f>N29*C29</f>
        <v>0</v>
      </c>
      <c r="P29" t="e">
        <f>#REF!*C29</f>
        <v>#REF!</v>
      </c>
      <c r="R29">
        <f>Q29*0.43</f>
        <v>0</v>
      </c>
      <c r="T29" s="6">
        <f>S29*O29</f>
        <v>0</v>
      </c>
      <c r="U29">
        <f>$J29*ABS(S29)</f>
        <v>0</v>
      </c>
      <c r="W29" s="6">
        <f>V29*O29</f>
        <v>0</v>
      </c>
      <c r="X29">
        <f>$J29*ABS(V29)</f>
        <v>0</v>
      </c>
      <c r="Z29" s="6">
        <f>Y29*O29</f>
        <v>0</v>
      </c>
      <c r="AA29">
        <f>$J29*ABS(Y29)</f>
        <v>0</v>
      </c>
    </row>
    <row r="30" spans="1:27" x14ac:dyDescent="0.2">
      <c r="A30" t="s">
        <v>17</v>
      </c>
      <c r="B30">
        <v>77645</v>
      </c>
      <c r="C30">
        <f>B30*0.0001</f>
        <v>7.7645</v>
      </c>
      <c r="E30" s="5" t="s">
        <v>45</v>
      </c>
      <c r="L30">
        <f>K30*0.475</f>
        <v>0</v>
      </c>
      <c r="M30">
        <v>1.0900000000000001</v>
      </c>
      <c r="O30" s="6">
        <f>N30*C30</f>
        <v>0</v>
      </c>
      <c r="P30" t="e">
        <f>#REF!*C30</f>
        <v>#REF!</v>
      </c>
      <c r="R30">
        <f>Q30*0.43</f>
        <v>0</v>
      </c>
      <c r="T30" s="6">
        <f>S30*O30</f>
        <v>0</v>
      </c>
      <c r="U30">
        <f>$J30*ABS(S30)</f>
        <v>0</v>
      </c>
      <c r="W30" s="6">
        <f>V30*O30</f>
        <v>0</v>
      </c>
      <c r="X30">
        <f>$J30*ABS(V30)</f>
        <v>0</v>
      </c>
      <c r="Z30" s="6">
        <f>Y30*O30</f>
        <v>0</v>
      </c>
      <c r="AA30">
        <f>$J30*ABS(Y30)</f>
        <v>0</v>
      </c>
    </row>
    <row r="31" spans="1:27" x14ac:dyDescent="0.2">
      <c r="A31" t="s">
        <v>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CB99-8A05-054E-BFB5-0681CEDB7CAD}">
  <dimension ref="A1:E97"/>
  <sheetViews>
    <sheetView workbookViewId="0">
      <selection activeCell="H99" sqref="H99"/>
    </sheetView>
  </sheetViews>
  <sheetFormatPr baseColWidth="10" defaultRowHeight="16" x14ac:dyDescent="0.2"/>
  <cols>
    <col min="2" max="2" width="17.33203125" style="6" bestFit="1" customWidth="1"/>
    <col min="3" max="5" width="10.83203125" style="6"/>
  </cols>
  <sheetData>
    <row r="1" spans="1:3" x14ac:dyDescent="0.2">
      <c r="A1" t="s">
        <v>31</v>
      </c>
      <c r="B1" s="6" t="s">
        <v>53</v>
      </c>
      <c r="C1" s="6" t="s">
        <v>55</v>
      </c>
    </row>
    <row r="2" spans="1:3" x14ac:dyDescent="0.2">
      <c r="A2" t="s">
        <v>17</v>
      </c>
      <c r="B2" s="6">
        <v>84.104249249999995</v>
      </c>
      <c r="C2" s="6" t="s">
        <v>54</v>
      </c>
    </row>
    <row r="3" spans="1:3" x14ac:dyDescent="0.2">
      <c r="A3" t="s">
        <v>17</v>
      </c>
      <c r="B3" s="6">
        <v>108.43906849999999</v>
      </c>
      <c r="C3" s="6" t="s">
        <v>54</v>
      </c>
    </row>
    <row r="4" spans="1:3" x14ac:dyDescent="0.2">
      <c r="A4" t="s">
        <v>17</v>
      </c>
      <c r="B4" s="6">
        <v>32.392006500000001</v>
      </c>
      <c r="C4" s="6" t="s">
        <v>54</v>
      </c>
    </row>
    <row r="5" spans="1:3" x14ac:dyDescent="0.2">
      <c r="A5" t="s">
        <v>22</v>
      </c>
      <c r="B5" s="6">
        <v>555.51586562499995</v>
      </c>
      <c r="C5" s="6" t="s">
        <v>54</v>
      </c>
    </row>
    <row r="6" spans="1:3" x14ac:dyDescent="0.2">
      <c r="A6" t="s">
        <v>22</v>
      </c>
      <c r="B6" s="6">
        <v>18.303313874999997</v>
      </c>
      <c r="C6" s="6" t="s">
        <v>54</v>
      </c>
    </row>
    <row r="7" spans="1:3" x14ac:dyDescent="0.2">
      <c r="A7" t="s">
        <v>17</v>
      </c>
      <c r="B7" s="6">
        <v>58.579368749999993</v>
      </c>
      <c r="C7" s="6" t="s">
        <v>54</v>
      </c>
    </row>
    <row r="8" spans="1:3" x14ac:dyDescent="0.2">
      <c r="A8" t="s">
        <v>17</v>
      </c>
      <c r="B8" s="6">
        <v>233.841020875</v>
      </c>
      <c r="C8" s="6" t="s">
        <v>54</v>
      </c>
    </row>
    <row r="9" spans="1:3" x14ac:dyDescent="0.2">
      <c r="A9" t="s">
        <v>17</v>
      </c>
      <c r="B9" s="6">
        <v>51.834256250000003</v>
      </c>
      <c r="C9" s="6" t="s">
        <v>54</v>
      </c>
    </row>
    <row r="10" spans="1:3" x14ac:dyDescent="0.2">
      <c r="A10" t="s">
        <v>17</v>
      </c>
      <c r="B10" s="6">
        <v>127.107563625</v>
      </c>
      <c r="C10" s="6" t="s">
        <v>54</v>
      </c>
    </row>
    <row r="11" spans="1:3" x14ac:dyDescent="0.2">
      <c r="A11" t="s">
        <v>17</v>
      </c>
      <c r="B11" s="6">
        <v>103.567121</v>
      </c>
      <c r="C11" s="6" t="s">
        <v>54</v>
      </c>
    </row>
    <row r="12" spans="1:3" x14ac:dyDescent="0.2">
      <c r="A12" t="s">
        <v>17</v>
      </c>
      <c r="B12" s="6">
        <v>48.255050375000003</v>
      </c>
      <c r="C12" s="6" t="s">
        <v>54</v>
      </c>
    </row>
    <row r="13" spans="1:3" x14ac:dyDescent="0.2">
      <c r="A13" t="s">
        <v>17</v>
      </c>
      <c r="B13" s="6">
        <v>15.353508625</v>
      </c>
      <c r="C13" s="6" t="s">
        <v>54</v>
      </c>
    </row>
    <row r="14" spans="1:3" x14ac:dyDescent="0.2">
      <c r="A14" t="s">
        <v>14</v>
      </c>
      <c r="B14" s="6">
        <v>3.6462273749999996</v>
      </c>
      <c r="C14" s="6" t="s">
        <v>54</v>
      </c>
    </row>
    <row r="15" spans="1:3" x14ac:dyDescent="0.2">
      <c r="A15" t="s">
        <v>14</v>
      </c>
      <c r="B15" s="6">
        <v>3.08212975</v>
      </c>
      <c r="C15" s="6" t="s">
        <v>54</v>
      </c>
    </row>
    <row r="16" spans="1:3" x14ac:dyDescent="0.2">
      <c r="A16" t="s">
        <v>14</v>
      </c>
      <c r="B16" s="6">
        <v>29.086042124999999</v>
      </c>
      <c r="C16" s="6" t="s">
        <v>54</v>
      </c>
    </row>
    <row r="17" spans="1:3" x14ac:dyDescent="0.2">
      <c r="A17" t="s">
        <v>14</v>
      </c>
      <c r="B17" s="6">
        <v>7.3096397499999997</v>
      </c>
      <c r="C17" s="6" t="s">
        <v>54</v>
      </c>
    </row>
    <row r="18" spans="1:3" x14ac:dyDescent="0.2">
      <c r="A18" t="s">
        <v>14</v>
      </c>
      <c r="B18" s="6">
        <v>36.523280499999998</v>
      </c>
      <c r="C18" s="6" t="s">
        <v>54</v>
      </c>
    </row>
    <row r="19" spans="1:3" x14ac:dyDescent="0.2">
      <c r="A19" t="s">
        <v>14</v>
      </c>
      <c r="B19" s="6">
        <v>10.182112500000001</v>
      </c>
      <c r="C19" s="6" t="s">
        <v>54</v>
      </c>
    </row>
    <row r="20" spans="1:3" x14ac:dyDescent="0.2">
      <c r="A20" t="s">
        <v>17</v>
      </c>
      <c r="B20" s="6">
        <v>316.76337175000003</v>
      </c>
      <c r="C20" s="6" t="s">
        <v>54</v>
      </c>
    </row>
    <row r="21" spans="1:3" x14ac:dyDescent="0.2">
      <c r="A21" t="s">
        <v>17</v>
      </c>
      <c r="B21" s="6">
        <v>45.587508749999998</v>
      </c>
      <c r="C21" s="6" t="s">
        <v>54</v>
      </c>
    </row>
    <row r="22" spans="1:3" x14ac:dyDescent="0.2">
      <c r="A22" t="s">
        <v>17</v>
      </c>
      <c r="B22" s="6">
        <v>31.8111535</v>
      </c>
      <c r="C22" s="6" t="s">
        <v>54</v>
      </c>
    </row>
    <row r="23" spans="1:3" x14ac:dyDescent="0.2">
      <c r="A23" t="s">
        <v>17</v>
      </c>
      <c r="B23" s="6">
        <v>26.874332624999997</v>
      </c>
      <c r="C23" s="6" t="s">
        <v>54</v>
      </c>
    </row>
    <row r="24" spans="1:3" x14ac:dyDescent="0.2">
      <c r="A24" t="s">
        <v>21</v>
      </c>
      <c r="B24" s="6">
        <v>69.267149875000001</v>
      </c>
      <c r="C24" s="6" t="s">
        <v>54</v>
      </c>
    </row>
    <row r="25" spans="1:3" x14ac:dyDescent="0.2">
      <c r="A25" t="s">
        <v>21</v>
      </c>
      <c r="B25" s="6">
        <v>157.51556187499997</v>
      </c>
      <c r="C25" s="6" t="s">
        <v>54</v>
      </c>
    </row>
    <row r="26" spans="1:3" x14ac:dyDescent="0.2">
      <c r="A26" t="s">
        <v>17</v>
      </c>
      <c r="B26" s="7">
        <v>83.290493356779407</v>
      </c>
      <c r="C26" s="6" t="s">
        <v>62</v>
      </c>
    </row>
    <row r="27" spans="1:3" x14ac:dyDescent="0.2">
      <c r="A27" t="s">
        <v>17</v>
      </c>
      <c r="B27" s="7">
        <v>107.38985954998697</v>
      </c>
      <c r="C27" s="6" t="s">
        <v>62</v>
      </c>
    </row>
    <row r="28" spans="1:3" x14ac:dyDescent="0.2">
      <c r="A28" t="s">
        <v>17</v>
      </c>
      <c r="B28" s="7">
        <v>32.078595626974284</v>
      </c>
      <c r="C28" s="6" t="s">
        <v>62</v>
      </c>
    </row>
    <row r="29" spans="1:3" x14ac:dyDescent="0.2">
      <c r="A29" t="s">
        <v>22</v>
      </c>
      <c r="B29" s="7">
        <v>554.56184114272298</v>
      </c>
      <c r="C29" s="6" t="s">
        <v>62</v>
      </c>
    </row>
    <row r="30" spans="1:3" x14ac:dyDescent="0.2">
      <c r="A30" t="s">
        <v>22</v>
      </c>
      <c r="B30" s="7">
        <v>18.271880372153227</v>
      </c>
      <c r="C30" s="6" t="s">
        <v>62</v>
      </c>
    </row>
    <row r="31" spans="1:3" x14ac:dyDescent="0.2">
      <c r="A31" t="s">
        <v>17</v>
      </c>
      <c r="B31" s="7">
        <v>58.012580425194223</v>
      </c>
      <c r="C31" s="6" t="s">
        <v>62</v>
      </c>
    </row>
    <row r="32" spans="1:3" x14ac:dyDescent="0.2">
      <c r="A32" t="s">
        <v>17</v>
      </c>
      <c r="B32" s="7">
        <v>231.57847753728925</v>
      </c>
      <c r="C32" s="6" t="s">
        <v>62</v>
      </c>
    </row>
    <row r="33" spans="1:3" x14ac:dyDescent="0.2">
      <c r="A33" t="s">
        <v>17</v>
      </c>
      <c r="B33" s="7">
        <v>51.332730680599077</v>
      </c>
      <c r="C33" s="6" t="s">
        <v>62</v>
      </c>
    </row>
    <row r="34" spans="1:3" x14ac:dyDescent="0.2">
      <c r="A34" t="s">
        <v>17</v>
      </c>
      <c r="B34" s="7">
        <v>125.877726489598</v>
      </c>
      <c r="C34" s="6" t="s">
        <v>62</v>
      </c>
    </row>
    <row r="35" spans="1:3" x14ac:dyDescent="0.2">
      <c r="A35" t="s">
        <v>17</v>
      </c>
      <c r="B35" s="7">
        <v>102.56505088096091</v>
      </c>
      <c r="C35" s="6" t="s">
        <v>62</v>
      </c>
    </row>
    <row r="36" spans="1:3" x14ac:dyDescent="0.2">
      <c r="A36" t="s">
        <v>17</v>
      </c>
      <c r="B36" s="7">
        <v>47.788155634597658</v>
      </c>
      <c r="C36" s="6" t="s">
        <v>62</v>
      </c>
    </row>
    <row r="37" spans="1:3" x14ac:dyDescent="0.2">
      <c r="A37" t="s">
        <v>17</v>
      </c>
      <c r="B37" s="7">
        <v>15.204954797617646</v>
      </c>
      <c r="C37" s="6" t="s">
        <v>62</v>
      </c>
    </row>
    <row r="38" spans="1:3" x14ac:dyDescent="0.2">
      <c r="A38" t="s">
        <v>14</v>
      </c>
      <c r="B38" s="7">
        <v>3.5442847905538728</v>
      </c>
      <c r="C38" s="6" t="s">
        <v>62</v>
      </c>
    </row>
    <row r="39" spans="1:3" x14ac:dyDescent="0.2">
      <c r="A39" t="s">
        <v>14</v>
      </c>
      <c r="B39" s="7">
        <v>2.9959584172774227</v>
      </c>
      <c r="C39" s="6" t="s">
        <v>62</v>
      </c>
    </row>
    <row r="40" spans="1:3" x14ac:dyDescent="0.2">
      <c r="A40" t="s">
        <v>14</v>
      </c>
      <c r="B40" s="7">
        <v>28.272843714538443</v>
      </c>
      <c r="C40" s="6" t="s">
        <v>62</v>
      </c>
    </row>
    <row r="41" spans="1:3" x14ac:dyDescent="0.2">
      <c r="A41" t="s">
        <v>14</v>
      </c>
      <c r="B41" s="7">
        <v>7.1052741164703193</v>
      </c>
      <c r="C41" s="6" t="s">
        <v>62</v>
      </c>
    </row>
    <row r="42" spans="1:3" x14ac:dyDescent="0.2">
      <c r="A42" t="s">
        <v>14</v>
      </c>
      <c r="B42" s="7">
        <v>35.502149006075861</v>
      </c>
      <c r="C42" s="6" t="s">
        <v>62</v>
      </c>
    </row>
    <row r="43" spans="1:3" x14ac:dyDescent="0.2">
      <c r="A43" t="s">
        <v>14</v>
      </c>
      <c r="B43" s="7">
        <v>9.8974372023243546</v>
      </c>
      <c r="C43" s="6" t="s">
        <v>62</v>
      </c>
    </row>
    <row r="44" spans="1:3" x14ac:dyDescent="0.2">
      <c r="A44" t="s">
        <v>17</v>
      </c>
      <c r="B44" s="7">
        <v>313.69850805028648</v>
      </c>
      <c r="C44" s="6" t="s">
        <v>62</v>
      </c>
    </row>
    <row r="45" spans="1:3" x14ac:dyDescent="0.2">
      <c r="A45" t="s">
        <v>17</v>
      </c>
      <c r="B45" s="7">
        <v>45.146423974458081</v>
      </c>
      <c r="C45" s="6" t="s">
        <v>62</v>
      </c>
    </row>
    <row r="46" spans="1:3" x14ac:dyDescent="0.2">
      <c r="A46" t="s">
        <v>17</v>
      </c>
      <c r="B46" s="7">
        <v>31.503362706293224</v>
      </c>
      <c r="C46" s="6" t="s">
        <v>62</v>
      </c>
    </row>
    <row r="47" spans="1:3" x14ac:dyDescent="0.2">
      <c r="A47" t="s">
        <v>17</v>
      </c>
      <c r="B47" s="7">
        <v>26.614308348640808</v>
      </c>
      <c r="C47" s="6" t="s">
        <v>62</v>
      </c>
    </row>
    <row r="48" spans="1:3" x14ac:dyDescent="0.2">
      <c r="A48" t="s">
        <v>21</v>
      </c>
      <c r="B48" s="7">
        <v>66.319665525580902</v>
      </c>
      <c r="C48" s="6" t="s">
        <v>62</v>
      </c>
    </row>
    <row r="49" spans="1:3" x14ac:dyDescent="0.2">
      <c r="A49" t="s">
        <v>21</v>
      </c>
      <c r="B49" s="7">
        <v>150.81289467627226</v>
      </c>
      <c r="C49" s="6" t="s">
        <v>62</v>
      </c>
    </row>
    <row r="50" spans="1:3" x14ac:dyDescent="0.2">
      <c r="A50" t="s">
        <v>17</v>
      </c>
      <c r="B50" s="8">
        <v>79.183947899417348</v>
      </c>
      <c r="C50" s="6" t="s">
        <v>63</v>
      </c>
    </row>
    <row r="51" spans="1:3" x14ac:dyDescent="0.2">
      <c r="A51" t="s">
        <v>17</v>
      </c>
      <c r="B51" s="8">
        <v>102.09512155374657</v>
      </c>
      <c r="C51" s="6" t="s">
        <v>63</v>
      </c>
    </row>
    <row r="52" spans="1:3" x14ac:dyDescent="0.2">
      <c r="A52" t="s">
        <v>17</v>
      </c>
      <c r="B52" s="8">
        <v>30.496996024889771</v>
      </c>
      <c r="C52" s="6" t="s">
        <v>63</v>
      </c>
    </row>
    <row r="53" spans="1:3" x14ac:dyDescent="0.2">
      <c r="A53" t="s">
        <v>22</v>
      </c>
      <c r="B53" s="8">
        <v>514.06529475974548</v>
      </c>
      <c r="C53" s="6" t="s">
        <v>63</v>
      </c>
    </row>
    <row r="54" spans="1:3" x14ac:dyDescent="0.2">
      <c r="A54" t="s">
        <v>22</v>
      </c>
      <c r="B54" s="8">
        <v>16.937587249008669</v>
      </c>
      <c r="C54" s="6" t="s">
        <v>63</v>
      </c>
    </row>
    <row r="55" spans="1:3" x14ac:dyDescent="0.2">
      <c r="A55" t="s">
        <v>17</v>
      </c>
      <c r="B55" s="8">
        <v>55.152334447367494</v>
      </c>
      <c r="C55" s="6" t="s">
        <v>63</v>
      </c>
    </row>
    <row r="56" spans="1:3" x14ac:dyDescent="0.2">
      <c r="A56" t="s">
        <v>17</v>
      </c>
      <c r="B56" s="8">
        <v>220.16075737948003</v>
      </c>
      <c r="C56" s="6" t="s">
        <v>63</v>
      </c>
    </row>
    <row r="57" spans="1:3" x14ac:dyDescent="0.2">
      <c r="A57" t="s">
        <v>17</v>
      </c>
      <c r="B57" s="8">
        <v>48.801827290611584</v>
      </c>
      <c r="C57" s="6" t="s">
        <v>63</v>
      </c>
    </row>
    <row r="58" spans="1:3" x14ac:dyDescent="0.2">
      <c r="A58" t="s">
        <v>17</v>
      </c>
      <c r="B58" s="8">
        <v>119.67146470549913</v>
      </c>
      <c r="C58" s="6" t="s">
        <v>63</v>
      </c>
    </row>
    <row r="59" spans="1:3" x14ac:dyDescent="0.2">
      <c r="A59" t="s">
        <v>17</v>
      </c>
      <c r="B59" s="8">
        <v>97.50819472842096</v>
      </c>
      <c r="C59" s="6" t="s">
        <v>63</v>
      </c>
    </row>
    <row r="60" spans="1:3" x14ac:dyDescent="0.2">
      <c r="A60" t="s">
        <v>17</v>
      </c>
      <c r="B60" s="8">
        <v>45.432013588513904</v>
      </c>
      <c r="C60" s="6" t="s">
        <v>63</v>
      </c>
    </row>
    <row r="61" spans="1:3" x14ac:dyDescent="0.2">
      <c r="A61" t="s">
        <v>17</v>
      </c>
      <c r="B61" s="8">
        <v>14.45529135420295</v>
      </c>
      <c r="C61" s="6" t="s">
        <v>63</v>
      </c>
    </row>
    <row r="62" spans="1:3" x14ac:dyDescent="0.2">
      <c r="A62" t="s">
        <v>14</v>
      </c>
      <c r="B62" s="8">
        <v>3.4113102250961926</v>
      </c>
      <c r="C62" s="6" t="s">
        <v>63</v>
      </c>
    </row>
    <row r="63" spans="1:3" x14ac:dyDescent="0.2">
      <c r="A63" t="s">
        <v>14</v>
      </c>
      <c r="B63" s="8">
        <v>2.8835559744126416</v>
      </c>
      <c r="C63" s="6" t="s">
        <v>63</v>
      </c>
    </row>
    <row r="64" spans="1:3" x14ac:dyDescent="0.2">
      <c r="A64" t="s">
        <v>14</v>
      </c>
      <c r="B64" s="8">
        <v>27.212102456608619</v>
      </c>
      <c r="C64" s="6" t="s">
        <v>63</v>
      </c>
    </row>
    <row r="65" spans="1:3" x14ac:dyDescent="0.2">
      <c r="A65" t="s">
        <v>14</v>
      </c>
      <c r="B65" s="8">
        <v>6.838698264379242</v>
      </c>
      <c r="C65" s="6" t="s">
        <v>63</v>
      </c>
    </row>
    <row r="66" spans="1:3" x14ac:dyDescent="0.2">
      <c r="A66" t="s">
        <v>14</v>
      </c>
      <c r="B66" s="8">
        <v>34.170178491325267</v>
      </c>
      <c r="C66" s="6" t="s">
        <v>63</v>
      </c>
    </row>
    <row r="67" spans="1:3" x14ac:dyDescent="0.2">
      <c r="A67" t="s">
        <v>14</v>
      </c>
      <c r="B67" s="8">
        <v>9.5261049057122396</v>
      </c>
      <c r="C67" s="6" t="s">
        <v>63</v>
      </c>
    </row>
    <row r="68" spans="1:3" x14ac:dyDescent="0.2">
      <c r="A68" t="s">
        <v>17</v>
      </c>
      <c r="B68" s="8">
        <v>298.23195080830919</v>
      </c>
      <c r="C68" s="6" t="s">
        <v>63</v>
      </c>
    </row>
    <row r="69" spans="1:3" x14ac:dyDescent="0.2">
      <c r="A69" t="s">
        <v>17</v>
      </c>
      <c r="B69" s="8">
        <v>42.920529579832525</v>
      </c>
      <c r="C69" s="6" t="s">
        <v>63</v>
      </c>
    </row>
    <row r="70" spans="1:3" x14ac:dyDescent="0.2">
      <c r="A70" t="s">
        <v>17</v>
      </c>
      <c r="B70" s="8">
        <v>29.950124325785691</v>
      </c>
      <c r="C70" s="6" t="s">
        <v>63</v>
      </c>
    </row>
    <row r="71" spans="1:3" x14ac:dyDescent="0.2">
      <c r="A71" t="s">
        <v>17</v>
      </c>
      <c r="B71" s="8">
        <v>25.302119374302741</v>
      </c>
      <c r="C71" s="6" t="s">
        <v>63</v>
      </c>
    </row>
    <row r="72" spans="1:3" x14ac:dyDescent="0.2">
      <c r="A72" t="s">
        <v>21</v>
      </c>
      <c r="B72" s="8">
        <v>64.204278796143157</v>
      </c>
      <c r="C72" s="6" t="s">
        <v>63</v>
      </c>
    </row>
    <row r="73" spans="1:3" x14ac:dyDescent="0.2">
      <c r="A73" t="s">
        <v>21</v>
      </c>
      <c r="B73" s="8">
        <v>146.00244224865529</v>
      </c>
      <c r="C73" s="6" t="s">
        <v>63</v>
      </c>
    </row>
    <row r="74" spans="1:3" x14ac:dyDescent="0.2">
      <c r="A74" t="s">
        <v>17</v>
      </c>
      <c r="B74" s="6">
        <v>76.603406397125752</v>
      </c>
      <c r="C74" s="6" t="s">
        <v>64</v>
      </c>
    </row>
    <row r="75" spans="1:3" x14ac:dyDescent="0.2">
      <c r="A75" t="s">
        <v>17</v>
      </c>
      <c r="B75" s="6">
        <v>98.767923234642723</v>
      </c>
      <c r="C75" s="6" t="s">
        <v>64</v>
      </c>
    </row>
    <row r="76" spans="1:3" x14ac:dyDescent="0.2">
      <c r="A76" t="s">
        <v>17</v>
      </c>
      <c r="B76" s="6">
        <v>29.503123326885166</v>
      </c>
      <c r="C76" s="6" t="s">
        <v>64</v>
      </c>
    </row>
    <row r="77" spans="1:3" x14ac:dyDescent="0.2">
      <c r="A77" t="s">
        <v>22</v>
      </c>
      <c r="B77" s="6">
        <v>494.39570714236493</v>
      </c>
      <c r="C77" s="6" t="s">
        <v>64</v>
      </c>
    </row>
    <row r="78" spans="1:3" x14ac:dyDescent="0.2">
      <c r="A78" t="s">
        <v>22</v>
      </c>
      <c r="B78" s="6">
        <v>16.289507404254497</v>
      </c>
      <c r="C78" s="6" t="s">
        <v>64</v>
      </c>
    </row>
    <row r="79" spans="1:3" x14ac:dyDescent="0.2">
      <c r="A79" t="s">
        <v>17</v>
      </c>
      <c r="B79" s="6">
        <v>53.354963998365847</v>
      </c>
      <c r="C79" s="6" t="s">
        <v>64</v>
      </c>
    </row>
    <row r="80" spans="1:3" x14ac:dyDescent="0.2">
      <c r="A80" t="s">
        <v>17</v>
      </c>
      <c r="B80" s="6">
        <v>212.98589446009939</v>
      </c>
      <c r="C80" s="6" t="s">
        <v>64</v>
      </c>
    </row>
    <row r="81" spans="1:3" x14ac:dyDescent="0.2">
      <c r="A81" t="s">
        <v>17</v>
      </c>
      <c r="B81" s="6">
        <v>47.211414788433011</v>
      </c>
      <c r="C81" s="6" t="s">
        <v>64</v>
      </c>
    </row>
    <row r="82" spans="1:3" x14ac:dyDescent="0.2">
      <c r="A82" t="s">
        <v>17</v>
      </c>
      <c r="B82" s="6">
        <v>115.77146742694923</v>
      </c>
      <c r="C82" s="6" t="s">
        <v>64</v>
      </c>
    </row>
    <row r="83" spans="1:3" x14ac:dyDescent="0.2">
      <c r="A83" t="s">
        <v>17</v>
      </c>
      <c r="B83" s="6">
        <v>94.330480684283586</v>
      </c>
      <c r="C83" s="6" t="s">
        <v>64</v>
      </c>
    </row>
    <row r="84" spans="1:3" x14ac:dyDescent="0.2">
      <c r="A84" t="s">
        <v>17</v>
      </c>
      <c r="B84" s="6">
        <v>43.951420618499853</v>
      </c>
      <c r="C84" s="6" t="s">
        <v>64</v>
      </c>
    </row>
    <row r="85" spans="1:3" x14ac:dyDescent="0.2">
      <c r="A85" t="s">
        <v>17</v>
      </c>
      <c r="B85" s="6">
        <v>13.984204975501289</v>
      </c>
      <c r="C85" s="6" t="s">
        <v>64</v>
      </c>
    </row>
    <row r="86" spans="1:3" x14ac:dyDescent="0.2">
      <c r="A86" t="s">
        <v>14</v>
      </c>
      <c r="B86" s="6">
        <v>3.1800424903910551</v>
      </c>
      <c r="C86" s="6" t="s">
        <v>64</v>
      </c>
    </row>
    <row r="87" spans="1:3" x14ac:dyDescent="0.2">
      <c r="A87" t="s">
        <v>14</v>
      </c>
      <c r="B87" s="6">
        <v>2.6880670232196811</v>
      </c>
      <c r="C87" s="6" t="s">
        <v>64</v>
      </c>
    </row>
    <row r="88" spans="1:3" x14ac:dyDescent="0.2">
      <c r="A88" t="s">
        <v>14</v>
      </c>
      <c r="B88" s="6">
        <v>25.36727425968715</v>
      </c>
      <c r="C88" s="6" t="s">
        <v>64</v>
      </c>
    </row>
    <row r="89" spans="1:3" x14ac:dyDescent="0.2">
      <c r="A89" t="s">
        <v>14</v>
      </c>
      <c r="B89" s="6">
        <v>6.3750728091803248</v>
      </c>
      <c r="C89" s="6" t="s">
        <v>64</v>
      </c>
    </row>
    <row r="90" spans="1:3" x14ac:dyDescent="0.2">
      <c r="A90" t="s">
        <v>14</v>
      </c>
      <c r="B90" s="6">
        <v>31.853631694724214</v>
      </c>
      <c r="C90" s="6" t="s">
        <v>64</v>
      </c>
    </row>
    <row r="91" spans="1:3" x14ac:dyDescent="0.2">
      <c r="A91" t="s">
        <v>14</v>
      </c>
      <c r="B91" s="6">
        <v>8.8802883259417946</v>
      </c>
      <c r="C91" s="6" t="s">
        <v>64</v>
      </c>
    </row>
    <row r="92" spans="1:3" x14ac:dyDescent="0.2">
      <c r="A92" t="s">
        <v>17</v>
      </c>
      <c r="B92" s="6">
        <v>288.51281016445284</v>
      </c>
      <c r="C92" s="6" t="s">
        <v>64</v>
      </c>
    </row>
    <row r="93" spans="1:3" x14ac:dyDescent="0.2">
      <c r="A93" t="s">
        <v>17</v>
      </c>
      <c r="B93" s="6">
        <v>41.521783864074813</v>
      </c>
      <c r="C93" s="6" t="s">
        <v>64</v>
      </c>
    </row>
    <row r="94" spans="1:3" x14ac:dyDescent="0.2">
      <c r="A94" t="s">
        <v>17</v>
      </c>
      <c r="B94" s="6">
        <v>28.974073738870565</v>
      </c>
      <c r="C94" s="6" t="s">
        <v>64</v>
      </c>
    </row>
    <row r="95" spans="1:3" x14ac:dyDescent="0.2">
      <c r="A95" t="s">
        <v>17</v>
      </c>
      <c r="B95" s="6">
        <v>24.47754354961334</v>
      </c>
      <c r="C95" s="6" t="s">
        <v>64</v>
      </c>
    </row>
    <row r="96" spans="1:3" x14ac:dyDescent="0.2">
      <c r="A96" t="s">
        <v>21</v>
      </c>
      <c r="B96" s="6">
        <v>58.850544210240912</v>
      </c>
      <c r="C96" s="6" t="s">
        <v>64</v>
      </c>
    </row>
    <row r="97" spans="1:3" x14ac:dyDescent="0.2">
      <c r="A97" t="s">
        <v>21</v>
      </c>
      <c r="B97" s="6">
        <v>133.82789034418352</v>
      </c>
      <c r="C97" s="6" t="s">
        <v>64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EE7E-9753-DF4A-9F1D-61FAB50C585D}">
  <dimension ref="A1:C97"/>
  <sheetViews>
    <sheetView workbookViewId="0">
      <selection activeCell="E96" sqref="E96"/>
    </sheetView>
  </sheetViews>
  <sheetFormatPr baseColWidth="10" defaultRowHeight="16" x14ac:dyDescent="0.2"/>
  <cols>
    <col min="3" max="3" width="10.83203125" style="6"/>
  </cols>
  <sheetData>
    <row r="1" spans="1:3" x14ac:dyDescent="0.2">
      <c r="A1" t="s">
        <v>31</v>
      </c>
      <c r="B1" t="s">
        <v>39</v>
      </c>
      <c r="C1" s="6" t="s">
        <v>55</v>
      </c>
    </row>
    <row r="2" spans="1:3" x14ac:dyDescent="0.2">
      <c r="A2" t="s">
        <v>17</v>
      </c>
      <c r="B2">
        <v>53214.493110000003</v>
      </c>
      <c r="C2" s="6" t="s">
        <v>54</v>
      </c>
    </row>
    <row r="3" spans="1:3" x14ac:dyDescent="0.2">
      <c r="A3" t="s">
        <v>17</v>
      </c>
      <c r="B3">
        <v>1176.6366969999999</v>
      </c>
      <c r="C3" s="6" t="s">
        <v>54</v>
      </c>
    </row>
    <row r="4" spans="1:3" x14ac:dyDescent="0.2">
      <c r="A4" t="s">
        <v>17</v>
      </c>
      <c r="B4">
        <v>239.56972479999999</v>
      </c>
      <c r="C4" s="6" t="s">
        <v>54</v>
      </c>
    </row>
    <row r="5" spans="1:3" x14ac:dyDescent="0.2">
      <c r="A5" t="s">
        <v>22</v>
      </c>
      <c r="B5">
        <v>65187.989650000003</v>
      </c>
      <c r="C5" s="6" t="s">
        <v>54</v>
      </c>
    </row>
    <row r="6" spans="1:3" x14ac:dyDescent="0.2">
      <c r="A6" t="s">
        <v>22</v>
      </c>
      <c r="B6">
        <v>2156.0161410000001</v>
      </c>
      <c r="C6" s="6" t="s">
        <v>54</v>
      </c>
    </row>
    <row r="7" spans="1:3" x14ac:dyDescent="0.2">
      <c r="A7" t="s">
        <v>17</v>
      </c>
      <c r="B7">
        <v>3152.0030000000002</v>
      </c>
      <c r="C7" s="6" t="s">
        <v>54</v>
      </c>
    </row>
    <row r="8" spans="1:3" x14ac:dyDescent="0.2">
      <c r="A8" t="s">
        <v>17</v>
      </c>
      <c r="B8">
        <v>12151.840829999999</v>
      </c>
      <c r="C8" s="6" t="s">
        <v>54</v>
      </c>
    </row>
    <row r="9" spans="1:3" x14ac:dyDescent="0.2">
      <c r="A9" t="s">
        <v>17</v>
      </c>
      <c r="B9">
        <v>2510.5231859999999</v>
      </c>
      <c r="C9" s="6" t="s">
        <v>54</v>
      </c>
    </row>
    <row r="10" spans="1:3" x14ac:dyDescent="0.2">
      <c r="A10" t="s">
        <v>17</v>
      </c>
      <c r="B10">
        <v>1171.3142909999999</v>
      </c>
      <c r="C10" s="6" t="s">
        <v>54</v>
      </c>
    </row>
    <row r="11" spans="1:3" x14ac:dyDescent="0.2">
      <c r="A11" t="s">
        <v>17</v>
      </c>
      <c r="B11">
        <v>584.654492</v>
      </c>
      <c r="C11" s="6" t="s">
        <v>54</v>
      </c>
    </row>
    <row r="12" spans="1:3" x14ac:dyDescent="0.2">
      <c r="A12" t="s">
        <v>17</v>
      </c>
      <c r="B12">
        <v>2201.0133999999998</v>
      </c>
      <c r="C12" s="6" t="s">
        <v>54</v>
      </c>
    </row>
    <row r="13" spans="1:3" x14ac:dyDescent="0.2">
      <c r="A13" t="s">
        <v>17</v>
      </c>
      <c r="B13">
        <v>3.6693047999999999</v>
      </c>
      <c r="C13" s="6" t="s">
        <v>54</v>
      </c>
    </row>
    <row r="14" spans="1:3" x14ac:dyDescent="0.2">
      <c r="A14" t="s">
        <v>14</v>
      </c>
      <c r="B14">
        <v>40.288063800000003</v>
      </c>
      <c r="C14" s="6" t="s">
        <v>54</v>
      </c>
    </row>
    <row r="15" spans="1:3" x14ac:dyDescent="0.2">
      <c r="A15" t="s">
        <v>14</v>
      </c>
      <c r="B15">
        <v>113.3313228</v>
      </c>
      <c r="C15" s="6" t="s">
        <v>54</v>
      </c>
    </row>
    <row r="16" spans="1:3" x14ac:dyDescent="0.2">
      <c r="A16" t="s">
        <v>14</v>
      </c>
      <c r="B16">
        <v>1316.460752</v>
      </c>
      <c r="C16" s="6" t="s">
        <v>54</v>
      </c>
    </row>
    <row r="17" spans="1:3" x14ac:dyDescent="0.2">
      <c r="A17" t="s">
        <v>14</v>
      </c>
      <c r="B17">
        <v>730.73156140000003</v>
      </c>
      <c r="C17" s="6" t="s">
        <v>54</v>
      </c>
    </row>
    <row r="18" spans="1:3" x14ac:dyDescent="0.2">
      <c r="A18" t="s">
        <v>14</v>
      </c>
      <c r="B18">
        <v>1992.103464</v>
      </c>
      <c r="C18" s="6" t="s">
        <v>54</v>
      </c>
    </row>
    <row r="19" spans="1:3" x14ac:dyDescent="0.2">
      <c r="A19" t="s">
        <v>14</v>
      </c>
      <c r="B19">
        <v>584.3764367</v>
      </c>
      <c r="C19" s="6" t="s">
        <v>54</v>
      </c>
    </row>
    <row r="20" spans="1:3" x14ac:dyDescent="0.2">
      <c r="A20" t="s">
        <v>17</v>
      </c>
      <c r="B20">
        <v>19657.385569999999</v>
      </c>
      <c r="C20" s="6" t="s">
        <v>54</v>
      </c>
    </row>
    <row r="21" spans="1:3" x14ac:dyDescent="0.2">
      <c r="A21" t="s">
        <v>17</v>
      </c>
      <c r="B21">
        <v>671.07684959999995</v>
      </c>
      <c r="C21" s="6" t="s">
        <v>54</v>
      </c>
    </row>
    <row r="22" spans="1:3" x14ac:dyDescent="0.2">
      <c r="A22" t="s">
        <v>17</v>
      </c>
      <c r="B22">
        <v>737.64362310000001</v>
      </c>
      <c r="C22" s="6" t="s">
        <v>54</v>
      </c>
    </row>
    <row r="23" spans="1:3" x14ac:dyDescent="0.2">
      <c r="A23" t="s">
        <v>17</v>
      </c>
      <c r="B23">
        <v>1604.100441</v>
      </c>
      <c r="C23" s="6" t="s">
        <v>54</v>
      </c>
    </row>
    <row r="24" spans="1:3" x14ac:dyDescent="0.2">
      <c r="A24" t="s">
        <v>21</v>
      </c>
      <c r="B24">
        <v>1710.0382320000001</v>
      </c>
      <c r="C24" s="6" t="s">
        <v>54</v>
      </c>
    </row>
    <row r="25" spans="1:3" x14ac:dyDescent="0.2">
      <c r="A25" t="s">
        <v>21</v>
      </c>
      <c r="B25">
        <v>6563.5792369999999</v>
      </c>
      <c r="C25" s="6" t="s">
        <v>54</v>
      </c>
    </row>
    <row r="26" spans="1:3" x14ac:dyDescent="0.2">
      <c r="A26" t="s">
        <v>17</v>
      </c>
      <c r="B26">
        <f>$B2-($B2*ABS(BiomassData!S2))</f>
        <v>52699.612973037016</v>
      </c>
      <c r="C26" s="6" t="s">
        <v>62</v>
      </c>
    </row>
    <row r="27" spans="1:3" x14ac:dyDescent="0.2">
      <c r="A27" t="s">
        <v>17</v>
      </c>
      <c r="B27">
        <f>$B3-($B3*ABS(BiomassData!S3))</f>
        <v>1165.2520754749066</v>
      </c>
      <c r="C27" s="6" t="s">
        <v>62</v>
      </c>
    </row>
    <row r="28" spans="1:3" x14ac:dyDescent="0.2">
      <c r="A28" t="s">
        <v>17</v>
      </c>
      <c r="B28">
        <f>$B4-($B4*ABS(BiomassData!S4))</f>
        <v>237.25175303125209</v>
      </c>
      <c r="C28" s="6" t="s">
        <v>62</v>
      </c>
    </row>
    <row r="29" spans="1:3" x14ac:dyDescent="0.2">
      <c r="A29" t="s">
        <v>22</v>
      </c>
      <c r="B29">
        <f>$B5-($B5*ABS(BiomassData!S6))</f>
        <v>65076.037963423871</v>
      </c>
      <c r="C29" s="6" t="s">
        <v>62</v>
      </c>
    </row>
    <row r="30" spans="1:3" x14ac:dyDescent="0.2">
      <c r="A30" t="s">
        <v>22</v>
      </c>
      <c r="B30">
        <f>$B6-($B6*ABS(BiomassData!S7))</f>
        <v>2152.3134705454231</v>
      </c>
      <c r="C30" s="6" t="s">
        <v>62</v>
      </c>
    </row>
    <row r="31" spans="1:3" x14ac:dyDescent="0.2">
      <c r="A31" t="s">
        <v>17</v>
      </c>
      <c r="B31">
        <f>$B7-($B7*ABS(BiomassData!S8))</f>
        <v>3121.5055989819534</v>
      </c>
      <c r="C31" s="6" t="s">
        <v>62</v>
      </c>
    </row>
    <row r="32" spans="1:3" x14ac:dyDescent="0.2">
      <c r="A32" t="s">
        <v>17</v>
      </c>
      <c r="B32">
        <f>$B8-($B8*ABS(BiomassData!S9))</f>
        <v>12034.264938447872</v>
      </c>
      <c r="C32" s="6" t="s">
        <v>62</v>
      </c>
    </row>
    <row r="33" spans="1:3" x14ac:dyDescent="0.2">
      <c r="A33" t="s">
        <v>17</v>
      </c>
      <c r="B33">
        <f>$B9-($B9*ABS(BiomassData!S10))</f>
        <v>2486.2324628095253</v>
      </c>
      <c r="C33" s="6" t="s">
        <v>62</v>
      </c>
    </row>
    <row r="34" spans="1:3" x14ac:dyDescent="0.2">
      <c r="A34" t="s">
        <v>17</v>
      </c>
      <c r="B34">
        <f>$B10-($B10*ABS(BiomassData!S11))</f>
        <v>1159.9811667451067</v>
      </c>
      <c r="C34" s="6" t="s">
        <v>62</v>
      </c>
    </row>
    <row r="35" spans="1:3" x14ac:dyDescent="0.2">
      <c r="A35" t="s">
        <v>17</v>
      </c>
      <c r="B35">
        <f>$B11-($B11*ABS(BiomassData!S12))</f>
        <v>578.99763110883771</v>
      </c>
      <c r="C35" s="6" t="s">
        <v>62</v>
      </c>
    </row>
    <row r="36" spans="1:3" x14ac:dyDescent="0.2">
      <c r="A36" t="s">
        <v>17</v>
      </c>
      <c r="B36">
        <f>$B12-($B12*ABS(BiomassData!S13))</f>
        <v>2179.7173579892865</v>
      </c>
      <c r="C36" s="6" t="s">
        <v>62</v>
      </c>
    </row>
    <row r="37" spans="1:3" x14ac:dyDescent="0.2">
      <c r="A37" t="s">
        <v>17</v>
      </c>
      <c r="B37">
        <f>$B13-($B13*ABS(BiomassData!S14))</f>
        <v>3.6338022132502275</v>
      </c>
      <c r="C37" s="6" t="s">
        <v>62</v>
      </c>
    </row>
    <row r="38" spans="1:3" x14ac:dyDescent="0.2">
      <c r="A38" t="s">
        <v>14</v>
      </c>
      <c r="B38">
        <f>$B14-($B14*ABS(BiomassData!S16))</f>
        <v>39.161675090875015</v>
      </c>
      <c r="C38" s="6" t="s">
        <v>62</v>
      </c>
    </row>
    <row r="39" spans="1:3" x14ac:dyDescent="0.2">
      <c r="A39" t="s">
        <v>14</v>
      </c>
      <c r="B39">
        <f>$B15-($B15*ABS(BiomassData!S17))</f>
        <v>110.16276342157389</v>
      </c>
      <c r="C39" s="6" t="s">
        <v>62</v>
      </c>
    </row>
    <row r="40" spans="1:3" x14ac:dyDescent="0.2">
      <c r="A40" t="s">
        <v>14</v>
      </c>
      <c r="B40">
        <f>$B16-($B16*ABS(BiomassData!S18))</f>
        <v>1279.6546514531926</v>
      </c>
      <c r="C40" s="6" t="s">
        <v>62</v>
      </c>
    </row>
    <row r="41" spans="1:3" x14ac:dyDescent="0.2">
      <c r="A41" t="s">
        <v>14</v>
      </c>
      <c r="B41">
        <f>$B17-($B17*ABS(BiomassData!S19))</f>
        <v>710.30149595311616</v>
      </c>
      <c r="C41" s="6" t="s">
        <v>62</v>
      </c>
    </row>
    <row r="42" spans="1:3" x14ac:dyDescent="0.2">
      <c r="A42" t="s">
        <v>14</v>
      </c>
      <c r="B42">
        <f>$B18-($B18*ABS(BiomassData!S20))</f>
        <v>1936.4074925977116</v>
      </c>
      <c r="C42" s="6" t="s">
        <v>62</v>
      </c>
    </row>
    <row r="43" spans="1:3" x14ac:dyDescent="0.2">
      <c r="A43" t="s">
        <v>14</v>
      </c>
      <c r="B43">
        <f>$B19-($B19*ABS(BiomassData!S21))</f>
        <v>568.03822239798694</v>
      </c>
      <c r="C43" s="6" t="s">
        <v>62</v>
      </c>
    </row>
    <row r="44" spans="1:3" x14ac:dyDescent="0.2">
      <c r="A44" t="s">
        <v>17</v>
      </c>
      <c r="B44">
        <f>$B20-($B20*ABS(BiomassData!S22))</f>
        <v>19467.189313621227</v>
      </c>
      <c r="C44" s="6" t="s">
        <v>62</v>
      </c>
    </row>
    <row r="45" spans="1:3" x14ac:dyDescent="0.2">
      <c r="A45" t="s">
        <v>17</v>
      </c>
      <c r="B45">
        <f>$B21-($B21*ABS(BiomassData!S23))</f>
        <v>664.58380381413667</v>
      </c>
      <c r="C45" s="6" t="s">
        <v>62</v>
      </c>
    </row>
    <row r="46" spans="1:3" x14ac:dyDescent="0.2">
      <c r="A46" t="s">
        <v>17</v>
      </c>
      <c r="B46">
        <f>$B22-($B22*ABS(BiomassData!S24))</f>
        <v>730.50650635801549</v>
      </c>
      <c r="C46" s="6" t="s">
        <v>62</v>
      </c>
    </row>
    <row r="47" spans="1:3" x14ac:dyDescent="0.2">
      <c r="A47" t="s">
        <v>17</v>
      </c>
      <c r="B47">
        <f>$B23-($B23*ABS(BiomassData!S25))</f>
        <v>1588.5798674401392</v>
      </c>
      <c r="C47" s="6" t="s">
        <v>62</v>
      </c>
    </row>
    <row r="48" spans="1:3" x14ac:dyDescent="0.2">
      <c r="A48" t="s">
        <v>21</v>
      </c>
      <c r="B48">
        <f>$B24-($B24*ABS(BiomassData!S26))</f>
        <v>1637.2719793849569</v>
      </c>
      <c r="C48" s="6" t="s">
        <v>62</v>
      </c>
    </row>
    <row r="49" spans="1:3" x14ac:dyDescent="0.2">
      <c r="A49" t="s">
        <v>21</v>
      </c>
      <c r="B49">
        <f>$B25-($B25*ABS(BiomassData!S27))</f>
        <v>6284.2831043867536</v>
      </c>
      <c r="C49" s="6" t="s">
        <v>62</v>
      </c>
    </row>
    <row r="50" spans="1:3" x14ac:dyDescent="0.2">
      <c r="A50" t="s">
        <v>17</v>
      </c>
      <c r="B50">
        <f>$B2-($B2*ABS(BiomassData!V2))</f>
        <v>50101.316966647129</v>
      </c>
      <c r="C50" s="6" t="s">
        <v>63</v>
      </c>
    </row>
    <row r="51" spans="1:3" x14ac:dyDescent="0.2">
      <c r="A51" t="s">
        <v>17</v>
      </c>
      <c r="B51">
        <f>$B3-($B3*ABS(BiomassData!V3))</f>
        <v>1107.8006134367881</v>
      </c>
      <c r="C51" s="6" t="s">
        <v>63</v>
      </c>
    </row>
    <row r="52" spans="1:3" x14ac:dyDescent="0.2">
      <c r="A52" t="s">
        <v>17</v>
      </c>
      <c r="B52">
        <f>$B4-($B4*ABS(BiomassData!V4))</f>
        <v>225.55431831336338</v>
      </c>
      <c r="C52" s="6" t="s">
        <v>63</v>
      </c>
    </row>
    <row r="53" spans="1:3" x14ac:dyDescent="0.2">
      <c r="A53" t="s">
        <v>22</v>
      </c>
      <c r="B53">
        <f>$B5-($B5*ABS(BiomassData!V6))</f>
        <v>60323.899258070793</v>
      </c>
      <c r="C53" s="6" t="s">
        <v>63</v>
      </c>
    </row>
    <row r="54" spans="1:3" x14ac:dyDescent="0.2">
      <c r="A54" t="s">
        <v>22</v>
      </c>
      <c r="B54">
        <f>$B6-($B6*ABS(BiomassData!V7))</f>
        <v>1995.1420681441209</v>
      </c>
      <c r="C54" s="6" t="s">
        <v>63</v>
      </c>
    </row>
    <row r="55" spans="1:3" x14ac:dyDescent="0.2">
      <c r="A55" t="s">
        <v>17</v>
      </c>
      <c r="B55">
        <f>$B7-($B7*ABS(BiomassData!V8))</f>
        <v>2967.6032252414075</v>
      </c>
      <c r="C55" s="6" t="s">
        <v>63</v>
      </c>
    </row>
    <row r="56" spans="1:3" x14ac:dyDescent="0.2">
      <c r="A56" t="s">
        <v>17</v>
      </c>
      <c r="B56">
        <f>$B8-($B8*ABS(BiomassData!V9))</f>
        <v>11440.928844207387</v>
      </c>
      <c r="C56" s="6" t="s">
        <v>63</v>
      </c>
    </row>
    <row r="57" spans="1:3" x14ac:dyDescent="0.2">
      <c r="A57" t="s">
        <v>17</v>
      </c>
      <c r="B57">
        <f>$B9-($B9*ABS(BiomassData!V10))</f>
        <v>2363.651526923335</v>
      </c>
      <c r="C57" s="6" t="s">
        <v>63</v>
      </c>
    </row>
    <row r="58" spans="1:3" x14ac:dyDescent="0.2">
      <c r="A58" t="s">
        <v>17</v>
      </c>
      <c r="B58">
        <f>$B10-($B10*ABS(BiomassData!V11))</f>
        <v>1102.7895810197363</v>
      </c>
      <c r="C58" s="6" t="s">
        <v>63</v>
      </c>
    </row>
    <row r="59" spans="1:3" x14ac:dyDescent="0.2">
      <c r="A59" t="s">
        <v>17</v>
      </c>
      <c r="B59">
        <f>$B11-($B11*ABS(BiomassData!V12))</f>
        <v>550.45079465694562</v>
      </c>
      <c r="C59" s="6" t="s">
        <v>63</v>
      </c>
    </row>
    <row r="60" spans="1:3" x14ac:dyDescent="0.2">
      <c r="A60" t="s">
        <v>17</v>
      </c>
      <c r="B60">
        <f>$B12-($B12*ABS(BiomassData!V13))</f>
        <v>2072.2488096107636</v>
      </c>
      <c r="C60" s="6" t="s">
        <v>63</v>
      </c>
    </row>
    <row r="61" spans="1:3" x14ac:dyDescent="0.2">
      <c r="A61" t="s">
        <v>17</v>
      </c>
      <c r="B61">
        <f>$B13-($B13*ABS(BiomassData!V14))</f>
        <v>3.4546416227629786</v>
      </c>
      <c r="C61" s="6" t="s">
        <v>63</v>
      </c>
    </row>
    <row r="62" spans="1:3" x14ac:dyDescent="0.2">
      <c r="A62" t="s">
        <v>14</v>
      </c>
      <c r="B62">
        <f>$B14-($B14*ABS(BiomassData!V16))</f>
        <v>37.692406384905659</v>
      </c>
      <c r="C62" s="6" t="s">
        <v>63</v>
      </c>
    </row>
    <row r="63" spans="1:3" x14ac:dyDescent="0.2">
      <c r="A63" t="s">
        <v>14</v>
      </c>
      <c r="B63">
        <f>$B15-($B15*ABS(BiomassData!V17))</f>
        <v>106.0296741070124</v>
      </c>
      <c r="C63" s="6" t="s">
        <v>63</v>
      </c>
    </row>
    <row r="64" spans="1:3" x14ac:dyDescent="0.2">
      <c r="A64" t="s">
        <v>14</v>
      </c>
      <c r="B64">
        <f>$B16-($B16*ABS(BiomassData!V18))</f>
        <v>1231.6445362202414</v>
      </c>
      <c r="C64" s="6" t="s">
        <v>63</v>
      </c>
    </row>
    <row r="65" spans="1:3" x14ac:dyDescent="0.2">
      <c r="A65" t="s">
        <v>14</v>
      </c>
      <c r="B65">
        <f>$B17-($B17*ABS(BiomassData!V19))</f>
        <v>683.65238665466563</v>
      </c>
      <c r="C65" s="6" t="s">
        <v>63</v>
      </c>
    </row>
    <row r="66" spans="1:3" x14ac:dyDescent="0.2">
      <c r="A66" t="s">
        <v>14</v>
      </c>
      <c r="B66">
        <f>$B18-($B18*ABS(BiomassData!V20))</f>
        <v>1863.7573078373221</v>
      </c>
      <c r="C66" s="6" t="s">
        <v>63</v>
      </c>
    </row>
    <row r="67" spans="1:3" x14ac:dyDescent="0.2">
      <c r="A67" t="s">
        <v>14</v>
      </c>
      <c r="B67">
        <f>$B19-($B19*ABS(BiomassData!V21))</f>
        <v>546.72655015651299</v>
      </c>
      <c r="C67" s="6" t="s">
        <v>63</v>
      </c>
    </row>
    <row r="68" spans="1:3" x14ac:dyDescent="0.2">
      <c r="A68" t="s">
        <v>17</v>
      </c>
      <c r="B68">
        <f>$B20-($B20*ABS(BiomassData!V22))</f>
        <v>18507.381121574406</v>
      </c>
      <c r="C68" s="6" t="s">
        <v>63</v>
      </c>
    </row>
    <row r="69" spans="1:3" x14ac:dyDescent="0.2">
      <c r="A69" t="s">
        <v>17</v>
      </c>
      <c r="B69">
        <f>$B21-($B21*ABS(BiomassData!V23))</f>
        <v>631.81723597909092</v>
      </c>
      <c r="C69" s="6" t="s">
        <v>63</v>
      </c>
    </row>
    <row r="70" spans="1:3" x14ac:dyDescent="0.2">
      <c r="A70" t="s">
        <v>17</v>
      </c>
      <c r="B70">
        <f>$B22-($B22*ABS(BiomassData!V24))</f>
        <v>694.48969274150977</v>
      </c>
      <c r="C70" s="6" t="s">
        <v>63</v>
      </c>
    </row>
    <row r="71" spans="1:3" x14ac:dyDescent="0.2">
      <c r="A71" t="s">
        <v>17</v>
      </c>
      <c r="B71">
        <f>$B23-($B23*ABS(BiomassData!V25))</f>
        <v>1510.2566978276238</v>
      </c>
      <c r="C71" s="6" t="s">
        <v>63</v>
      </c>
    </row>
    <row r="72" spans="1:3" x14ac:dyDescent="0.2">
      <c r="A72" t="s">
        <v>21</v>
      </c>
      <c r="B72">
        <f>$B24-($B24*ABS(BiomassData!V26))</f>
        <v>1585.0482024671546</v>
      </c>
      <c r="C72" s="6" t="s">
        <v>63</v>
      </c>
    </row>
    <row r="73" spans="1:3" x14ac:dyDescent="0.2">
      <c r="A73" t="s">
        <v>21</v>
      </c>
      <c r="B73">
        <f>$B25-($B25*ABS(BiomassData!V27))</f>
        <v>6083.8344293565406</v>
      </c>
      <c r="C73" s="6" t="s">
        <v>63</v>
      </c>
    </row>
    <row r="74" spans="1:3" x14ac:dyDescent="0.2">
      <c r="A74" t="s">
        <v>17</v>
      </c>
      <c r="B74">
        <f>$B2-($B2*ABS(BiomassData!Y2))</f>
        <v>48468.55513572495</v>
      </c>
      <c r="C74" s="6" t="s">
        <v>64</v>
      </c>
    </row>
    <row r="75" spans="1:3" x14ac:dyDescent="0.2">
      <c r="A75" t="s">
        <v>17</v>
      </c>
      <c r="B75">
        <f>$B3-($B3*ABS(BiomassData!Y3))</f>
        <v>1071.69827786154</v>
      </c>
      <c r="C75" s="6" t="s">
        <v>64</v>
      </c>
    </row>
    <row r="76" spans="1:3" x14ac:dyDescent="0.2">
      <c r="A76" t="s">
        <v>17</v>
      </c>
      <c r="B76">
        <f>$B4-($B4*ABS(BiomassData!Y4))</f>
        <v>218.2036835588539</v>
      </c>
      <c r="C76" s="6" t="s">
        <v>64</v>
      </c>
    </row>
    <row r="77" spans="1:3" x14ac:dyDescent="0.2">
      <c r="A77" t="s">
        <v>22</v>
      </c>
      <c r="B77">
        <f>$B5-($B5*ABS(BiomassData!Y6))</f>
        <v>58015.736785377114</v>
      </c>
      <c r="C77" s="6" t="s">
        <v>64</v>
      </c>
    </row>
    <row r="78" spans="1:3" x14ac:dyDescent="0.2">
      <c r="A78" t="s">
        <v>22</v>
      </c>
      <c r="B78">
        <f>$B6-($B6*ABS(BiomassData!Y7))</f>
        <v>1918.802307186666</v>
      </c>
      <c r="C78" s="6" t="s">
        <v>64</v>
      </c>
    </row>
    <row r="79" spans="1:3" x14ac:dyDescent="0.2">
      <c r="A79" t="s">
        <v>17</v>
      </c>
      <c r="B79">
        <f>$B7-($B7*ABS(BiomassData!Y8))</f>
        <v>2870.8914106852881</v>
      </c>
      <c r="C79" s="6" t="s">
        <v>64</v>
      </c>
    </row>
    <row r="80" spans="1:3" x14ac:dyDescent="0.2">
      <c r="A80" t="s">
        <v>17</v>
      </c>
      <c r="B80">
        <f>$B8-($B8*ABS(BiomassData!Y9))</f>
        <v>11068.078127737117</v>
      </c>
      <c r="C80" s="6" t="s">
        <v>64</v>
      </c>
    </row>
    <row r="81" spans="1:3" x14ac:dyDescent="0.2">
      <c r="A81" t="s">
        <v>17</v>
      </c>
      <c r="B81">
        <f>$B9-($B9*ABS(BiomassData!Y10))</f>
        <v>2286.6220149580008</v>
      </c>
      <c r="C81" s="6" t="s">
        <v>64</v>
      </c>
    </row>
    <row r="82" spans="1:3" x14ac:dyDescent="0.2">
      <c r="A82" t="s">
        <v>17</v>
      </c>
      <c r="B82">
        <f>$B10-($B10*ABS(BiomassData!Y11))</f>
        <v>1066.8505509813372</v>
      </c>
      <c r="C82" s="6" t="s">
        <v>64</v>
      </c>
    </row>
    <row r="83" spans="1:3" x14ac:dyDescent="0.2">
      <c r="A83" t="s">
        <v>17</v>
      </c>
      <c r="B83">
        <f>$B11-($B11*ABS(BiomassData!Y12))</f>
        <v>532.51204370724599</v>
      </c>
      <c r="C83" s="6" t="s">
        <v>64</v>
      </c>
    </row>
    <row r="84" spans="1:3" x14ac:dyDescent="0.2">
      <c r="A84" t="s">
        <v>17</v>
      </c>
      <c r="B84">
        <f>$B12-($B12*ABS(BiomassData!Y13))</f>
        <v>2004.7158790341321</v>
      </c>
      <c r="C84" s="6" t="s">
        <v>64</v>
      </c>
    </row>
    <row r="85" spans="1:3" x14ac:dyDescent="0.2">
      <c r="A85" t="s">
        <v>17</v>
      </c>
      <c r="B85">
        <f>$B13-($B13*ABS(BiomassData!Y14))</f>
        <v>3.3420576165397997</v>
      </c>
      <c r="C85" s="6" t="s">
        <v>64</v>
      </c>
    </row>
    <row r="86" spans="1:3" x14ac:dyDescent="0.2">
      <c r="A86" t="s">
        <v>14</v>
      </c>
      <c r="B86">
        <f>$B14-($B14*ABS(BiomassData!Y16))</f>
        <v>35.137072256659735</v>
      </c>
      <c r="C86" s="6" t="s">
        <v>64</v>
      </c>
    </row>
    <row r="87" spans="1:3" x14ac:dyDescent="0.2">
      <c r="A87" t="s">
        <v>14</v>
      </c>
      <c r="B87">
        <f>$B15-($B15*ABS(BiomassData!Y17))</f>
        <v>98.841455820133703</v>
      </c>
      <c r="C87" s="6" t="s">
        <v>64</v>
      </c>
    </row>
    <row r="88" spans="1:3" x14ac:dyDescent="0.2">
      <c r="A88" t="s">
        <v>14</v>
      </c>
      <c r="B88">
        <f>$B16-($B16*ABS(BiomassData!Y18))</f>
        <v>1148.1459321477892</v>
      </c>
      <c r="C88" s="6" t="s">
        <v>64</v>
      </c>
    </row>
    <row r="89" spans="1:3" x14ac:dyDescent="0.2">
      <c r="A89" t="s">
        <v>14</v>
      </c>
      <c r="B89">
        <f>$B17-($B17*ABS(BiomassData!Y19))</f>
        <v>637.30458233472086</v>
      </c>
      <c r="C89" s="6" t="s">
        <v>64</v>
      </c>
    </row>
    <row r="90" spans="1:3" x14ac:dyDescent="0.2">
      <c r="A90" t="s">
        <v>14</v>
      </c>
      <c r="B90">
        <f>$B18-($B18*ABS(BiomassData!Y20))</f>
        <v>1737.4049967948608</v>
      </c>
      <c r="C90" s="6" t="s">
        <v>64</v>
      </c>
    </row>
    <row r="91" spans="1:3" x14ac:dyDescent="0.2">
      <c r="A91" t="s">
        <v>14</v>
      </c>
      <c r="B91">
        <f>$B19-($B19*ABS(BiomassData!Y21))</f>
        <v>509.66155095835705</v>
      </c>
      <c r="C91" s="6" t="s">
        <v>64</v>
      </c>
    </row>
    <row r="92" spans="1:3" x14ac:dyDescent="0.2">
      <c r="A92" t="s">
        <v>17</v>
      </c>
      <c r="B92">
        <f>$B20-($B20*ABS(BiomassData!Y22))</f>
        <v>17904.2403796703</v>
      </c>
      <c r="C92" s="6" t="s">
        <v>64</v>
      </c>
    </row>
    <row r="93" spans="1:3" x14ac:dyDescent="0.2">
      <c r="A93" t="s">
        <v>17</v>
      </c>
      <c r="B93">
        <f>$B21-($B21*ABS(BiomassData!Y23))</f>
        <v>611.22681781279482</v>
      </c>
      <c r="C93" s="6" t="s">
        <v>64</v>
      </c>
    </row>
    <row r="94" spans="1:3" x14ac:dyDescent="0.2">
      <c r="A94" t="s">
        <v>17</v>
      </c>
      <c r="B94">
        <f>$B22-($B22*ABS(BiomassData!Y24))</f>
        <v>671.85682935725822</v>
      </c>
      <c r="C94" s="6" t="s">
        <v>64</v>
      </c>
    </row>
    <row r="95" spans="1:3" x14ac:dyDescent="0.2">
      <c r="A95" t="s">
        <v>17</v>
      </c>
      <c r="B95">
        <f>$B23-($B23*ABS(BiomassData!Y25))</f>
        <v>1461.0386404909459</v>
      </c>
      <c r="C95" s="6" t="s">
        <v>64</v>
      </c>
    </row>
    <row r="96" spans="1:3" x14ac:dyDescent="0.2">
      <c r="A96" t="s">
        <v>21</v>
      </c>
      <c r="B96">
        <f>$B24-($B24*ABS(BiomassData!Y26))</f>
        <v>1452.8774571370109</v>
      </c>
      <c r="C96" s="6" t="s">
        <v>64</v>
      </c>
    </row>
    <row r="97" spans="1:3" x14ac:dyDescent="0.2">
      <c r="A97" t="s">
        <v>21</v>
      </c>
      <c r="B97">
        <f>$B25-($B25*ABS(BiomassData!Y27))</f>
        <v>5576.5281343545075</v>
      </c>
      <c r="C97" s="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0B23-12F9-8047-9E33-520834E27935}">
  <dimension ref="A1:N30"/>
  <sheetViews>
    <sheetView zoomScale="92" workbookViewId="0">
      <pane xSplit="1" topLeftCell="B1" activePane="topRight" state="frozen"/>
      <selection pane="topRight" activeCell="C12" sqref="C12"/>
    </sheetView>
  </sheetViews>
  <sheetFormatPr baseColWidth="10" defaultRowHeight="16" x14ac:dyDescent="0.2"/>
  <cols>
    <col min="1" max="1" width="22.6640625" customWidth="1"/>
    <col min="2" max="4" width="26.6640625" customWidth="1"/>
    <col min="5" max="5" width="12.1640625" bestFit="1" customWidth="1"/>
    <col min="6" max="6" width="22.5" customWidth="1"/>
    <col min="7" max="7" width="12.1640625" bestFit="1" customWidth="1"/>
    <col min="8" max="9" width="26" customWidth="1"/>
    <col min="10" max="10" width="6.83203125" customWidth="1"/>
    <col min="11" max="11" width="8" customWidth="1"/>
    <col min="12" max="12" width="24.5" customWidth="1"/>
    <col min="13" max="13" width="22.83203125" customWidth="1"/>
    <col min="14" max="14" width="13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8487</v>
      </c>
      <c r="C2">
        <v>13661</v>
      </c>
      <c r="D2">
        <f>DatabaseTable35[[#This Row],[Vegetated Area from GEP (m^2)]]/DatabaseTable35[[#This Row],[Total island area (m^2)]]</f>
        <v>0.62125759461240027</v>
      </c>
      <c r="E2">
        <f>LOG10(DatabaseTable35[[#This Row],[Vegetated Area from GEP (m^2)]])</f>
        <v>3.9287542021766533</v>
      </c>
      <c r="F2" s="1">
        <v>5454</v>
      </c>
      <c r="G2">
        <v>1.15253728592589</v>
      </c>
      <c r="H2">
        <f>(DatabaseTable35[[#This Row],[Red Mangrove Area (m^2)]]*G2)/(2*3.14*(72-35))</f>
        <v>27.052583738336221</v>
      </c>
      <c r="I2">
        <f>DatabaseTable35[[#This Row],[Dispersion Coefficient Planet (m^2/yr)]]/365</f>
        <v>7.411666777626362E-2</v>
      </c>
      <c r="J2">
        <v>100</v>
      </c>
      <c r="K2">
        <v>35</v>
      </c>
      <c r="L2">
        <f>(3.1415*(DatabaseTable35[[#This Row],[Sc]]-DatabaseTable35[[#This Row],[So]])/(DatabaseTable35[[#This Row],[Enet (m/yr)]]))*(2*DatabaseTable35[[#This Row],[Dispersion Coefficient Planet (m^2/yr)]])</f>
        <v>9585.9284300223808</v>
      </c>
      <c r="M2">
        <f>LOG(DatabaseTable35[[#This Row],[Vegetated Area Model (m^2)]])</f>
        <v>3.981634182160215</v>
      </c>
    </row>
    <row r="3" spans="1:14" x14ac:dyDescent="0.2">
      <c r="A3" t="s">
        <v>14</v>
      </c>
      <c r="B3">
        <v>7174</v>
      </c>
      <c r="C3">
        <v>9045</v>
      </c>
      <c r="D3">
        <f>DatabaseTable35[[#This Row],[Vegetated Area from GEP (m^2)]]/DatabaseTable35[[#This Row],[Total island area (m^2)]]</f>
        <v>0.79314538419016034</v>
      </c>
      <c r="E3">
        <f>LOG10(DatabaseTable35[[#This Row],[Vegetated Area from GEP (m^2)]])</f>
        <v>3.855761372339948</v>
      </c>
      <c r="F3" s="1">
        <v>4473</v>
      </c>
      <c r="G3">
        <v>1.1525372859258889</v>
      </c>
      <c r="H3">
        <f>(DatabaseTable35[[#This Row],[Red Mangrove Area (m^2)]]*G3)/(2*3.14*(72-35))</f>
        <v>22.186689963618957</v>
      </c>
      <c r="I3">
        <f>DatabaseTable35[[#This Row],[Dispersion Coefficient Planet (m^2/yr)]]/365</f>
        <v>6.0785451955120431E-2</v>
      </c>
      <c r="J3">
        <v>100</v>
      </c>
      <c r="K3">
        <v>35</v>
      </c>
      <c r="L3">
        <f>(3.1415*(DatabaseTable35[[#This Row],[Sc]]-DatabaseTable35[[#This Row],[So]])/(DatabaseTable35[[#This Row],[Enet (m/yr)]]))*(2*DatabaseTable35[[#This Row],[Dispersion Coefficient Planet (m^2/yr)]])</f>
        <v>7861.7267817180245</v>
      </c>
      <c r="M3">
        <f>LOG(DatabaseTable35[[#This Row],[Vegetated Area Model (m^2)]])</f>
        <v>3.8955179467272609</v>
      </c>
    </row>
    <row r="4" spans="1:14" x14ac:dyDescent="0.2">
      <c r="A4" t="s">
        <v>14</v>
      </c>
      <c r="B4">
        <v>17014</v>
      </c>
      <c r="C4">
        <v>20878</v>
      </c>
      <c r="D4">
        <f>DatabaseTable35[[#This Row],[Vegetated Area from GEP (m^2)]]/DatabaseTable35[[#This Row],[Total island area (m^2)]]</f>
        <v>0.81492480122617106</v>
      </c>
      <c r="E4">
        <f>LOG10(DatabaseTable35[[#This Row],[Vegetated Area from GEP (m^2)]])</f>
        <v>4.2308064284688829</v>
      </c>
      <c r="F4" s="2">
        <v>15090</v>
      </c>
      <c r="G4">
        <v>1.1525372859258889</v>
      </c>
      <c r="H4">
        <f>(DatabaseTable35[[#This Row],[Red Mangrove Area (m^2)]]*G4)/(2*3.14*(72-35))</f>
        <v>74.848457757882869</v>
      </c>
      <c r="I4">
        <f>DatabaseTable35[[#This Row],[Dispersion Coefficient Planet (m^2/yr)]]/365</f>
        <v>0.20506426782981607</v>
      </c>
      <c r="J4">
        <v>100</v>
      </c>
      <c r="K4">
        <v>35</v>
      </c>
      <c r="L4">
        <f>(3.1415*(DatabaseTable35[[#This Row],[Sc]]-DatabaseTable35[[#This Row],[So]])/(DatabaseTable35[[#This Row],[Enet (m/yr)]]))*(2*DatabaseTable35[[#This Row],[Dispersion Coefficient Planet (m^2/yr)]])</f>
        <v>26522.123213978313</v>
      </c>
      <c r="M4">
        <f>LOG(DatabaseTable35[[#This Row],[Vegetated Area Model (m^2)]])</f>
        <v>4.4236082883301933</v>
      </c>
    </row>
    <row r="5" spans="1:14" x14ac:dyDescent="0.2">
      <c r="A5" t="s">
        <v>14</v>
      </c>
      <c r="B5">
        <v>23700</v>
      </c>
      <c r="C5">
        <v>32807</v>
      </c>
      <c r="D5">
        <f>DatabaseTable35[[#This Row],[Vegetated Area from GEP (m^2)]]/DatabaseTable35[[#This Row],[Total island area (m^2)]]</f>
        <v>0.72240680342609809</v>
      </c>
      <c r="E5">
        <f>LOG10(DatabaseTable35[[#This Row],[Vegetated Area from GEP (m^2)]])</f>
        <v>4.3747483460101035</v>
      </c>
      <c r="F5" s="2">
        <v>10857</v>
      </c>
      <c r="G5">
        <v>1.1525372859258889</v>
      </c>
      <c r="H5">
        <f>(DatabaseTable35[[#This Row],[Red Mangrove Area (m^2)]]*G5)/(2*3.14*(72-35))</f>
        <v>53.85220052202348</v>
      </c>
      <c r="I5">
        <f>DatabaseTable35[[#This Row],[Dispersion Coefficient Planet (m^2/yr)]]/365</f>
        <v>0.14754027540280407</v>
      </c>
      <c r="J5">
        <v>100</v>
      </c>
      <c r="K5">
        <v>35</v>
      </c>
      <c r="L5">
        <f>(3.1415*(DatabaseTable35[[#This Row],[Sc]]-DatabaseTable35[[#This Row],[So]])/(DatabaseTable35[[#This Row],[Enet (m/yr)]]))*(2*DatabaseTable35[[#This Row],[Dispersion Coefficient Planet (m^2/yr)]])</f>
        <v>19082.219465484595</v>
      </c>
      <c r="M5">
        <f>LOG(DatabaseTable35[[#This Row],[Vegetated Area Model (m^2)]])</f>
        <v>4.2806288863824653</v>
      </c>
    </row>
    <row r="6" spans="1:14" x14ac:dyDescent="0.2">
      <c r="A6" t="s">
        <v>14</v>
      </c>
      <c r="B6">
        <v>67701</v>
      </c>
      <c r="C6">
        <v>87153</v>
      </c>
      <c r="D6">
        <f>DatabaseTable35[[#This Row],[Vegetated Area from GEP (m^2)]]/DatabaseTable35[[#This Row],[Total island area (m^2)]]</f>
        <v>0.77680630615125124</v>
      </c>
      <c r="E6">
        <f>LOG10(DatabaseTable35[[#This Row],[Vegetated Area from GEP (m^2)]])</f>
        <v>4.830595083622728</v>
      </c>
      <c r="F6" s="1">
        <v>47205</v>
      </c>
      <c r="G6">
        <v>1.1525372859258889</v>
      </c>
      <c r="H6">
        <f>(DatabaseTable35[[#This Row],[Red Mangrove Area (m^2)]]*G6)/(2*3.14*(72-35))</f>
        <v>234.14323714121011</v>
      </c>
      <c r="I6">
        <f>DatabaseTable35[[#This Row],[Dispersion Coefficient Planet (m^2/yr)]]/365</f>
        <v>0.64148832093482222</v>
      </c>
      <c r="J6">
        <v>100</v>
      </c>
      <c r="K6">
        <v>35</v>
      </c>
      <c r="L6">
        <f>(3.1415*(DatabaseTable35[[#This Row],[Sc]]-DatabaseTable35[[#This Row],[So]])/(DatabaseTable35[[#This Row],[Enet (m/yr)]]))*(2*DatabaseTable35[[#This Row],[Dispersion Coefficient Planet (m^2/yr)]])</f>
        <v>82967.317847305909</v>
      </c>
      <c r="M6">
        <f>LOG(DatabaseTable35[[#This Row],[Vegetated Area Model (m^2)]])</f>
        <v>4.9189070505235053</v>
      </c>
    </row>
    <row r="7" spans="1:14" x14ac:dyDescent="0.2">
      <c r="A7" t="s">
        <v>14</v>
      </c>
      <c r="B7">
        <v>85012</v>
      </c>
      <c r="C7">
        <v>86429</v>
      </c>
      <c r="D7">
        <f>DatabaseTable35[[#This Row],[Vegetated Area from GEP (m^2)]]/DatabaseTable35[[#This Row],[Total island area (m^2)]]</f>
        <v>0.98360503997500837</v>
      </c>
      <c r="E7">
        <f>LOG10(DatabaseTable35[[#This Row],[Vegetated Area from GEP (m^2)]])</f>
        <v>4.9294802335489338</v>
      </c>
      <c r="F7" s="1">
        <v>72216</v>
      </c>
      <c r="G7">
        <v>1.1525372859258889</v>
      </c>
      <c r="H7">
        <f>(DatabaseTable35[[#This Row],[Red Mangrove Area (m^2)]]*G7)/(2*3.14*(72-35))</f>
        <v>358.20120778285417</v>
      </c>
      <c r="I7">
        <f>DatabaseTable35[[#This Row],[Dispersion Coefficient Planet (m^2/yr)]]/365</f>
        <v>0.98137317200781959</v>
      </c>
      <c r="J7">
        <v>100</v>
      </c>
      <c r="K7">
        <v>35</v>
      </c>
      <c r="L7">
        <f>(3.1415*(DatabaseTable35[[#This Row],[Sc]]-DatabaseTable35[[#This Row],[So]])/(DatabaseTable35[[#This Row],[Enet (m/yr)]]))*(2*DatabaseTable35[[#This Row],[Dispersion Coefficient Planet (m^2/yr)]])</f>
        <v>126926.55069719403</v>
      </c>
      <c r="M7">
        <f>LOG(DatabaseTable35[[#This Row],[Vegetated Area Model (m^2)]])</f>
        <v>5.1035524780062902</v>
      </c>
    </row>
    <row r="8" spans="1:14" x14ac:dyDescent="0.2">
      <c r="A8" t="s">
        <v>15</v>
      </c>
      <c r="B8">
        <v>2979571</v>
      </c>
      <c r="C8">
        <v>3405557</v>
      </c>
      <c r="D8">
        <f>DatabaseTable35[[#This Row],[Vegetated Area from GEP (m^2)]]/DatabaseTable35[[#This Row],[Total island area (m^2)]]</f>
        <v>0.87491444130871987</v>
      </c>
      <c r="E8">
        <f>LOG10(DatabaseTable35[[#This Row],[Vegetated Area from GEP (m^2)]])</f>
        <v>6.4741537386585506</v>
      </c>
      <c r="F8" s="1">
        <v>2529542</v>
      </c>
      <c r="G8">
        <v>0.31887381192570502</v>
      </c>
      <c r="H8">
        <f>(DatabaseTable35[[#This Row],[Red Mangrove Area (m^2)]]*G8)/(2*3.14*(72-35))</f>
        <v>3471.3578067058515</v>
      </c>
      <c r="I8">
        <f>DatabaseTable35[[#This Row],[Dispersion Coefficient Planet (m^2/yr)]]/365</f>
        <v>9.5105693334406887</v>
      </c>
      <c r="J8">
        <v>100</v>
      </c>
      <c r="K8">
        <v>35</v>
      </c>
      <c r="L8">
        <f>(3.1415*(DatabaseTable35[[#This Row],[Sc]]-DatabaseTable35[[#This Row],[So]])/(DatabaseTable35[[#This Row],[Enet (m/yr)]]))*(2*DatabaseTable35[[#This Row],[Dispersion Coefficient Planet (m^2/yr)]])</f>
        <v>4445912.8296178346</v>
      </c>
      <c r="M8">
        <f>LOG(DatabaseTable35[[#This Row],[Vegetated Area Model (m^2)]])</f>
        <v>6.6479609432961499</v>
      </c>
    </row>
    <row r="9" spans="1:14" x14ac:dyDescent="0.2">
      <c r="A9" t="s">
        <v>16</v>
      </c>
      <c r="B9">
        <v>1197621</v>
      </c>
      <c r="C9">
        <v>1299823</v>
      </c>
      <c r="D9">
        <f>DatabaseTable35[[#This Row],[Vegetated Area from GEP (m^2)]]/DatabaseTable35[[#This Row],[Total island area (m^2)]]</f>
        <v>0.9213723714690385</v>
      </c>
      <c r="E9">
        <f>LOG10(DatabaseTable35[[#This Row],[Vegetated Area from GEP (m^2)]])</f>
        <v>6.0783194026524301</v>
      </c>
      <c r="F9" s="1">
        <v>828207</v>
      </c>
      <c r="G9">
        <v>0.92038931379905498</v>
      </c>
      <c r="H9">
        <f>(DatabaseTable35[[#This Row],[Red Mangrove Area (m^2)]]*G9)/(2*3.14*(72-35))</f>
        <v>3280.5683956514627</v>
      </c>
      <c r="I9">
        <f>DatabaseTable35[[#This Row],[Dispersion Coefficient Planet (m^2/yr)]]/365</f>
        <v>8.9878586182231857</v>
      </c>
      <c r="J9">
        <v>100</v>
      </c>
      <c r="K9">
        <v>35</v>
      </c>
      <c r="L9">
        <f>(3.1415*(DatabaseTable35[[#This Row],[Sc]]-DatabaseTable35[[#This Row],[So]])/(DatabaseTable35[[#This Row],[Enet (m/yr)]]))*(2*DatabaseTable35[[#This Row],[Dispersion Coefficient Planet (m^2/yr)]])</f>
        <v>1455653.2869900155</v>
      </c>
      <c r="M9">
        <f>LOG(DatabaseTable35[[#This Row],[Vegetated Area Model (m^2)]])</f>
        <v>6.163057945390519</v>
      </c>
    </row>
    <row r="10" spans="1:14" x14ac:dyDescent="0.2">
      <c r="A10" t="s">
        <v>17</v>
      </c>
      <c r="B10">
        <v>295857</v>
      </c>
      <c r="C10">
        <v>321709</v>
      </c>
      <c r="D10">
        <f>DatabaseTable35[[#This Row],[Vegetated Area from GEP (m^2)]]/DatabaseTable35[[#This Row],[Total island area (m^2)]]</f>
        <v>0.91964166373959078</v>
      </c>
      <c r="E10">
        <f>LOG10(DatabaseTable35[[#This Row],[Vegetated Area from GEP (m^2)]])</f>
        <v>5.4710818491763531</v>
      </c>
      <c r="F10" s="1">
        <v>113157</v>
      </c>
      <c r="G10">
        <v>0.98009154376289997</v>
      </c>
      <c r="H10">
        <f>(DatabaseTable35[[#This Row],[Red Mangrove Area (m^2)]]*G10)/(2*3.14*(72-35))</f>
        <v>477.29479608184914</v>
      </c>
      <c r="I10">
        <f>DatabaseTable35[[#This Row],[Dispersion Coefficient Planet (m^2/yr)]]/365</f>
        <v>1.30765697556671</v>
      </c>
      <c r="J10">
        <v>100</v>
      </c>
      <c r="K10">
        <v>35</v>
      </c>
      <c r="L10">
        <f>(3.1415*(DatabaseTable35[[#This Row],[Sc]]-DatabaseTable35[[#This Row],[So]])/(DatabaseTable35[[#This Row],[Enet (m/yr)]]))*(2*DatabaseTable35[[#This Row],[Dispersion Coefficient Planet (m^2/yr)]])</f>
        <v>198884.28737734549</v>
      </c>
      <c r="M10">
        <f>LOG(DatabaseTable35[[#This Row],[Vegetated Area Model (m^2)]])</f>
        <v>5.2986004735474355</v>
      </c>
      <c r="N10" s="3" t="s">
        <v>18</v>
      </c>
    </row>
    <row r="11" spans="1:14" x14ac:dyDescent="0.2">
      <c r="A11" t="s">
        <v>17</v>
      </c>
      <c r="B11">
        <v>29122</v>
      </c>
      <c r="C11">
        <v>51434</v>
      </c>
      <c r="D11">
        <f>DatabaseTable35[[#This Row],[Vegetated Area from GEP (m^2)]]/DatabaseTable35[[#This Row],[Total island area (m^2)]]</f>
        <v>0.56620134541353973</v>
      </c>
      <c r="E11">
        <f>LOG10(DatabaseTable35[[#This Row],[Vegetated Area from GEP (m^2)]])</f>
        <v>4.4642211975344495</v>
      </c>
      <c r="F11" s="1">
        <v>4104</v>
      </c>
      <c r="G11">
        <v>0.98009154376289986</v>
      </c>
      <c r="H11">
        <f>(DatabaseTable35[[#This Row],[Red Mangrove Area (m^2)]]*G11)/(2*3.14*(72-35))</f>
        <v>17.310620139451458</v>
      </c>
      <c r="I11">
        <f>DatabaseTable35[[#This Row],[Dispersion Coefficient Planet (m^2/yr)]]/365</f>
        <v>4.7426356546442353E-2</v>
      </c>
      <c r="J11">
        <v>100</v>
      </c>
      <c r="K11">
        <v>27</v>
      </c>
      <c r="L11">
        <f>(3.1415*(DatabaseTable35[[#This Row],[Sc]]-DatabaseTable35[[#This Row],[So]])/(DatabaseTable35[[#This Row],[Enet (m/yr)]]))*(2*DatabaseTable35[[#This Row],[Dispersion Coefficient Planet (m^2/yr)]])</f>
        <v>8100.9491134446562</v>
      </c>
      <c r="M11">
        <f>LOG(DatabaseTable35[[#This Row],[Vegetated Area Model (m^2)]])</f>
        <v>3.908535904135964</v>
      </c>
      <c r="N11" t="s">
        <v>18</v>
      </c>
    </row>
    <row r="12" spans="1:14" x14ac:dyDescent="0.2">
      <c r="A12" t="s">
        <v>17</v>
      </c>
      <c r="B12">
        <v>241064</v>
      </c>
      <c r="C12">
        <v>387736</v>
      </c>
      <c r="D12">
        <f>DatabaseTable35[[#This Row],[Vegetated Area from GEP (m^2)]]/DatabaseTable35[[#This Row],[Total island area (m^2)]]</f>
        <v>0.62172199640992842</v>
      </c>
      <c r="E12">
        <f>LOG10(DatabaseTable35[[#This Row],[Vegetated Area from GEP (m^2)]])</f>
        <v>5.3821323585785734</v>
      </c>
      <c r="F12" s="1">
        <v>54675</v>
      </c>
      <c r="G12">
        <v>0.98009154376289986</v>
      </c>
      <c r="H12">
        <f>(DatabaseTable35[[#This Row],[Red Mangrove Area (m^2)]]*G12)/(2*3.14*(72-35))</f>
        <v>230.61845909466581</v>
      </c>
      <c r="I12">
        <f>DatabaseTable35[[#This Row],[Dispersion Coefficient Planet (m^2/yr)]]/365</f>
        <v>0.63183139477990635</v>
      </c>
      <c r="J12">
        <v>100</v>
      </c>
      <c r="K12">
        <v>27</v>
      </c>
      <c r="L12">
        <f>(3.1415*(DatabaseTable35[[#This Row],[Sc]]-DatabaseTable35[[#This Row],[So]])/(DatabaseTable35[[#This Row],[Enet (m/yr)]]))*(2*DatabaseTable35[[#This Row],[Dispersion Coefficient Planet (m^2/yr)]])</f>
        <v>107923.82864950939</v>
      </c>
      <c r="M12">
        <f>LOG(DatabaseTable35[[#This Row],[Vegetated Area Model (m^2)]])</f>
        <v>5.0331173437418784</v>
      </c>
      <c r="N12" t="s">
        <v>18</v>
      </c>
    </row>
    <row r="13" spans="1:14" x14ac:dyDescent="0.2">
      <c r="A13" t="s">
        <v>17</v>
      </c>
      <c r="B13">
        <v>112319</v>
      </c>
      <c r="C13">
        <v>140474</v>
      </c>
      <c r="D13">
        <f>DatabaseTable35[[#This Row],[Vegetated Area from GEP (m^2)]]/DatabaseTable35[[#This Row],[Total island area (m^2)]]</f>
        <v>0.79957145094465876</v>
      </c>
      <c r="E13">
        <f>LOG10(DatabaseTable35[[#This Row],[Vegetated Area from GEP (m^2)]])</f>
        <v>5.0504532281865915</v>
      </c>
      <c r="F13" s="1">
        <v>59490</v>
      </c>
      <c r="G13">
        <v>0.98009154376289986</v>
      </c>
      <c r="H13">
        <f>(DatabaseTable35[[#This Row],[Red Mangrove Area (m^2)]]*G13)/(2*3.14*(72-35))</f>
        <v>250.92806824950469</v>
      </c>
      <c r="I13">
        <f>DatabaseTable35[[#This Row],[Dispersion Coefficient Planet (m^2/yr)]]/365</f>
        <v>0.6874741595876841</v>
      </c>
      <c r="J13">
        <v>100</v>
      </c>
      <c r="K13">
        <v>27</v>
      </c>
      <c r="L13">
        <f>(3.1415*(DatabaseTable35[[#This Row],[Sc]]-DatabaseTable35[[#This Row],[So]])/(DatabaseTable35[[#This Row],[Enet (m/yr)]]))*(2*DatabaseTable35[[#This Row],[Dispersion Coefficient Planet (m^2/yr)]])</f>
        <v>117428.23166637977</v>
      </c>
      <c r="M13">
        <f>LOG(DatabaseTable35[[#This Row],[Vegetated Area Model (m^2)]])</f>
        <v>5.0697725209571693</v>
      </c>
      <c r="N13" t="s">
        <v>19</v>
      </c>
    </row>
    <row r="14" spans="1:14" x14ac:dyDescent="0.2">
      <c r="A14" t="s">
        <v>17</v>
      </c>
      <c r="B14">
        <v>77645</v>
      </c>
      <c r="C14">
        <v>135257</v>
      </c>
      <c r="D14">
        <f>DatabaseTable35[[#This Row],[Vegetated Area from GEP (m^2)]]/DatabaseTable35[[#This Row],[Total island area (m^2)]]</f>
        <v>0.57405531691520584</v>
      </c>
      <c r="E14">
        <f>LOG10(DatabaseTable35[[#This Row],[Vegetated Area from GEP (m^2)]])</f>
        <v>4.890113494290917</v>
      </c>
      <c r="F14" s="1">
        <v>34968</v>
      </c>
      <c r="G14">
        <v>0.98009154376289986</v>
      </c>
      <c r="H14">
        <f>(DatabaseTable35[[#This Row],[Red Mangrove Area (m^2)]]*G14)/(2*3.14*(72-35))</f>
        <v>147.49458212386418</v>
      </c>
      <c r="I14">
        <f>DatabaseTable35[[#This Row],[Dispersion Coefficient Planet (m^2/yr)]]/365</f>
        <v>0.40409474554483338</v>
      </c>
      <c r="J14">
        <v>100</v>
      </c>
      <c r="K14">
        <v>28</v>
      </c>
      <c r="L14">
        <f>(3.1415*(DatabaseTable35[[#This Row],[Sc]]-DatabaseTable35[[#This Row],[So]])/(DatabaseTable35[[#This Row],[Enet (m/yr)]]))*(2*DatabaseTable35[[#This Row],[Dispersion Coefficient Planet (m^2/yr)]])</f>
        <v>68078.343811327257</v>
      </c>
      <c r="M14">
        <f>LOG(DatabaseTable35[[#This Row],[Vegetated Area Model (m^2)]])</f>
        <v>4.8330089818246131</v>
      </c>
      <c r="N14" t="s">
        <v>18</v>
      </c>
    </row>
    <row r="15" spans="1:14" x14ac:dyDescent="0.2">
      <c r="A15" t="s">
        <v>17</v>
      </c>
      <c r="B15">
        <v>35737</v>
      </c>
      <c r="C15">
        <v>37028</v>
      </c>
      <c r="D15">
        <f>DatabaseTable35[[#This Row],[Vegetated Area from GEP (m^2)]]/DatabaseTable35[[#This Row],[Total island area (m^2)]]</f>
        <v>0.96513449281624719</v>
      </c>
      <c r="E15">
        <f>LOG10(DatabaseTable35[[#This Row],[Vegetated Area from GEP (m^2)]])</f>
        <v>4.5531180921503056</v>
      </c>
      <c r="F15" s="1">
        <v>23301</v>
      </c>
      <c r="G15">
        <v>0.98009154376289986</v>
      </c>
      <c r="H15">
        <f>(DatabaseTable35[[#This Row],[Red Mangrove Area (m^2)]]*G15)/(2*3.14*(72-35))</f>
        <v>98.283323554911902</v>
      </c>
      <c r="I15">
        <f>DatabaseTable35[[#This Row],[Dispersion Coefficient Planet (m^2/yr)]]/365</f>
        <v>0.26926937960249836</v>
      </c>
      <c r="J15">
        <v>100</v>
      </c>
      <c r="K15">
        <v>28</v>
      </c>
      <c r="L15">
        <f>(3.1415*(DatabaseTable35[[#This Row],[Sc]]-DatabaseTable35[[#This Row],[So]])/(DatabaseTable35[[#This Row],[Enet (m/yr)]]))*(2*DatabaseTable35[[#This Row],[Dispersion Coefficient Planet (m^2/yr)]])</f>
        <v>45364.146909967298</v>
      </c>
      <c r="M15">
        <f>LOG(DatabaseTable35[[#This Row],[Vegetated Area Model (m^2)]])</f>
        <v>4.6567127482172133</v>
      </c>
      <c r="N15" t="s">
        <v>18</v>
      </c>
    </row>
    <row r="16" spans="1:14" x14ac:dyDescent="0.2">
      <c r="A16" t="s">
        <v>20</v>
      </c>
      <c r="B16">
        <v>579468</v>
      </c>
      <c r="C16">
        <v>617999</v>
      </c>
      <c r="D16">
        <f>DatabaseTable35[[#This Row],[Vegetated Area from GEP (m^2)]]/DatabaseTable35[[#This Row],[Total island area (m^2)]]</f>
        <v>0.93765200267314353</v>
      </c>
      <c r="E16">
        <f>LOG10(DatabaseTable35[[#This Row],[Vegetated Area from GEP (m^2)]])</f>
        <v>5.7630294578886687</v>
      </c>
      <c r="F16" s="2">
        <v>278697</v>
      </c>
      <c r="G16">
        <v>0.86335287540379702</v>
      </c>
      <c r="H16">
        <f>(DatabaseTable35[[#This Row],[Red Mangrove Area (m^2)]]*G16)/(2*3.14*(72-35))</f>
        <v>1035.5218467740231</v>
      </c>
      <c r="I16">
        <f>DatabaseTable35[[#This Row],[Dispersion Coefficient Planet (m^2/yr)]]/365</f>
        <v>2.8370461555452686</v>
      </c>
      <c r="J16">
        <v>100</v>
      </c>
      <c r="K16">
        <v>35</v>
      </c>
      <c r="L16">
        <f>(3.1415*(DatabaseTable35[[#This Row],[Sc]]-DatabaseTable35[[#This Row],[So]])/(DatabaseTable35[[#This Row],[Enet (m/yr)]]))*(2*DatabaseTable35[[#This Row],[Dispersion Coefficient Planet (m^2/yr)]])</f>
        <v>489836.72454381135</v>
      </c>
      <c r="M16">
        <f>LOG(DatabaseTable35[[#This Row],[Vegetated Area Model (m^2)]])</f>
        <v>5.6900513423828771</v>
      </c>
    </row>
    <row r="17" spans="1:14" x14ac:dyDescent="0.2">
      <c r="A17" t="s">
        <v>21</v>
      </c>
      <c r="B17">
        <v>161227</v>
      </c>
      <c r="C17">
        <v>177239</v>
      </c>
      <c r="D17">
        <f>DatabaseTable35[[#This Row],[Vegetated Area from GEP (m^2)]]/DatabaseTable35[[#This Row],[Total island area (m^2)]]</f>
        <v>0.90965870942625493</v>
      </c>
      <c r="E17">
        <f>LOG10(DatabaseTable35[[#This Row],[Vegetated Area from GEP (m^2)]])</f>
        <v>5.2074377730094499</v>
      </c>
      <c r="F17" s="2">
        <v>76879</v>
      </c>
      <c r="G17">
        <v>0.71682219806846503</v>
      </c>
      <c r="H17">
        <f>(DatabaseTable35[[#This Row],[Red Mangrove Area (m^2)]]*G17)/(2*3.14*(72-35))</f>
        <v>237.168935123539</v>
      </c>
      <c r="I17">
        <f>DatabaseTable35[[#This Row],[Dispersion Coefficient Planet (m^2/yr)]]/365</f>
        <v>0.64977790444805206</v>
      </c>
      <c r="J17">
        <v>100</v>
      </c>
      <c r="K17">
        <v>35</v>
      </c>
      <c r="L17">
        <f>(3.1415*(DatabaseTable35[[#This Row],[Sc]]-DatabaseTable35[[#This Row],[So]])/(DatabaseTable35[[#This Row],[Enet (m/yr)]]))*(2*DatabaseTable35[[#This Row],[Dispersion Coefficient Planet (m^2/yr)]])</f>
        <v>135122.22071354795</v>
      </c>
      <c r="M17">
        <f>LOG(DatabaseTable35[[#This Row],[Vegetated Area Model (m^2)]])</f>
        <v>5.1307267741866536</v>
      </c>
    </row>
    <row r="18" spans="1:14" x14ac:dyDescent="0.2">
      <c r="A18" t="s">
        <v>21</v>
      </c>
      <c r="B18">
        <v>366635</v>
      </c>
      <c r="C18">
        <v>421560</v>
      </c>
      <c r="D18">
        <f>DatabaseTable35[[#This Row],[Vegetated Area from GEP (m^2)]]/DatabaseTable35[[#This Row],[Total island area (m^2)]]</f>
        <v>0.86971012430021821</v>
      </c>
      <c r="E18">
        <f>LOG10(DatabaseTable35[[#This Row],[Vegetated Area from GEP (m^2)]])</f>
        <v>5.5642339215681282</v>
      </c>
      <c r="F18" s="2">
        <v>190847</v>
      </c>
      <c r="G18">
        <v>0.71682219806846503</v>
      </c>
      <c r="H18">
        <f>(DatabaseTable35[[#This Row],[Red Mangrove Area (m^2)]]*G18)/(2*3.14*(72-35))</f>
        <v>588.7560941417297</v>
      </c>
      <c r="I18">
        <f>DatabaseTable35[[#This Row],[Dispersion Coefficient Planet (m^2/yr)]]/365</f>
        <v>1.6130303949088485</v>
      </c>
      <c r="J18">
        <v>100</v>
      </c>
      <c r="K18">
        <v>35</v>
      </c>
      <c r="L18">
        <f>(3.1415*(DatabaseTable35[[#This Row],[Sc]]-DatabaseTable35[[#This Row],[So]])/(DatabaseTable35[[#This Row],[Enet (m/yr)]]))*(2*DatabaseTable35[[#This Row],[Dispersion Coefficient Planet (m^2/yr)]])</f>
        <v>335431.91842399724</v>
      </c>
      <c r="M18">
        <f>LOG(DatabaseTable35[[#This Row],[Vegetated Area Model (m^2)]])</f>
        <v>5.5256043860454538</v>
      </c>
    </row>
    <row r="19" spans="1:14" x14ac:dyDescent="0.2">
      <c r="A19" t="s">
        <v>22</v>
      </c>
      <c r="B19">
        <v>1293025</v>
      </c>
      <c r="C19">
        <v>2058331</v>
      </c>
      <c r="D19">
        <f>DatabaseTable35[[#This Row],[Vegetated Area from GEP (m^2)]]/DatabaseTable35[[#This Row],[Total island area (m^2)]]</f>
        <v>0.62819099552015689</v>
      </c>
      <c r="E19">
        <f>LOG10(DatabaseTable35[[#This Row],[Vegetated Area from GEP (m^2)]])</f>
        <v>6.1116069218309637</v>
      </c>
      <c r="F19" s="2">
        <v>1072976</v>
      </c>
      <c r="G19">
        <v>1.0291596190535</v>
      </c>
      <c r="H19">
        <f>(DatabaseTable35[[#This Row],[Red Mangrove Area (m^2)]]*G19)/(2*3.14*(72-35))</f>
        <v>4752.3823868718719</v>
      </c>
      <c r="I19">
        <f>DatabaseTable35[[#This Row],[Dispersion Coefficient Planet (m^2/yr)]]/365</f>
        <v>13.020225717457183</v>
      </c>
      <c r="J19">
        <v>100</v>
      </c>
      <c r="K19">
        <v>35</v>
      </c>
      <c r="L19">
        <f>(3.1415*(DatabaseTable35[[#This Row],[Sc]]-DatabaseTable35[[#This Row],[So]])/(DatabaseTable35[[#This Row],[Enet (m/yr)]]))*(2*DatabaseTable35[[#This Row],[Dispersion Coefficient Planet (m^2/yr)]])</f>
        <v>1885858.295403684</v>
      </c>
      <c r="M19">
        <f>LOG(DatabaseTable35[[#This Row],[Vegetated Area Model (m^2)]])</f>
        <v>6.2755090564626475</v>
      </c>
    </row>
    <row r="20" spans="1:14" x14ac:dyDescent="0.2">
      <c r="A20" t="s">
        <v>22</v>
      </c>
      <c r="B20">
        <v>42603</v>
      </c>
      <c r="C20">
        <v>146487</v>
      </c>
      <c r="D20">
        <f>DatabaseTable35[[#This Row],[Vegetated Area from GEP (m^2)]]/DatabaseTable35[[#This Row],[Total island area (m^2)]]</f>
        <v>0.29083126830367201</v>
      </c>
      <c r="E20">
        <f>LOG10(DatabaseTable35[[#This Row],[Vegetated Area from GEP (m^2)]])</f>
        <v>4.6294401821443074</v>
      </c>
      <c r="F20" s="1">
        <v>19881</v>
      </c>
      <c r="G20">
        <v>1.0291596190535044</v>
      </c>
      <c r="H20">
        <f>(DatabaseTable35[[#This Row],[Red Mangrove Area (m^2)]]*G20)/(2*3.14*(72-35))</f>
        <v>88.056130084363573</v>
      </c>
      <c r="I20">
        <f>DatabaseTable35[[#This Row],[Dispersion Coefficient Planet (m^2/yr)]]/365</f>
        <v>0.2412496714640098</v>
      </c>
      <c r="J20">
        <v>100</v>
      </c>
      <c r="K20">
        <v>35</v>
      </c>
      <c r="L20">
        <f>(3.1415*(DatabaseTable35[[#This Row],[Sc]]-DatabaseTable35[[#This Row],[So]])/(DatabaseTable35[[#This Row],[Enet (m/yr)]]))*(2*DatabaseTable35[[#This Row],[Dispersion Coefficient Planet (m^2/yr)]])</f>
        <v>34942.765514718543</v>
      </c>
      <c r="M20">
        <f>LOG(DatabaseTable35[[#This Row],[Vegetated Area Model (m^2)]])</f>
        <v>4.5433572738653636</v>
      </c>
    </row>
    <row r="21" spans="1:14" x14ac:dyDescent="0.2">
      <c r="A21" t="s">
        <v>17</v>
      </c>
      <c r="B21">
        <v>136350</v>
      </c>
      <c r="C21">
        <v>138045.5</v>
      </c>
      <c r="D21">
        <f>DatabaseTable35[[#This Row],[Vegetated Area from GEP (m^2)]]/DatabaseTable35[[#This Row],[Total island area (m^2)]]</f>
        <v>0.98771781767605604</v>
      </c>
      <c r="E21">
        <f>LOG10(DatabaseTable35[[#This Row],[Vegetated Area from GEP (m^2)]])</f>
        <v>5.1346551422776487</v>
      </c>
      <c r="F21" s="1">
        <v>63954</v>
      </c>
      <c r="G21">
        <v>0.98009154376289986</v>
      </c>
      <c r="H21">
        <f>(DatabaseTable35[[#This Row],[Red Mangrove Area (m^2)]]*G21)/(2*3.14*(72-35))</f>
        <v>269.75716383978522</v>
      </c>
      <c r="I21">
        <f>DatabaseTable35[[#This Row],[Dispersion Coefficient Planet (m^2/yr)]]/365</f>
        <v>0.73906072284872659</v>
      </c>
      <c r="J21">
        <v>100</v>
      </c>
      <c r="K21">
        <v>35</v>
      </c>
      <c r="L21">
        <f>(3.1415*(DatabaseTable35[[#This Row],[Sc]]-DatabaseTable35[[#This Row],[So]])/(DatabaseTable35[[#This Row],[Enet (m/yr)]]))*(2*DatabaseTable35[[#This Row],[Dispersion Coefficient Planet (m^2/yr)]])</f>
        <v>112405.29277844724</v>
      </c>
      <c r="M21">
        <f>LOG(DatabaseTable35[[#This Row],[Vegetated Area Model (m^2)]])</f>
        <v>5.0507867611472381</v>
      </c>
      <c r="N21" t="s">
        <v>18</v>
      </c>
    </row>
    <row r="22" spans="1:14" x14ac:dyDescent="0.2">
      <c r="A22" t="s">
        <v>17</v>
      </c>
      <c r="B22">
        <v>544291</v>
      </c>
      <c r="C22">
        <v>553930</v>
      </c>
      <c r="D22">
        <f>DatabaseTable35[[#This Row],[Vegetated Area from GEP (m^2)]]/DatabaseTable35[[#This Row],[Total island area (m^2)]]</f>
        <v>0.98259888433556586</v>
      </c>
      <c r="E22">
        <f>LOG10(DatabaseTable35[[#This Row],[Vegetated Area from GEP (m^2)]])</f>
        <v>5.735831153198844</v>
      </c>
      <c r="F22" s="1">
        <v>24051</v>
      </c>
      <c r="G22">
        <v>0.98009154376289986</v>
      </c>
      <c r="H22">
        <f>(DatabaseTable35[[#This Row],[Red Mangrove Area (m^2)]]*G22)/(2*3.14*(72-35))</f>
        <v>101.44681407747248</v>
      </c>
      <c r="I22">
        <f>DatabaseTable35[[#This Row],[Dispersion Coefficient Planet (m^2/yr)]]/365</f>
        <v>0.27793647692458212</v>
      </c>
      <c r="J22">
        <v>100</v>
      </c>
      <c r="K22">
        <v>27</v>
      </c>
      <c r="L22">
        <f>(3.1415*(DatabaseTable35[[#This Row],[Sc]]-DatabaseTable35[[#This Row],[So]])/(DatabaseTable35[[#This Row],[Enet (m/yr)]]))*(2*DatabaseTable35[[#This Row],[Dispersion Coefficient Planet (m^2/yr)]])</f>
        <v>47474.641112928228</v>
      </c>
      <c r="M22">
        <f>LOG(DatabaseTable35[[#This Row],[Vegetated Area Model (m^2)]])</f>
        <v>4.6764616903492549</v>
      </c>
      <c r="N22" t="s">
        <v>18</v>
      </c>
    </row>
    <row r="23" spans="1:14" x14ac:dyDescent="0.2">
      <c r="A23" t="s">
        <v>17</v>
      </c>
      <c r="B23">
        <v>252404</v>
      </c>
      <c r="C23">
        <v>636838</v>
      </c>
      <c r="D23">
        <f>DatabaseTable35[[#This Row],[Vegetated Area from GEP (m^2)]]/DatabaseTable35[[#This Row],[Total island area (m^2)]]</f>
        <v>0.39633941441936565</v>
      </c>
      <c r="E23">
        <f>LOG10(DatabaseTable35[[#This Row],[Vegetated Area from GEP (m^2)]])</f>
        <v>5.4020962331559419</v>
      </c>
      <c r="F23" s="1">
        <v>104904</v>
      </c>
      <c r="G23">
        <v>0.98009154376289986</v>
      </c>
      <c r="H23">
        <f>(DatabaseTable35[[#This Row],[Red Mangrove Area (m^2)]]*G23)/(2*3.14*(72-35))</f>
        <v>442.48374637159253</v>
      </c>
      <c r="I23">
        <f>DatabaseTable35[[#This Row],[Dispersion Coefficient Planet (m^2/yr)]]/365</f>
        <v>1.2122842366345001</v>
      </c>
      <c r="J23">
        <v>100</v>
      </c>
      <c r="K23">
        <v>35</v>
      </c>
      <c r="L23">
        <f>(3.1415*(DatabaseTable35[[#This Row],[Sc]]-DatabaseTable35[[#This Row],[So]])/(DatabaseTable35[[#This Row],[Enet (m/yr)]]))*(2*DatabaseTable35[[#This Row],[Dispersion Coefficient Planet (m^2/yr)]])</f>
        <v>184378.84782234466</v>
      </c>
      <c r="M23">
        <f>LOG(DatabaseTable35[[#This Row],[Vegetated Area Model (m^2)]])</f>
        <v>5.2657110967558625</v>
      </c>
      <c r="N23" t="s">
        <v>18</v>
      </c>
    </row>
    <row r="24" spans="1:14" x14ac:dyDescent="0.2">
      <c r="A24" t="s">
        <v>17</v>
      </c>
      <c r="B24">
        <v>75396</v>
      </c>
      <c r="C24">
        <v>99877</v>
      </c>
      <c r="D24">
        <f>DatabaseTable35[[#This Row],[Vegetated Area from GEP (m^2)]]/DatabaseTable35[[#This Row],[Total island area (m^2)]]</f>
        <v>0.75488851287083114</v>
      </c>
      <c r="E24">
        <f>LOG10(DatabaseTable35[[#This Row],[Vegetated Area from GEP (m^2)]])</f>
        <v>4.8773483057635643</v>
      </c>
      <c r="F24" s="1">
        <v>35631</v>
      </c>
      <c r="G24">
        <v>0.98009154376289986</v>
      </c>
      <c r="H24">
        <f>(DatabaseTable35[[#This Row],[Red Mangrove Area (m^2)]]*G24)/(2*3.14*(72-35))</f>
        <v>150.29110774580772</v>
      </c>
      <c r="I24">
        <f>DatabaseTable35[[#This Row],[Dispersion Coefficient Planet (m^2/yr)]]/365</f>
        <v>0.41175645957755541</v>
      </c>
      <c r="J24">
        <v>100</v>
      </c>
      <c r="K24">
        <v>35</v>
      </c>
      <c r="L24">
        <f>(3.1415*(DatabaseTable35[[#This Row],[Sc]]-DatabaseTable35[[#This Row],[So]])/(DatabaseTable35[[#This Row],[Enet (m/yr)]]))*(2*DatabaseTable35[[#This Row],[Dispersion Coefficient Planet (m^2/yr)]])</f>
        <v>62624.902070063697</v>
      </c>
      <c r="M24">
        <f>LOG(DatabaseTable35[[#This Row],[Vegetated Area Model (m^2)]])</f>
        <v>4.7967470597461332</v>
      </c>
      <c r="N24" t="s">
        <v>18</v>
      </c>
    </row>
    <row r="25" spans="1:14" x14ac:dyDescent="0.2">
      <c r="A25" t="s">
        <v>17</v>
      </c>
      <c r="B25">
        <v>120650</v>
      </c>
      <c r="C25">
        <v>121718</v>
      </c>
      <c r="D25">
        <f>DatabaseTable35[[#This Row],[Vegetated Area from GEP (m^2)]]/DatabaseTable35[[#This Row],[Total island area (m^2)]]</f>
        <v>0.99122561987544977</v>
      </c>
      <c r="E25">
        <f>LOG10(DatabaseTable35[[#This Row],[Vegetated Area from GEP (m^2)]])</f>
        <v>5.0815273262448049</v>
      </c>
      <c r="F25" s="1">
        <v>46512</v>
      </c>
      <c r="G25">
        <v>0.98009154376289986</v>
      </c>
      <c r="H25">
        <f>(DatabaseTable35[[#This Row],[Red Mangrove Area (m^2)]]*G25)/(2*3.14*(72-35))</f>
        <v>196.18702824711653</v>
      </c>
      <c r="I25">
        <f>DatabaseTable35[[#This Row],[Dispersion Coefficient Planet (m^2/yr)]]/365</f>
        <v>0.53749870752634665</v>
      </c>
      <c r="J25">
        <v>100</v>
      </c>
      <c r="K25">
        <v>35</v>
      </c>
      <c r="L25">
        <f>(3.1415*(DatabaseTable35[[#This Row],[Sc]]-DatabaseTable35[[#This Row],[So]])/(DatabaseTable35[[#This Row],[Enet (m/yr)]]))*(2*DatabaseTable35[[#This Row],[Dispersion Coefficient Planet (m^2/yr)]])</f>
        <v>81749.303838870721</v>
      </c>
      <c r="M25">
        <f>LOG(DatabaseTable35[[#This Row],[Vegetated Area Model (m^2)]])</f>
        <v>4.9124840629809565</v>
      </c>
      <c r="N25" t="s">
        <v>18</v>
      </c>
    </row>
    <row r="26" spans="1:14" x14ac:dyDescent="0.2">
      <c r="A26" t="s">
        <v>17</v>
      </c>
      <c r="B26">
        <v>106110</v>
      </c>
      <c r="C26">
        <v>229855</v>
      </c>
      <c r="D26">
        <f>DatabaseTable35[[#This Row],[Vegetated Area from GEP (m^2)]]/DatabaseTable35[[#This Row],[Total island area (m^2)]]</f>
        <v>0.46163885928085097</v>
      </c>
      <c r="E26">
        <f>LOG10(DatabaseTable35[[#This Row],[Vegetated Area from GEP (m^2)]])</f>
        <v>5.025756314534414</v>
      </c>
      <c r="F26" s="1">
        <v>39042</v>
      </c>
      <c r="G26">
        <v>0.98009154376289986</v>
      </c>
      <c r="H26">
        <f>(DatabaseTable35[[#This Row],[Red Mangrove Area (m^2)]]*G26)/(2*3.14*(72-35))</f>
        <v>164.6786626424132</v>
      </c>
      <c r="I26">
        <f>DatabaseTable35[[#This Row],[Dispersion Coefficient Planet (m^2/yr)]]/365</f>
        <v>0.45117441819839232</v>
      </c>
      <c r="J26">
        <v>100</v>
      </c>
      <c r="K26">
        <v>35</v>
      </c>
      <c r="L26">
        <f>(3.1415*(DatabaseTable35[[#This Row],[Sc]]-DatabaseTable35[[#This Row],[So]])/(DatabaseTable35[[#This Row],[Enet (m/yr)]]))*(2*DatabaseTable35[[#This Row],[Dispersion Coefficient Planet (m^2/yr)]])</f>
        <v>68620.061929764153</v>
      </c>
      <c r="M26">
        <f>LOG(DatabaseTable35[[#This Row],[Vegetated Area Model (m^2)]])</f>
        <v>4.8364511056721033</v>
      </c>
      <c r="N26" t="s">
        <v>18</v>
      </c>
    </row>
    <row r="27" spans="1:14" x14ac:dyDescent="0.2">
      <c r="A27" t="s">
        <v>17</v>
      </c>
      <c r="B27">
        <v>74044</v>
      </c>
      <c r="C27">
        <v>110299</v>
      </c>
      <c r="D27">
        <f>DatabaseTable35[[#This Row],[Vegetated Area from GEP (m^2)]]/DatabaseTable35[[#This Row],[Total island area (m^2)]]</f>
        <v>0.67130255034043829</v>
      </c>
      <c r="E27">
        <f>LOG10(DatabaseTable35[[#This Row],[Vegetated Area from GEP (m^2)]])</f>
        <v>4.8694898721419673</v>
      </c>
      <c r="F27" s="1">
        <v>14517</v>
      </c>
      <c r="G27">
        <v>0.98009154376289986</v>
      </c>
      <c r="H27">
        <f>(DatabaseTable35[[#This Row],[Red Mangrove Area (m^2)]]*G27)/(2*3.14*(72-35))</f>
        <v>61.232522554682461</v>
      </c>
      <c r="I27">
        <f>DatabaseTable35[[#This Row],[Dispersion Coefficient Planet (m^2/yr)]]/365</f>
        <v>0.16776033576625332</v>
      </c>
      <c r="J27">
        <v>100</v>
      </c>
      <c r="K27">
        <v>27</v>
      </c>
      <c r="L27">
        <f>(3.1415*(DatabaseTable35[[#This Row],[Sc]]-DatabaseTable35[[#This Row],[So]])/(DatabaseTable35[[#This Row],[Enet (m/yr)]]))*(2*DatabaseTable35[[#This Row],[Dispersion Coefficient Planet (m^2/yr)]])</f>
        <v>28655.330964882083</v>
      </c>
      <c r="M27">
        <f>LOG(DatabaseTable35[[#This Row],[Vegetated Area Model (m^2)]])</f>
        <v>4.4572054288604903</v>
      </c>
      <c r="N27" t="s">
        <v>18</v>
      </c>
    </row>
    <row r="28" spans="1:14" x14ac:dyDescent="0.2">
      <c r="A28" t="s">
        <v>17</v>
      </c>
      <c r="B28">
        <v>737302</v>
      </c>
      <c r="C28">
        <v>797543</v>
      </c>
      <c r="D28">
        <f>DatabaseTable35[[#This Row],[Vegetated Area from GEP (m^2)]]/DatabaseTable35[[#This Row],[Total island area (m^2)]]</f>
        <v>0.92446676856294896</v>
      </c>
      <c r="E28">
        <f>LOG10(DatabaseTable35[[#This Row],[Vegetated Area from GEP (m^2)]])</f>
        <v>5.8676454119687245</v>
      </c>
      <c r="F28" s="1">
        <v>666630</v>
      </c>
      <c r="G28">
        <v>0.98009154376289986</v>
      </c>
      <c r="H28">
        <f>(DatabaseTable35[[#This Row],[Red Mangrove Area (m^2)]]*G28)/(2*3.14*(72-35))</f>
        <v>2811.8369160727402</v>
      </c>
      <c r="I28">
        <f>DatabaseTable35[[#This Row],[Dispersion Coefficient Planet (m^2/yr)]]/365</f>
        <v>7.7036627837609322</v>
      </c>
      <c r="J28">
        <v>100</v>
      </c>
      <c r="K28">
        <v>60</v>
      </c>
      <c r="L28">
        <f>(3.1415*(DatabaseTable35[[#This Row],[Sc]]-DatabaseTable35[[#This Row],[So]])/(DatabaseTable35[[#This Row],[Enet (m/yr)]]))*(2*DatabaseTable35[[#This Row],[Dispersion Coefficient Planet (m^2/yr)]])</f>
        <v>721025.35548287153</v>
      </c>
      <c r="M28">
        <f>LOG(DatabaseTable35[[#This Row],[Vegetated Area Model (m^2)]])</f>
        <v>5.8579505373306304</v>
      </c>
      <c r="N28" t="s">
        <v>23</v>
      </c>
    </row>
    <row r="29" spans="1:14" x14ac:dyDescent="0.2">
      <c r="A29" t="s">
        <v>17</v>
      </c>
      <c r="B29">
        <v>195762</v>
      </c>
      <c r="C29">
        <v>219211</v>
      </c>
      <c r="D29">
        <f>DatabaseTable35[[#This Row],[Vegetated Area from GEP (m^2)]]/DatabaseTable35[[#This Row],[Total island area (m^2)]]</f>
        <v>0.893030003056416</v>
      </c>
      <c r="E29">
        <f>LOG10(DatabaseTable35[[#This Row],[Vegetated Area from GEP (m^2)]])</f>
        <v>5.2917283933304864</v>
      </c>
      <c r="F29" s="1">
        <v>153199</v>
      </c>
      <c r="G29">
        <v>0.98009154376289986</v>
      </c>
      <c r="H29">
        <f>(DatabaseTable35[[#This Row],[Red Mangrove Area (m^2)]]*G29)/(2*3.14*(72-35))</f>
        <v>646.19144608767647</v>
      </c>
      <c r="I29">
        <f>DatabaseTable35[[#This Row],[Dispersion Coefficient Planet (m^2/yr)]]/365</f>
        <v>1.7703875235278808</v>
      </c>
      <c r="J29">
        <v>100</v>
      </c>
      <c r="K29">
        <v>35</v>
      </c>
      <c r="L29">
        <f>(3.1415*(DatabaseTable35[[#This Row],[Sc]]-DatabaseTable35[[#This Row],[So]])/(DatabaseTable35[[#This Row],[Enet (m/yr)]]))*(2*DatabaseTable35[[#This Row],[Dispersion Coefficient Planet (m^2/yr)]])</f>
        <v>269261.94527887763</v>
      </c>
      <c r="M29">
        <f>LOG(DatabaseTable35[[#This Row],[Vegetated Area Model (m^2)]])</f>
        <v>5.430174979021559</v>
      </c>
      <c r="N29" t="s">
        <v>23</v>
      </c>
    </row>
    <row r="30" spans="1:14" x14ac:dyDescent="0.2">
      <c r="A30" t="s">
        <v>17</v>
      </c>
      <c r="B30">
        <v>62553</v>
      </c>
      <c r="C30">
        <v>83055</v>
      </c>
      <c r="D30">
        <f>DatabaseTable35[[#This Row],[Vegetated Area from GEP (m^2)]]/DatabaseTable35[[#This Row],[Total island area (m^2)]]</f>
        <v>0.75315152609716451</v>
      </c>
      <c r="E30">
        <f>LOG10(DatabaseTable35[[#This Row],[Vegetated Area from GEP (m^2)]])</f>
        <v>4.7962481430015007</v>
      </c>
      <c r="F30" s="1">
        <v>36423</v>
      </c>
      <c r="G30">
        <v>0.98009154376289986</v>
      </c>
      <c r="H30">
        <f>(DatabaseTable35[[#This Row],[Red Mangrove Area (m^2)]]*G30)/(2*3.14*(72-35))</f>
        <v>153.6317537376317</v>
      </c>
      <c r="I30">
        <f>DatabaseTable35[[#This Row],[Dispersion Coefficient Planet (m^2/yr)]]/365</f>
        <v>0.42090891434967587</v>
      </c>
      <c r="J30">
        <v>100</v>
      </c>
      <c r="K30">
        <v>35</v>
      </c>
      <c r="L30">
        <f>(3.1415*(DatabaseTable35[[#This Row],[Sc]]-DatabaseTable35[[#This Row],[So]])/(DatabaseTable35[[#This Row],[Enet (m/yr)]]))*(2*DatabaseTable35[[#This Row],[Dispersion Coefficient Planet (m^2/yr)]])</f>
        <v>64016.918079703915</v>
      </c>
      <c r="M30">
        <f>LOG(DatabaseTable35[[#This Row],[Vegetated Area Model (m^2)]])</f>
        <v>4.8062947623854955</v>
      </c>
      <c r="N30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E7A2-216C-CD40-B75D-2FEFCD79EF5B}">
  <dimension ref="A1:N17"/>
  <sheetViews>
    <sheetView topLeftCell="F1" zoomScale="81" workbookViewId="0">
      <selection activeCell="B22" sqref="B22"/>
    </sheetView>
  </sheetViews>
  <sheetFormatPr baseColWidth="10" defaultRowHeight="16" x14ac:dyDescent="0.2"/>
  <cols>
    <col min="1" max="1" width="22.6640625" customWidth="1"/>
    <col min="2" max="4" width="26.6640625" customWidth="1"/>
    <col min="5" max="5" width="12.1640625" bestFit="1" customWidth="1"/>
    <col min="6" max="6" width="22.5" customWidth="1"/>
    <col min="7" max="7" width="12.1640625" bestFit="1" customWidth="1"/>
    <col min="8" max="9" width="26" customWidth="1"/>
    <col min="10" max="10" width="6.83203125" customWidth="1"/>
    <col min="11" max="11" width="8" customWidth="1"/>
    <col min="12" max="12" width="24.5" customWidth="1"/>
    <col min="13" max="13" width="22.83203125" customWidth="1"/>
    <col min="14" max="14" width="13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24</v>
      </c>
      <c r="B2">
        <v>295857</v>
      </c>
      <c r="C2">
        <v>321709</v>
      </c>
      <c r="D2">
        <f>DatabaseTable37[[#This Row],[Vegetated Area from GEP (m^2)]]/DatabaseTable37[[#This Row],[Total island area (m^2)]]</f>
        <v>0.91964166373959078</v>
      </c>
      <c r="E2">
        <f>LOG10(DatabaseTable37[[#This Row],[Vegetated Area from GEP (m^2)]])</f>
        <v>5.4710818491763531</v>
      </c>
      <c r="F2" s="1">
        <v>113157</v>
      </c>
      <c r="G2">
        <v>0.98009154376289997</v>
      </c>
      <c r="H2">
        <f>(DatabaseTable37[[#This Row],[Red Mangrove Area (m^2)]]*G2)/(2*3.14*(72-35))</f>
        <v>477.29479608184914</v>
      </c>
      <c r="I2">
        <f>DatabaseTable37[[#This Row],[Dispersion Coefficient Planet (m^2/yr)]]/365</f>
        <v>1.30765697556671</v>
      </c>
      <c r="J2">
        <v>100</v>
      </c>
      <c r="K2">
        <v>35</v>
      </c>
      <c r="L2">
        <f>(3.1415*(DatabaseTable37[[#This Row],[Sc]]-DatabaseTable37[[#This Row],[So]])/(DatabaseTable37[[#This Row],[Enet (m/yr)]]))*(2*DatabaseTable37[[#This Row],[Dispersion Coefficient Planet (m^2/yr)]])</f>
        <v>198884.28737734549</v>
      </c>
      <c r="M2">
        <f>LOG(DatabaseTable37[[#This Row],[Vegetated Area Model (m^2)]])</f>
        <v>5.2986004735474355</v>
      </c>
      <c r="N2" s="3" t="s">
        <v>18</v>
      </c>
    </row>
    <row r="3" spans="1:14" x14ac:dyDescent="0.2">
      <c r="A3" t="s">
        <v>25</v>
      </c>
      <c r="B3">
        <v>29122</v>
      </c>
      <c r="C3">
        <v>51434</v>
      </c>
      <c r="D3">
        <f>DatabaseTable37[[#This Row],[Vegetated Area from GEP (m^2)]]/DatabaseTable37[[#This Row],[Total island area (m^2)]]</f>
        <v>0.56620134541353973</v>
      </c>
      <c r="E3">
        <f>LOG10(DatabaseTable37[[#This Row],[Vegetated Area from GEP (m^2)]])</f>
        <v>4.4642211975344495</v>
      </c>
      <c r="F3" s="1">
        <v>4104</v>
      </c>
      <c r="G3">
        <v>0.98009154376289986</v>
      </c>
      <c r="H3">
        <f>(DatabaseTable37[[#This Row],[Red Mangrove Area (m^2)]]*G3)/(2*3.14*(72-35))</f>
        <v>17.310620139451458</v>
      </c>
      <c r="I3">
        <f>DatabaseTable37[[#This Row],[Dispersion Coefficient Planet (m^2/yr)]]/365</f>
        <v>4.7426356546442353E-2</v>
      </c>
      <c r="J3">
        <v>100</v>
      </c>
      <c r="K3">
        <v>27</v>
      </c>
      <c r="L3">
        <f>(3.1415*(DatabaseTable37[[#This Row],[Sc]]-DatabaseTable37[[#This Row],[So]])/(DatabaseTable37[[#This Row],[Enet (m/yr)]]))*(2*DatabaseTable37[[#This Row],[Dispersion Coefficient Planet (m^2/yr)]])</f>
        <v>8100.9491134446562</v>
      </c>
      <c r="M3">
        <f>LOG(DatabaseTable37[[#This Row],[Vegetated Area Model (m^2)]])</f>
        <v>3.908535904135964</v>
      </c>
      <c r="N3" t="s">
        <v>18</v>
      </c>
    </row>
    <row r="4" spans="1:14" x14ac:dyDescent="0.2">
      <c r="A4" t="s">
        <v>25</v>
      </c>
      <c r="B4">
        <v>241064</v>
      </c>
      <c r="C4">
        <v>387736</v>
      </c>
      <c r="D4">
        <f>DatabaseTable37[[#This Row],[Vegetated Area from GEP (m^2)]]/DatabaseTable37[[#This Row],[Total island area (m^2)]]</f>
        <v>0.62172199640992842</v>
      </c>
      <c r="E4">
        <f>LOG10(DatabaseTable37[[#This Row],[Vegetated Area from GEP (m^2)]])</f>
        <v>5.3821323585785734</v>
      </c>
      <c r="F4" s="1">
        <v>54675</v>
      </c>
      <c r="G4">
        <v>0.98009154376289986</v>
      </c>
      <c r="H4">
        <f>(DatabaseTable37[[#This Row],[Red Mangrove Area (m^2)]]*G4)/(2*3.14*(72-35))</f>
        <v>230.61845909466581</v>
      </c>
      <c r="I4">
        <f>DatabaseTable37[[#This Row],[Dispersion Coefficient Planet (m^2/yr)]]/365</f>
        <v>0.63183139477990635</v>
      </c>
      <c r="J4">
        <v>100</v>
      </c>
      <c r="K4">
        <v>27</v>
      </c>
      <c r="L4">
        <f>(3.1415*(DatabaseTable37[[#This Row],[Sc]]-DatabaseTable37[[#This Row],[So]])/(DatabaseTable37[[#This Row],[Enet (m/yr)]]))*(2*DatabaseTable37[[#This Row],[Dispersion Coefficient Planet (m^2/yr)]])</f>
        <v>107923.82864950939</v>
      </c>
      <c r="M4">
        <f>LOG(DatabaseTable37[[#This Row],[Vegetated Area Model (m^2)]])</f>
        <v>5.0331173437418784</v>
      </c>
      <c r="N4" t="s">
        <v>18</v>
      </c>
    </row>
    <row r="5" spans="1:14" x14ac:dyDescent="0.2">
      <c r="A5" t="s">
        <v>25</v>
      </c>
      <c r="B5">
        <v>112319</v>
      </c>
      <c r="C5">
        <v>140474</v>
      </c>
      <c r="D5">
        <f>DatabaseTable37[[#This Row],[Vegetated Area from GEP (m^2)]]/DatabaseTable37[[#This Row],[Total island area (m^2)]]</f>
        <v>0.79957145094465876</v>
      </c>
      <c r="E5">
        <f>LOG10(DatabaseTable37[[#This Row],[Vegetated Area from GEP (m^2)]])</f>
        <v>5.0504532281865915</v>
      </c>
      <c r="F5" s="1">
        <v>59490</v>
      </c>
      <c r="G5">
        <v>0.98009154376289986</v>
      </c>
      <c r="H5">
        <f>(DatabaseTable37[[#This Row],[Red Mangrove Area (m^2)]]*G5)/(2*3.14*(72-35))</f>
        <v>250.92806824950469</v>
      </c>
      <c r="I5">
        <f>DatabaseTable37[[#This Row],[Dispersion Coefficient Planet (m^2/yr)]]/365</f>
        <v>0.6874741595876841</v>
      </c>
      <c r="J5">
        <v>100</v>
      </c>
      <c r="K5">
        <v>27</v>
      </c>
      <c r="L5">
        <f>(3.1415*(DatabaseTable37[[#This Row],[Sc]]-DatabaseTable37[[#This Row],[So]])/(DatabaseTable37[[#This Row],[Enet (m/yr)]]))*(2*DatabaseTable37[[#This Row],[Dispersion Coefficient Planet (m^2/yr)]])</f>
        <v>117428.23166637977</v>
      </c>
      <c r="M5">
        <f>LOG(DatabaseTable37[[#This Row],[Vegetated Area Model (m^2)]])</f>
        <v>5.0697725209571693</v>
      </c>
      <c r="N5" t="s">
        <v>19</v>
      </c>
    </row>
    <row r="6" spans="1:14" x14ac:dyDescent="0.2">
      <c r="A6" t="s">
        <v>25</v>
      </c>
      <c r="B6">
        <v>77645</v>
      </c>
      <c r="C6">
        <v>135257</v>
      </c>
      <c r="D6">
        <f>DatabaseTable37[[#This Row],[Vegetated Area from GEP (m^2)]]/DatabaseTable37[[#This Row],[Total island area (m^2)]]</f>
        <v>0.57405531691520584</v>
      </c>
      <c r="E6">
        <f>LOG10(DatabaseTable37[[#This Row],[Vegetated Area from GEP (m^2)]])</f>
        <v>4.890113494290917</v>
      </c>
      <c r="F6" s="1">
        <v>34968</v>
      </c>
      <c r="G6">
        <v>0.98009154376289986</v>
      </c>
      <c r="H6">
        <f>(DatabaseTable37[[#This Row],[Red Mangrove Area (m^2)]]*G6)/(2*3.14*(72-35))</f>
        <v>147.49458212386418</v>
      </c>
      <c r="I6">
        <f>DatabaseTable37[[#This Row],[Dispersion Coefficient Planet (m^2/yr)]]/365</f>
        <v>0.40409474554483338</v>
      </c>
      <c r="J6">
        <v>100</v>
      </c>
      <c r="K6">
        <v>27</v>
      </c>
      <c r="L6">
        <f>(3.1415*(DatabaseTable37[[#This Row],[Sc]]-DatabaseTable37[[#This Row],[So]])/(DatabaseTable37[[#This Row],[Enet (m/yr)]]))*(2*DatabaseTable37[[#This Row],[Dispersion Coefficient Planet (m^2/yr)]])</f>
        <v>69023.876364262353</v>
      </c>
      <c r="M6">
        <f>LOG(DatabaseTable37[[#This Row],[Vegetated Area Model (m^2)]])</f>
        <v>4.8389993455138001</v>
      </c>
      <c r="N6" t="s">
        <v>18</v>
      </c>
    </row>
    <row r="7" spans="1:14" x14ac:dyDescent="0.2">
      <c r="A7" t="s">
        <v>25</v>
      </c>
      <c r="B7">
        <v>35737</v>
      </c>
      <c r="C7">
        <v>37028</v>
      </c>
      <c r="D7">
        <f>DatabaseTable37[[#This Row],[Vegetated Area from GEP (m^2)]]/DatabaseTable37[[#This Row],[Total island area (m^2)]]</f>
        <v>0.96513449281624719</v>
      </c>
      <c r="E7">
        <f>LOG10(DatabaseTable37[[#This Row],[Vegetated Area from GEP (m^2)]])</f>
        <v>4.5531180921503056</v>
      </c>
      <c r="F7" s="1">
        <v>23301</v>
      </c>
      <c r="G7">
        <v>0.98009154376289986</v>
      </c>
      <c r="H7">
        <f>(DatabaseTable37[[#This Row],[Red Mangrove Area (m^2)]]*G7)/(2*3.14*(72-35))</f>
        <v>98.283323554911902</v>
      </c>
      <c r="I7">
        <f>DatabaseTable37[[#This Row],[Dispersion Coefficient Planet (m^2/yr)]]/365</f>
        <v>0.26926937960249836</v>
      </c>
      <c r="J7">
        <v>100</v>
      </c>
      <c r="K7">
        <v>27</v>
      </c>
      <c r="L7">
        <f>(3.1415*(DatabaseTable37[[#This Row],[Sc]]-DatabaseTable37[[#This Row],[So]])/(DatabaseTable37[[#This Row],[Enet (m/yr)]]))*(2*DatabaseTable37[[#This Row],[Dispersion Coefficient Planet (m^2/yr)]])</f>
        <v>45994.204505939066</v>
      </c>
      <c r="M7">
        <f>LOG(DatabaseTable37[[#This Row],[Vegetated Area Model (m^2)]])</f>
        <v>4.6627031119064011</v>
      </c>
      <c r="N7" t="s">
        <v>18</v>
      </c>
    </row>
    <row r="8" spans="1:14" x14ac:dyDescent="0.2">
      <c r="A8" t="s">
        <v>24</v>
      </c>
      <c r="B8">
        <v>136350</v>
      </c>
      <c r="C8">
        <v>138045.5</v>
      </c>
      <c r="D8">
        <f>DatabaseTable37[[#This Row],[Vegetated Area from GEP (m^2)]]/DatabaseTable37[[#This Row],[Total island area (m^2)]]</f>
        <v>0.98771781767605604</v>
      </c>
      <c r="E8">
        <f>LOG10(DatabaseTable37[[#This Row],[Vegetated Area from GEP (m^2)]])</f>
        <v>5.1346551422776487</v>
      </c>
      <c r="F8" s="1">
        <v>63954</v>
      </c>
      <c r="G8">
        <v>0.98009154376289986</v>
      </c>
      <c r="H8">
        <f>(DatabaseTable37[[#This Row],[Red Mangrove Area (m^2)]]*G8)/(2*3.14*(72-35))</f>
        <v>269.75716383978522</v>
      </c>
      <c r="I8">
        <f>DatabaseTable37[[#This Row],[Dispersion Coefficient Planet (m^2/yr)]]/365</f>
        <v>0.73906072284872659</v>
      </c>
      <c r="J8">
        <v>100</v>
      </c>
      <c r="K8">
        <v>35</v>
      </c>
      <c r="L8">
        <f>(3.1415*(DatabaseTable37[[#This Row],[Sc]]-DatabaseTable37[[#This Row],[So]])/(DatabaseTable37[[#This Row],[Enet (m/yr)]]))*(2*DatabaseTable37[[#This Row],[Dispersion Coefficient Planet (m^2/yr)]])</f>
        <v>112405.29277844724</v>
      </c>
      <c r="M8">
        <f>LOG(DatabaseTable37[[#This Row],[Vegetated Area Model (m^2)]])</f>
        <v>5.0507867611472381</v>
      </c>
      <c r="N8" t="s">
        <v>18</v>
      </c>
    </row>
    <row r="9" spans="1:14" x14ac:dyDescent="0.2">
      <c r="A9" t="s">
        <v>25</v>
      </c>
      <c r="B9">
        <v>544291</v>
      </c>
      <c r="C9">
        <v>553930</v>
      </c>
      <c r="D9">
        <f>DatabaseTable37[[#This Row],[Vegetated Area from GEP (m^2)]]/DatabaseTable37[[#This Row],[Total island area (m^2)]]</f>
        <v>0.98259888433556586</v>
      </c>
      <c r="E9">
        <f>LOG10(DatabaseTable37[[#This Row],[Vegetated Area from GEP (m^2)]])</f>
        <v>5.735831153198844</v>
      </c>
      <c r="F9" s="1">
        <v>24051</v>
      </c>
      <c r="G9">
        <v>0.98009154376289986</v>
      </c>
      <c r="H9">
        <f>(DatabaseTable37[[#This Row],[Red Mangrove Area (m^2)]]*G9)/(2*3.14*(72-35))</f>
        <v>101.44681407747248</v>
      </c>
      <c r="I9">
        <f>DatabaseTable37[[#This Row],[Dispersion Coefficient Planet (m^2/yr)]]/365</f>
        <v>0.27793647692458212</v>
      </c>
      <c r="J9">
        <v>100</v>
      </c>
      <c r="K9">
        <v>27</v>
      </c>
      <c r="L9">
        <f>(3.1415*(DatabaseTable37[[#This Row],[Sc]]-DatabaseTable37[[#This Row],[So]])/(DatabaseTable37[[#This Row],[Enet (m/yr)]]))*(2*DatabaseTable37[[#This Row],[Dispersion Coefficient Planet (m^2/yr)]])</f>
        <v>47474.641112928228</v>
      </c>
      <c r="M9">
        <f>LOG(DatabaseTable37[[#This Row],[Vegetated Area Model (m^2)]])</f>
        <v>4.6764616903492549</v>
      </c>
      <c r="N9" t="s">
        <v>18</v>
      </c>
    </row>
    <row r="10" spans="1:14" x14ac:dyDescent="0.2">
      <c r="A10" t="s">
        <v>24</v>
      </c>
      <c r="B10">
        <v>252404</v>
      </c>
      <c r="C10">
        <v>636838</v>
      </c>
      <c r="D10">
        <f>DatabaseTable37[[#This Row],[Vegetated Area from GEP (m^2)]]/DatabaseTable37[[#This Row],[Total island area (m^2)]]</f>
        <v>0.39633941441936565</v>
      </c>
      <c r="E10">
        <f>LOG10(DatabaseTable37[[#This Row],[Vegetated Area from GEP (m^2)]])</f>
        <v>5.4020962331559419</v>
      </c>
      <c r="F10" s="1">
        <v>104904</v>
      </c>
      <c r="G10">
        <v>0.98009154376289986</v>
      </c>
      <c r="H10">
        <f>(DatabaseTable37[[#This Row],[Red Mangrove Area (m^2)]]*G10)/(2*3.14*(72-35))</f>
        <v>442.48374637159253</v>
      </c>
      <c r="I10">
        <f>DatabaseTable37[[#This Row],[Dispersion Coefficient Planet (m^2/yr)]]/365</f>
        <v>1.2122842366345001</v>
      </c>
      <c r="J10">
        <v>100</v>
      </c>
      <c r="K10">
        <v>35</v>
      </c>
      <c r="L10">
        <f>(3.1415*(DatabaseTable37[[#This Row],[Sc]]-DatabaseTable37[[#This Row],[So]])/(DatabaseTable37[[#This Row],[Enet (m/yr)]]))*(2*DatabaseTable37[[#This Row],[Dispersion Coefficient Planet (m^2/yr)]])</f>
        <v>184378.84782234466</v>
      </c>
      <c r="M10">
        <f>LOG(DatabaseTable37[[#This Row],[Vegetated Area Model (m^2)]])</f>
        <v>5.2657110967558625</v>
      </c>
      <c r="N10" t="s">
        <v>18</v>
      </c>
    </row>
    <row r="11" spans="1:14" x14ac:dyDescent="0.2">
      <c r="A11" t="s">
        <v>24</v>
      </c>
      <c r="B11">
        <v>75396</v>
      </c>
      <c r="C11">
        <v>99877</v>
      </c>
      <c r="D11">
        <f>DatabaseTable37[[#This Row],[Vegetated Area from GEP (m^2)]]/DatabaseTable37[[#This Row],[Total island area (m^2)]]</f>
        <v>0.75488851287083114</v>
      </c>
      <c r="E11">
        <f>LOG10(DatabaseTable37[[#This Row],[Vegetated Area from GEP (m^2)]])</f>
        <v>4.8773483057635643</v>
      </c>
      <c r="F11" s="1">
        <v>35631</v>
      </c>
      <c r="G11">
        <v>0.98009154376289986</v>
      </c>
      <c r="H11">
        <f>(DatabaseTable37[[#This Row],[Red Mangrove Area (m^2)]]*G11)/(2*3.14*(72-35))</f>
        <v>150.29110774580772</v>
      </c>
      <c r="I11">
        <f>DatabaseTable37[[#This Row],[Dispersion Coefficient Planet (m^2/yr)]]/365</f>
        <v>0.41175645957755541</v>
      </c>
      <c r="J11">
        <v>100</v>
      </c>
      <c r="K11">
        <v>35</v>
      </c>
      <c r="L11">
        <f>(3.1415*(DatabaseTable37[[#This Row],[Sc]]-DatabaseTable37[[#This Row],[So]])/(DatabaseTable37[[#This Row],[Enet (m/yr)]]))*(2*DatabaseTable37[[#This Row],[Dispersion Coefficient Planet (m^2/yr)]])</f>
        <v>62624.902070063697</v>
      </c>
      <c r="M11">
        <f>LOG(DatabaseTable37[[#This Row],[Vegetated Area Model (m^2)]])</f>
        <v>4.7967470597461332</v>
      </c>
      <c r="N11" t="s">
        <v>18</v>
      </c>
    </row>
    <row r="12" spans="1:14" x14ac:dyDescent="0.2">
      <c r="A12" t="s">
        <v>24</v>
      </c>
      <c r="B12">
        <v>120650</v>
      </c>
      <c r="C12">
        <v>121718</v>
      </c>
      <c r="D12">
        <f>DatabaseTable37[[#This Row],[Vegetated Area from GEP (m^2)]]/DatabaseTable37[[#This Row],[Total island area (m^2)]]</f>
        <v>0.99122561987544977</v>
      </c>
      <c r="E12">
        <f>LOG10(DatabaseTable37[[#This Row],[Vegetated Area from GEP (m^2)]])</f>
        <v>5.0815273262448049</v>
      </c>
      <c r="F12" s="1">
        <v>46512</v>
      </c>
      <c r="G12">
        <v>0.98009154376289986</v>
      </c>
      <c r="H12">
        <f>(DatabaseTable37[[#This Row],[Red Mangrove Area (m^2)]]*G12)/(2*3.14*(72-35))</f>
        <v>196.18702824711653</v>
      </c>
      <c r="I12">
        <f>DatabaseTable37[[#This Row],[Dispersion Coefficient Planet (m^2/yr)]]/365</f>
        <v>0.53749870752634665</v>
      </c>
      <c r="J12">
        <v>100</v>
      </c>
      <c r="K12">
        <v>35</v>
      </c>
      <c r="L12">
        <f>(3.1415*(DatabaseTable37[[#This Row],[Sc]]-DatabaseTable37[[#This Row],[So]])/(DatabaseTable37[[#This Row],[Enet (m/yr)]]))*(2*DatabaseTable37[[#This Row],[Dispersion Coefficient Planet (m^2/yr)]])</f>
        <v>81749.303838870721</v>
      </c>
      <c r="M12">
        <f>LOG(DatabaseTable37[[#This Row],[Vegetated Area Model (m^2)]])</f>
        <v>4.9124840629809565</v>
      </c>
      <c r="N12" t="s">
        <v>18</v>
      </c>
    </row>
    <row r="13" spans="1:14" x14ac:dyDescent="0.2">
      <c r="A13" t="s">
        <v>24</v>
      </c>
      <c r="B13">
        <v>106110</v>
      </c>
      <c r="C13">
        <v>229855</v>
      </c>
      <c r="D13">
        <f>DatabaseTable37[[#This Row],[Vegetated Area from GEP (m^2)]]/DatabaseTable37[[#This Row],[Total island area (m^2)]]</f>
        <v>0.46163885928085097</v>
      </c>
      <c r="E13">
        <f>LOG10(DatabaseTable37[[#This Row],[Vegetated Area from GEP (m^2)]])</f>
        <v>5.025756314534414</v>
      </c>
      <c r="F13" s="1">
        <v>39042</v>
      </c>
      <c r="G13">
        <v>0.98009154376289986</v>
      </c>
      <c r="H13">
        <f>(DatabaseTable37[[#This Row],[Red Mangrove Area (m^2)]]*G13)/(2*3.14*(72-35))</f>
        <v>164.6786626424132</v>
      </c>
      <c r="I13">
        <f>DatabaseTable37[[#This Row],[Dispersion Coefficient Planet (m^2/yr)]]/365</f>
        <v>0.45117441819839232</v>
      </c>
      <c r="J13">
        <v>100</v>
      </c>
      <c r="K13">
        <v>35</v>
      </c>
      <c r="L13">
        <f>(3.1415*(DatabaseTable37[[#This Row],[Sc]]-DatabaseTable37[[#This Row],[So]])/(DatabaseTable37[[#This Row],[Enet (m/yr)]]))*(2*DatabaseTable37[[#This Row],[Dispersion Coefficient Planet (m^2/yr)]])</f>
        <v>68620.061929764153</v>
      </c>
      <c r="M13">
        <f>LOG(DatabaseTable37[[#This Row],[Vegetated Area Model (m^2)]])</f>
        <v>4.8364511056721033</v>
      </c>
      <c r="N13" t="s">
        <v>18</v>
      </c>
    </row>
    <row r="14" spans="1:14" x14ac:dyDescent="0.2">
      <c r="A14" t="s">
        <v>25</v>
      </c>
      <c r="B14">
        <v>74044</v>
      </c>
      <c r="C14">
        <v>110299</v>
      </c>
      <c r="D14">
        <f>DatabaseTable37[[#This Row],[Vegetated Area from GEP (m^2)]]/DatabaseTable37[[#This Row],[Total island area (m^2)]]</f>
        <v>0.67130255034043829</v>
      </c>
      <c r="E14">
        <f>LOG10(DatabaseTable37[[#This Row],[Vegetated Area from GEP (m^2)]])</f>
        <v>4.8694898721419673</v>
      </c>
      <c r="F14" s="1">
        <v>14517</v>
      </c>
      <c r="G14">
        <v>0.98009154376289986</v>
      </c>
      <c r="H14">
        <f>(DatabaseTable37[[#This Row],[Red Mangrove Area (m^2)]]*G14)/(2*3.14*(72-35))</f>
        <v>61.232522554682461</v>
      </c>
      <c r="I14">
        <f>DatabaseTable37[[#This Row],[Dispersion Coefficient Planet (m^2/yr)]]/365</f>
        <v>0.16776033576625332</v>
      </c>
      <c r="J14">
        <v>100</v>
      </c>
      <c r="K14">
        <v>27</v>
      </c>
      <c r="L14">
        <f>(3.1415*(DatabaseTable37[[#This Row],[Sc]]-DatabaseTable37[[#This Row],[So]])/(DatabaseTable37[[#This Row],[Enet (m/yr)]]))*(2*DatabaseTable37[[#This Row],[Dispersion Coefficient Planet (m^2/yr)]])</f>
        <v>28655.330964882083</v>
      </c>
      <c r="M14">
        <f>LOG(DatabaseTable37[[#This Row],[Vegetated Area Model (m^2)]])</f>
        <v>4.4572054288604903</v>
      </c>
      <c r="N14" t="s">
        <v>18</v>
      </c>
    </row>
    <row r="15" spans="1:14" x14ac:dyDescent="0.2">
      <c r="A15" t="s">
        <v>26</v>
      </c>
      <c r="B15">
        <v>737302</v>
      </c>
      <c r="C15">
        <v>797543</v>
      </c>
      <c r="D15">
        <f>DatabaseTable37[[#This Row],[Vegetated Area from GEP (m^2)]]/DatabaseTable37[[#This Row],[Total island area (m^2)]]</f>
        <v>0.92446676856294896</v>
      </c>
      <c r="E15">
        <f>LOG10(DatabaseTable37[[#This Row],[Vegetated Area from GEP (m^2)]])</f>
        <v>5.8676454119687245</v>
      </c>
      <c r="F15" s="1">
        <v>666630</v>
      </c>
      <c r="G15">
        <v>0.98009154376289986</v>
      </c>
      <c r="H15">
        <f>(DatabaseTable37[[#This Row],[Red Mangrove Area (m^2)]]*G15)/(2*3.14*(72-35))</f>
        <v>2811.8369160727402</v>
      </c>
      <c r="I15">
        <f>DatabaseTable37[[#This Row],[Dispersion Coefficient Planet (m^2/yr)]]/365</f>
        <v>7.7036627837609322</v>
      </c>
      <c r="J15">
        <v>100</v>
      </c>
      <c r="K15">
        <v>60</v>
      </c>
      <c r="L15">
        <f>(3.1415*(DatabaseTable37[[#This Row],[Sc]]-DatabaseTable37[[#This Row],[So]])/(DatabaseTable37[[#This Row],[Enet (m/yr)]]))*(2*DatabaseTable37[[#This Row],[Dispersion Coefficient Planet (m^2/yr)]])</f>
        <v>721025.35548287153</v>
      </c>
      <c r="M15">
        <f>LOG(DatabaseTable37[[#This Row],[Vegetated Area Model (m^2)]])</f>
        <v>5.8579505373306304</v>
      </c>
      <c r="N15" t="s">
        <v>23</v>
      </c>
    </row>
    <row r="16" spans="1:14" x14ac:dyDescent="0.2">
      <c r="A16" t="s">
        <v>24</v>
      </c>
      <c r="B16">
        <v>195762</v>
      </c>
      <c r="C16">
        <v>219211</v>
      </c>
      <c r="D16">
        <f>DatabaseTable37[[#This Row],[Vegetated Area from GEP (m^2)]]/DatabaseTable37[[#This Row],[Total island area (m^2)]]</f>
        <v>0.893030003056416</v>
      </c>
      <c r="E16">
        <f>LOG10(DatabaseTable37[[#This Row],[Vegetated Area from GEP (m^2)]])</f>
        <v>5.2917283933304864</v>
      </c>
      <c r="F16" s="1">
        <v>153199</v>
      </c>
      <c r="G16">
        <v>0.98009154376289986</v>
      </c>
      <c r="H16">
        <f>(DatabaseTable37[[#This Row],[Red Mangrove Area (m^2)]]*G16)/(2*3.14*(72-35))</f>
        <v>646.19144608767647</v>
      </c>
      <c r="I16">
        <f>DatabaseTable37[[#This Row],[Dispersion Coefficient Planet (m^2/yr)]]/365</f>
        <v>1.7703875235278808</v>
      </c>
      <c r="J16">
        <v>100</v>
      </c>
      <c r="K16">
        <v>35</v>
      </c>
      <c r="L16">
        <f>(3.1415*(DatabaseTable37[[#This Row],[Sc]]-DatabaseTable37[[#This Row],[So]])/(DatabaseTable37[[#This Row],[Enet (m/yr)]]))*(2*DatabaseTable37[[#This Row],[Dispersion Coefficient Planet (m^2/yr)]])</f>
        <v>269261.94527887763</v>
      </c>
      <c r="M16">
        <f>LOG(DatabaseTable37[[#This Row],[Vegetated Area Model (m^2)]])</f>
        <v>5.430174979021559</v>
      </c>
      <c r="N16" t="s">
        <v>23</v>
      </c>
    </row>
    <row r="17" spans="1:14" x14ac:dyDescent="0.2">
      <c r="A17" t="s">
        <v>24</v>
      </c>
      <c r="B17">
        <v>62553</v>
      </c>
      <c r="C17">
        <v>83055</v>
      </c>
      <c r="D17">
        <f>DatabaseTable37[[#This Row],[Vegetated Area from GEP (m^2)]]/DatabaseTable37[[#This Row],[Total island area (m^2)]]</f>
        <v>0.75315152609716451</v>
      </c>
      <c r="E17">
        <f>LOG10(DatabaseTable37[[#This Row],[Vegetated Area from GEP (m^2)]])</f>
        <v>4.7962481430015007</v>
      </c>
      <c r="F17" s="1">
        <v>36423</v>
      </c>
      <c r="G17">
        <v>0.98009154376289986</v>
      </c>
      <c r="H17">
        <f>(DatabaseTable37[[#This Row],[Red Mangrove Area (m^2)]]*G17)/(2*3.14*(72-35))</f>
        <v>153.6317537376317</v>
      </c>
      <c r="I17">
        <f>DatabaseTable37[[#This Row],[Dispersion Coefficient Planet (m^2/yr)]]/365</f>
        <v>0.42090891434967587</v>
      </c>
      <c r="J17">
        <v>100</v>
      </c>
      <c r="K17">
        <v>35</v>
      </c>
      <c r="L17">
        <f>(3.1415*(DatabaseTable37[[#This Row],[Sc]]-DatabaseTable37[[#This Row],[So]])/(DatabaseTable37[[#This Row],[Enet (m/yr)]]))*(2*DatabaseTable37[[#This Row],[Dispersion Coefficient Planet (m^2/yr)]])</f>
        <v>64016.918079703915</v>
      </c>
      <c r="M17">
        <f>LOG(DatabaseTable37[[#This Row],[Vegetated Area Model (m^2)]])</f>
        <v>4.8062947623854955</v>
      </c>
      <c r="N17" t="s">
        <v>23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CD93-D269-194D-A78D-F7B6228FD17F}">
  <dimension ref="A1:N30"/>
  <sheetViews>
    <sheetView workbookViewId="0">
      <selection activeCell="H23" sqref="H23"/>
    </sheetView>
  </sheetViews>
  <sheetFormatPr baseColWidth="10" defaultRowHeight="16" x14ac:dyDescent="0.2"/>
  <cols>
    <col min="1" max="1" width="22.6640625" customWidth="1"/>
    <col min="2" max="4" width="26.6640625" customWidth="1"/>
    <col min="5" max="5" width="12.1640625" bestFit="1" customWidth="1"/>
    <col min="6" max="6" width="22.5" customWidth="1"/>
    <col min="7" max="7" width="12.1640625" bestFit="1" customWidth="1"/>
    <col min="8" max="9" width="26" customWidth="1"/>
    <col min="10" max="10" width="6.83203125" customWidth="1"/>
    <col min="11" max="11" width="8" customWidth="1"/>
    <col min="12" max="12" width="24.5" customWidth="1"/>
    <col min="13" max="13" width="22.83203125" customWidth="1"/>
    <col min="14" max="14" width="13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8487</v>
      </c>
      <c r="C2">
        <v>13661</v>
      </c>
      <c r="D2">
        <f>DatabaseTable33[[#This Row],[Vegetated Area from GEP (m^2)]]/DatabaseTable33[[#This Row],[Total island area (m^2)]]</f>
        <v>0.62125759461240027</v>
      </c>
      <c r="E2">
        <f>LOG10(DatabaseTable33[[#This Row],[Vegetated Area from GEP (m^2)]])</f>
        <v>3.9287542021766533</v>
      </c>
      <c r="F2" s="1">
        <v>5454</v>
      </c>
      <c r="G2">
        <v>1.15253728592589</v>
      </c>
      <c r="H2">
        <f>(DatabaseTable33[[#This Row],[Red Mangrove Area (m^2)]]*G2)/(2*3.14*(72-35))</f>
        <v>27.052583738336221</v>
      </c>
      <c r="I2">
        <f>DatabaseTable33[[#This Row],[Dispersion Coefficient Planet (m^2/yr)]]/365</f>
        <v>7.411666777626362E-2</v>
      </c>
      <c r="J2">
        <v>100</v>
      </c>
      <c r="K2">
        <v>60</v>
      </c>
      <c r="L2">
        <f>(3.1415*(DatabaseTable33[[#This Row],[Sc]]-DatabaseTable33[[#This Row],[So]])/(DatabaseTable33[[#This Row],[Enet (m/yr)]]))*(2*DatabaseTable33[[#This Row],[Dispersion Coefficient Planet (m^2/yr)]])</f>
        <v>5899.0328800137731</v>
      </c>
      <c r="M2">
        <f>LOG(DatabaseTable33[[#This Row],[Vegetated Area Model (m^2)]])</f>
        <v>3.7707808168453218</v>
      </c>
    </row>
    <row r="3" spans="1:14" x14ac:dyDescent="0.2">
      <c r="A3" t="s">
        <v>14</v>
      </c>
      <c r="B3">
        <v>7174</v>
      </c>
      <c r="C3">
        <v>9045</v>
      </c>
      <c r="D3">
        <f>DatabaseTable33[[#This Row],[Vegetated Area from GEP (m^2)]]/DatabaseTable33[[#This Row],[Total island area (m^2)]]</f>
        <v>0.79314538419016034</v>
      </c>
      <c r="E3">
        <f>LOG10(DatabaseTable33[[#This Row],[Vegetated Area from GEP (m^2)]])</f>
        <v>3.855761372339948</v>
      </c>
      <c r="F3" s="1">
        <v>4473</v>
      </c>
      <c r="G3">
        <v>1.1525372859258889</v>
      </c>
      <c r="H3">
        <f>(DatabaseTable33[[#This Row],[Red Mangrove Area (m^2)]]*G3)/(2*3.14*(72-35))</f>
        <v>22.186689963618957</v>
      </c>
      <c r="I3">
        <f>DatabaseTable33[[#This Row],[Dispersion Coefficient Planet (m^2/yr)]]/365</f>
        <v>6.0785451955120431E-2</v>
      </c>
      <c r="J3">
        <v>100</v>
      </c>
      <c r="K3">
        <v>60</v>
      </c>
      <c r="L3">
        <f>(3.1415*(DatabaseTable33[[#This Row],[Sc]]-DatabaseTable33[[#This Row],[So]])/(DatabaseTable33[[#This Row],[Enet (m/yr)]]))*(2*DatabaseTable33[[#This Row],[Dispersion Coefficient Planet (m^2/yr)]])</f>
        <v>4837.9857118264763</v>
      </c>
      <c r="M3">
        <f>LOG(DatabaseTable33[[#This Row],[Vegetated Area Model (m^2)]])</f>
        <v>3.6846645814123673</v>
      </c>
    </row>
    <row r="4" spans="1:14" x14ac:dyDescent="0.2">
      <c r="A4" t="s">
        <v>14</v>
      </c>
      <c r="B4">
        <v>17014</v>
      </c>
      <c r="C4">
        <v>20878</v>
      </c>
      <c r="D4">
        <f>DatabaseTable33[[#This Row],[Vegetated Area from GEP (m^2)]]/DatabaseTable33[[#This Row],[Total island area (m^2)]]</f>
        <v>0.81492480122617106</v>
      </c>
      <c r="E4">
        <f>LOG10(DatabaseTable33[[#This Row],[Vegetated Area from GEP (m^2)]])</f>
        <v>4.2308064284688829</v>
      </c>
      <c r="F4" s="2">
        <v>15090</v>
      </c>
      <c r="G4">
        <v>1.1525372859258889</v>
      </c>
      <c r="H4">
        <f>(DatabaseTable33[[#This Row],[Red Mangrove Area (m^2)]]*G4)/(2*3.14*(72-35))</f>
        <v>74.848457757882869</v>
      </c>
      <c r="I4">
        <f>DatabaseTable33[[#This Row],[Dispersion Coefficient Planet (m^2/yr)]]/365</f>
        <v>0.20506426782981607</v>
      </c>
      <c r="J4">
        <v>100</v>
      </c>
      <c r="K4">
        <v>60</v>
      </c>
      <c r="L4">
        <f>(3.1415*(DatabaseTable33[[#This Row],[Sc]]-DatabaseTable33[[#This Row],[So]])/(DatabaseTable33[[#This Row],[Enet (m/yr)]]))*(2*DatabaseTable33[[#This Row],[Dispersion Coefficient Planet (m^2/yr)]])</f>
        <v>16321.306593217423</v>
      </c>
      <c r="M4">
        <f>LOG(DatabaseTable33[[#This Row],[Vegetated Area Model (m^2)]])</f>
        <v>4.2127549230153001</v>
      </c>
    </row>
    <row r="5" spans="1:14" x14ac:dyDescent="0.2">
      <c r="A5" t="s">
        <v>14</v>
      </c>
      <c r="B5">
        <v>23700</v>
      </c>
      <c r="C5">
        <v>32807</v>
      </c>
      <c r="D5">
        <f>DatabaseTable33[[#This Row],[Vegetated Area from GEP (m^2)]]/DatabaseTable33[[#This Row],[Total island area (m^2)]]</f>
        <v>0.72240680342609809</v>
      </c>
      <c r="E5">
        <f>LOG10(DatabaseTable33[[#This Row],[Vegetated Area from GEP (m^2)]])</f>
        <v>4.3747483460101035</v>
      </c>
      <c r="F5" s="2">
        <v>10857</v>
      </c>
      <c r="G5">
        <v>1.1525372859258889</v>
      </c>
      <c r="H5">
        <f>(DatabaseTable33[[#This Row],[Red Mangrove Area (m^2)]]*G5)/(2*3.14*(72-35))</f>
        <v>53.85220052202348</v>
      </c>
      <c r="I5">
        <f>DatabaseTable33[[#This Row],[Dispersion Coefficient Planet (m^2/yr)]]/365</f>
        <v>0.14754027540280407</v>
      </c>
      <c r="J5">
        <v>100</v>
      </c>
      <c r="K5">
        <v>60</v>
      </c>
      <c r="L5">
        <f>(3.1415*(DatabaseTable33[[#This Row],[Sc]]-DatabaseTable33[[#This Row],[So]])/(DatabaseTable33[[#This Row],[Enet (m/yr)]]))*(2*DatabaseTable33[[#This Row],[Dispersion Coefficient Planet (m^2/yr)]])</f>
        <v>11742.904286452058</v>
      </c>
      <c r="M5">
        <f>LOG(DatabaseTable33[[#This Row],[Vegetated Area Model (m^2)]])</f>
        <v>4.0697755210675721</v>
      </c>
    </row>
    <row r="6" spans="1:14" x14ac:dyDescent="0.2">
      <c r="A6" t="s">
        <v>14</v>
      </c>
      <c r="B6">
        <v>67701</v>
      </c>
      <c r="C6">
        <v>87153</v>
      </c>
      <c r="D6">
        <f>DatabaseTable33[[#This Row],[Vegetated Area from GEP (m^2)]]/DatabaseTable33[[#This Row],[Total island area (m^2)]]</f>
        <v>0.77680630615125124</v>
      </c>
      <c r="E6">
        <f>LOG10(DatabaseTable33[[#This Row],[Vegetated Area from GEP (m^2)]])</f>
        <v>4.830595083622728</v>
      </c>
      <c r="F6" s="1">
        <v>47205</v>
      </c>
      <c r="G6">
        <v>1.1525372859258889</v>
      </c>
      <c r="H6">
        <f>(DatabaseTable33[[#This Row],[Red Mangrove Area (m^2)]]*G6)/(2*3.14*(72-35))</f>
        <v>234.14323714121011</v>
      </c>
      <c r="I6">
        <f>DatabaseTable33[[#This Row],[Dispersion Coefficient Planet (m^2/yr)]]/365</f>
        <v>0.64148832093482222</v>
      </c>
      <c r="J6">
        <v>100</v>
      </c>
      <c r="K6">
        <v>60</v>
      </c>
      <c r="L6">
        <f>(3.1415*(DatabaseTable33[[#This Row],[Sc]]-DatabaseTable33[[#This Row],[So]])/(DatabaseTable33[[#This Row],[Enet (m/yr)]]))*(2*DatabaseTable33[[#This Row],[Dispersion Coefficient Planet (m^2/yr)]])</f>
        <v>51056.810982957482</v>
      </c>
      <c r="M6">
        <f>LOG(DatabaseTable33[[#This Row],[Vegetated Area Model (m^2)]])</f>
        <v>4.7080536852086121</v>
      </c>
    </row>
    <row r="7" spans="1:14" x14ac:dyDescent="0.2">
      <c r="A7" t="s">
        <v>14</v>
      </c>
      <c r="B7">
        <v>85012</v>
      </c>
      <c r="C7">
        <v>86429</v>
      </c>
      <c r="D7">
        <f>DatabaseTable33[[#This Row],[Vegetated Area from GEP (m^2)]]/DatabaseTable33[[#This Row],[Total island area (m^2)]]</f>
        <v>0.98360503997500837</v>
      </c>
      <c r="E7">
        <f>LOG10(DatabaseTable33[[#This Row],[Vegetated Area from GEP (m^2)]])</f>
        <v>4.9294802335489338</v>
      </c>
      <c r="F7" s="1">
        <v>72216</v>
      </c>
      <c r="G7">
        <v>1.1525372859258889</v>
      </c>
      <c r="H7">
        <f>(DatabaseTable33[[#This Row],[Red Mangrove Area (m^2)]]*G7)/(2*3.14*(72-35))</f>
        <v>358.20120778285417</v>
      </c>
      <c r="I7">
        <f>DatabaseTable33[[#This Row],[Dispersion Coefficient Planet (m^2/yr)]]/365</f>
        <v>0.98137317200781959</v>
      </c>
      <c r="J7">
        <v>100</v>
      </c>
      <c r="K7">
        <v>60</v>
      </c>
      <c r="L7">
        <f>(3.1415*(DatabaseTable33[[#This Row],[Sc]]-DatabaseTable33[[#This Row],[So]])/(DatabaseTable33[[#This Row],[Enet (m/yr)]]))*(2*DatabaseTable33[[#This Row],[Dispersion Coefficient Planet (m^2/yr)]])</f>
        <v>78108.646582888628</v>
      </c>
      <c r="M7">
        <f>LOG(DatabaseTable33[[#This Row],[Vegetated Area Model (m^2)]])</f>
        <v>4.892699112691397</v>
      </c>
    </row>
    <row r="8" spans="1:14" x14ac:dyDescent="0.2">
      <c r="A8" t="s">
        <v>15</v>
      </c>
      <c r="B8">
        <v>2979571</v>
      </c>
      <c r="C8">
        <v>3405557</v>
      </c>
      <c r="D8">
        <f>DatabaseTable33[[#This Row],[Vegetated Area from GEP (m^2)]]/DatabaseTable33[[#This Row],[Total island area (m^2)]]</f>
        <v>0.87491444130871987</v>
      </c>
      <c r="E8">
        <f>LOG10(DatabaseTable33[[#This Row],[Vegetated Area from GEP (m^2)]])</f>
        <v>6.4741537386585506</v>
      </c>
      <c r="F8" s="1">
        <v>2529542</v>
      </c>
      <c r="G8">
        <v>0.31887381192570502</v>
      </c>
      <c r="H8">
        <f>(DatabaseTable33[[#This Row],[Red Mangrove Area (m^2)]]*G8)/(2*3.14*(72-35))</f>
        <v>3471.3578067058515</v>
      </c>
      <c r="I8">
        <f>DatabaseTable33[[#This Row],[Dispersion Coefficient Planet (m^2/yr)]]/365</f>
        <v>9.5105693334406887</v>
      </c>
      <c r="J8">
        <v>100</v>
      </c>
      <c r="K8">
        <v>60</v>
      </c>
      <c r="L8">
        <f>(3.1415*(DatabaseTable33[[#This Row],[Sc]]-DatabaseTable33[[#This Row],[So]])/(DatabaseTable33[[#This Row],[Enet (m/yr)]]))*(2*DatabaseTable33[[#This Row],[Dispersion Coefficient Planet (m^2/yr)]])</f>
        <v>2735946.3566878983</v>
      </c>
      <c r="M8">
        <f>LOG(DatabaseTable33[[#This Row],[Vegetated Area Model (m^2)]])</f>
        <v>6.4371075779812568</v>
      </c>
    </row>
    <row r="9" spans="1:14" x14ac:dyDescent="0.2">
      <c r="A9" t="s">
        <v>16</v>
      </c>
      <c r="B9">
        <v>1197621</v>
      </c>
      <c r="C9">
        <v>1299823</v>
      </c>
      <c r="D9">
        <f>DatabaseTable33[[#This Row],[Vegetated Area from GEP (m^2)]]/DatabaseTable33[[#This Row],[Total island area (m^2)]]</f>
        <v>0.9213723714690385</v>
      </c>
      <c r="E9">
        <f>LOG10(DatabaseTable33[[#This Row],[Vegetated Area from GEP (m^2)]])</f>
        <v>6.0783194026524301</v>
      </c>
      <c r="F9" s="1">
        <v>828207</v>
      </c>
      <c r="G9">
        <v>0.92038931379905498</v>
      </c>
      <c r="H9">
        <f>(DatabaseTable33[[#This Row],[Red Mangrove Area (m^2)]]*G9)/(2*3.14*(72-35))</f>
        <v>3280.5683956514627</v>
      </c>
      <c r="I9">
        <f>DatabaseTable33[[#This Row],[Dispersion Coefficient Planet (m^2/yr)]]/365</f>
        <v>8.9878586182231857</v>
      </c>
      <c r="J9">
        <v>100</v>
      </c>
      <c r="K9">
        <v>60</v>
      </c>
      <c r="L9">
        <f>(3.1415*(DatabaseTable33[[#This Row],[Sc]]-DatabaseTable33[[#This Row],[So]])/(DatabaseTable33[[#This Row],[Enet (m/yr)]]))*(2*DatabaseTable33[[#This Row],[Dispersion Coefficient Planet (m^2/yr)]])</f>
        <v>895786.63814770174</v>
      </c>
      <c r="M9">
        <f>LOG(DatabaseTable33[[#This Row],[Vegetated Area Model (m^2)]])</f>
        <v>5.9522045800756258</v>
      </c>
    </row>
    <row r="10" spans="1:14" x14ac:dyDescent="0.2">
      <c r="A10" t="s">
        <v>17</v>
      </c>
      <c r="B10">
        <v>295857</v>
      </c>
      <c r="C10">
        <v>321709</v>
      </c>
      <c r="D10">
        <f>DatabaseTable33[[#This Row],[Vegetated Area from GEP (m^2)]]/DatabaseTable33[[#This Row],[Total island area (m^2)]]</f>
        <v>0.91964166373959078</v>
      </c>
      <c r="E10">
        <f>LOG10(DatabaseTable33[[#This Row],[Vegetated Area from GEP (m^2)]])</f>
        <v>5.4710818491763531</v>
      </c>
      <c r="F10" s="1">
        <v>113157</v>
      </c>
      <c r="G10">
        <v>0.98009154376289997</v>
      </c>
      <c r="H10">
        <f>(DatabaseTable33[[#This Row],[Red Mangrove Area (m^2)]]*G10)/(2*3.14*(72-35))</f>
        <v>477.29479608184914</v>
      </c>
      <c r="I10">
        <f>DatabaseTable33[[#This Row],[Dispersion Coefficient Planet (m^2/yr)]]/365</f>
        <v>1.30765697556671</v>
      </c>
      <c r="J10">
        <v>100</v>
      </c>
      <c r="K10">
        <v>60</v>
      </c>
      <c r="L10">
        <f>(3.1415*(DatabaseTable33[[#This Row],[Sc]]-DatabaseTable33[[#This Row],[So]])/(DatabaseTable33[[#This Row],[Enet (m/yr)]]))*(2*DatabaseTable33[[#This Row],[Dispersion Coefficient Planet (m^2/yr)]])</f>
        <v>122390.33069375108</v>
      </c>
      <c r="M10">
        <f>LOG(DatabaseTable33[[#This Row],[Vegetated Area Model (m^2)]])</f>
        <v>5.0877471082325423</v>
      </c>
      <c r="N10" s="3" t="s">
        <v>18</v>
      </c>
    </row>
    <row r="11" spans="1:14" x14ac:dyDescent="0.2">
      <c r="A11" t="s">
        <v>17</v>
      </c>
      <c r="B11">
        <v>29122</v>
      </c>
      <c r="C11">
        <v>51434</v>
      </c>
      <c r="D11">
        <f>DatabaseTable33[[#This Row],[Vegetated Area from GEP (m^2)]]/DatabaseTable33[[#This Row],[Total island area (m^2)]]</f>
        <v>0.56620134541353973</v>
      </c>
      <c r="E11">
        <f>LOG10(DatabaseTable33[[#This Row],[Vegetated Area from GEP (m^2)]])</f>
        <v>4.4642211975344495</v>
      </c>
      <c r="F11" s="1">
        <v>4104</v>
      </c>
      <c r="G11">
        <v>0.98009154376289986</v>
      </c>
      <c r="H11">
        <f>(DatabaseTable33[[#This Row],[Red Mangrove Area (m^2)]]*G11)/(2*3.14*(72-35))</f>
        <v>17.310620139451458</v>
      </c>
      <c r="I11">
        <f>DatabaseTable33[[#This Row],[Dispersion Coefficient Planet (m^2/yr)]]/365</f>
        <v>4.7426356546442353E-2</v>
      </c>
      <c r="J11">
        <v>100</v>
      </c>
      <c r="K11">
        <v>60</v>
      </c>
      <c r="L11">
        <f>(3.1415*(DatabaseTable33[[#This Row],[Sc]]-DatabaseTable33[[#This Row],[So]])/(DatabaseTable33[[#This Row],[Enet (m/yr)]]))*(2*DatabaseTable33[[#This Row],[Dispersion Coefficient Planet (m^2/yr)]])</f>
        <v>4438.8762265450168</v>
      </c>
      <c r="M11">
        <f>LOG(DatabaseTable33[[#This Row],[Vegetated Area Model (m^2)]])</f>
        <v>3.6472730353434706</v>
      </c>
      <c r="N11" t="s">
        <v>18</v>
      </c>
    </row>
    <row r="12" spans="1:14" x14ac:dyDescent="0.2">
      <c r="A12" t="s">
        <v>17</v>
      </c>
      <c r="B12">
        <v>241064</v>
      </c>
      <c r="C12">
        <v>387736</v>
      </c>
      <c r="D12">
        <f>DatabaseTable33[[#This Row],[Vegetated Area from GEP (m^2)]]/DatabaseTable33[[#This Row],[Total island area (m^2)]]</f>
        <v>0.62172199640992842</v>
      </c>
      <c r="E12">
        <f>LOG10(DatabaseTable33[[#This Row],[Vegetated Area from GEP (m^2)]])</f>
        <v>5.3821323585785734</v>
      </c>
      <c r="F12" s="1">
        <v>54675</v>
      </c>
      <c r="G12">
        <v>0.98009154376289986</v>
      </c>
      <c r="H12">
        <f>(DatabaseTable33[[#This Row],[Red Mangrove Area (m^2)]]*G12)/(2*3.14*(72-35))</f>
        <v>230.61845909466581</v>
      </c>
      <c r="I12">
        <f>DatabaseTable33[[#This Row],[Dispersion Coefficient Planet (m^2/yr)]]/365</f>
        <v>0.63183139477990635</v>
      </c>
      <c r="J12">
        <v>100</v>
      </c>
      <c r="K12">
        <v>60</v>
      </c>
      <c r="L12">
        <f>(3.1415*(DatabaseTable33[[#This Row],[Sc]]-DatabaseTable33[[#This Row],[So]])/(DatabaseTable33[[#This Row],[Enet (m/yr)]]))*(2*DatabaseTable33[[#This Row],[Dispersion Coefficient Planet (m^2/yr)]])</f>
        <v>59136.344465484595</v>
      </c>
      <c r="M12">
        <f>LOG(DatabaseTable33[[#This Row],[Vegetated Area Model (m^2)]])</f>
        <v>4.771854474949385</v>
      </c>
      <c r="N12" t="s">
        <v>18</v>
      </c>
    </row>
    <row r="13" spans="1:14" x14ac:dyDescent="0.2">
      <c r="A13" t="s">
        <v>17</v>
      </c>
      <c r="B13">
        <v>112319</v>
      </c>
      <c r="C13">
        <v>140474</v>
      </c>
      <c r="D13">
        <f>DatabaseTable33[[#This Row],[Vegetated Area from GEP (m^2)]]/DatabaseTable33[[#This Row],[Total island area (m^2)]]</f>
        <v>0.79957145094465876</v>
      </c>
      <c r="E13">
        <f>LOG10(DatabaseTable33[[#This Row],[Vegetated Area from GEP (m^2)]])</f>
        <v>5.0504532281865915</v>
      </c>
      <c r="F13" s="1">
        <v>59490</v>
      </c>
      <c r="G13">
        <v>0.98009154376289986</v>
      </c>
      <c r="H13">
        <f>(DatabaseTable33[[#This Row],[Red Mangrove Area (m^2)]]*G13)/(2*3.14*(72-35))</f>
        <v>250.92806824950469</v>
      </c>
      <c r="I13">
        <f>DatabaseTable33[[#This Row],[Dispersion Coefficient Planet (m^2/yr)]]/365</f>
        <v>0.6874741595876841</v>
      </c>
      <c r="J13">
        <v>100</v>
      </c>
      <c r="K13">
        <v>60</v>
      </c>
      <c r="L13">
        <f>(3.1415*(DatabaseTable33[[#This Row],[Sc]]-DatabaseTable33[[#This Row],[So]])/(DatabaseTable33[[#This Row],[Enet (m/yr)]]))*(2*DatabaseTable33[[#This Row],[Dispersion Coefficient Planet (m^2/yr)]])</f>
        <v>64344.236529523158</v>
      </c>
      <c r="M13">
        <f>LOG(DatabaseTable33[[#This Row],[Vegetated Area Model (m^2)]])</f>
        <v>4.808509652164676</v>
      </c>
      <c r="N13" t="s">
        <v>19</v>
      </c>
    </row>
    <row r="14" spans="1:14" x14ac:dyDescent="0.2">
      <c r="A14" t="s">
        <v>17</v>
      </c>
      <c r="B14">
        <v>77645</v>
      </c>
      <c r="C14">
        <v>135257</v>
      </c>
      <c r="D14">
        <f>DatabaseTable33[[#This Row],[Vegetated Area from GEP (m^2)]]/DatabaseTable33[[#This Row],[Total island area (m^2)]]</f>
        <v>0.57405531691520584</v>
      </c>
      <c r="E14">
        <f>LOG10(DatabaseTable33[[#This Row],[Vegetated Area from GEP (m^2)]])</f>
        <v>4.890113494290917</v>
      </c>
      <c r="F14" s="1">
        <v>34968</v>
      </c>
      <c r="G14">
        <v>0.98009154376289986</v>
      </c>
      <c r="H14">
        <f>(DatabaseTable33[[#This Row],[Red Mangrove Area (m^2)]]*G14)/(2*3.14*(72-35))</f>
        <v>147.49458212386418</v>
      </c>
      <c r="I14">
        <f>DatabaseTable33[[#This Row],[Dispersion Coefficient Planet (m^2/yr)]]/365</f>
        <v>0.40409474554483338</v>
      </c>
      <c r="J14">
        <v>100</v>
      </c>
      <c r="K14">
        <v>60</v>
      </c>
      <c r="L14">
        <f>(3.1415*(DatabaseTable33[[#This Row],[Sc]]-DatabaseTable33[[#This Row],[So]])/(DatabaseTable33[[#This Row],[Enet (m/yr)]]))*(2*DatabaseTable33[[#This Row],[Dispersion Coefficient Planet (m^2/yr)]])</f>
        <v>37821.302117404033</v>
      </c>
      <c r="M14">
        <f>LOG(DatabaseTable33[[#This Row],[Vegetated Area Model (m^2)]])</f>
        <v>4.5777364767213067</v>
      </c>
      <c r="N14" t="s">
        <v>18</v>
      </c>
    </row>
    <row r="15" spans="1:14" x14ac:dyDescent="0.2">
      <c r="A15" t="s">
        <v>17</v>
      </c>
      <c r="B15">
        <v>35737</v>
      </c>
      <c r="C15">
        <v>37028</v>
      </c>
      <c r="D15">
        <f>DatabaseTable33[[#This Row],[Vegetated Area from GEP (m^2)]]/DatabaseTable33[[#This Row],[Total island area (m^2)]]</f>
        <v>0.96513449281624719</v>
      </c>
      <c r="E15">
        <f>LOG10(DatabaseTable33[[#This Row],[Vegetated Area from GEP (m^2)]])</f>
        <v>4.5531180921503056</v>
      </c>
      <c r="F15" s="1">
        <v>23301</v>
      </c>
      <c r="G15">
        <v>0.98009154376289986</v>
      </c>
      <c r="H15">
        <f>(DatabaseTable33[[#This Row],[Red Mangrove Area (m^2)]]*G15)/(2*3.14*(72-35))</f>
        <v>98.283323554911902</v>
      </c>
      <c r="I15">
        <f>DatabaseTable33[[#This Row],[Dispersion Coefficient Planet (m^2/yr)]]/365</f>
        <v>0.26926937960249836</v>
      </c>
      <c r="J15">
        <v>100</v>
      </c>
      <c r="K15">
        <v>60</v>
      </c>
      <c r="L15">
        <f>(3.1415*(DatabaseTable33[[#This Row],[Sc]]-DatabaseTable33[[#This Row],[So]])/(DatabaseTable33[[#This Row],[Enet (m/yr)]]))*(2*DatabaseTable33[[#This Row],[Dispersion Coefficient Planet (m^2/yr)]])</f>
        <v>25202.303838870721</v>
      </c>
      <c r="M15">
        <f>LOG(DatabaseTable33[[#This Row],[Vegetated Area Model (m^2)]])</f>
        <v>4.4014402431139077</v>
      </c>
      <c r="N15" t="s">
        <v>18</v>
      </c>
    </row>
    <row r="16" spans="1:14" x14ac:dyDescent="0.2">
      <c r="A16" t="s">
        <v>20</v>
      </c>
      <c r="B16">
        <v>579468</v>
      </c>
      <c r="C16">
        <v>617999</v>
      </c>
      <c r="D16">
        <f>DatabaseTable33[[#This Row],[Vegetated Area from GEP (m^2)]]/DatabaseTable33[[#This Row],[Total island area (m^2)]]</f>
        <v>0.93765200267314353</v>
      </c>
      <c r="E16">
        <f>LOG10(DatabaseTable33[[#This Row],[Vegetated Area from GEP (m^2)]])</f>
        <v>5.7630294578886687</v>
      </c>
      <c r="F16" s="2">
        <v>278697</v>
      </c>
      <c r="G16">
        <v>0.86335287540379702</v>
      </c>
      <c r="H16">
        <f>(DatabaseTable33[[#This Row],[Red Mangrove Area (m^2)]]*G16)/(2*3.14*(72-35))</f>
        <v>1035.5218467740231</v>
      </c>
      <c r="I16">
        <f>DatabaseTable33[[#This Row],[Dispersion Coefficient Planet (m^2/yr)]]/365</f>
        <v>2.8370461555452686</v>
      </c>
      <c r="J16">
        <v>100</v>
      </c>
      <c r="K16">
        <v>60</v>
      </c>
      <c r="L16">
        <f>(3.1415*(DatabaseTable33[[#This Row],[Sc]]-DatabaseTable33[[#This Row],[So]])/(DatabaseTable33[[#This Row],[Enet (m/yr)]]))*(2*DatabaseTable33[[#This Row],[Dispersion Coefficient Planet (m^2/yr)]])</f>
        <v>301437.98433465313</v>
      </c>
      <c r="M16">
        <f>LOG(DatabaseTable33[[#This Row],[Vegetated Area Model (m^2)]])</f>
        <v>5.4791979770679839</v>
      </c>
    </row>
    <row r="17" spans="1:14" x14ac:dyDescent="0.2">
      <c r="A17" t="s">
        <v>21</v>
      </c>
      <c r="B17">
        <v>161227</v>
      </c>
      <c r="C17">
        <v>177239</v>
      </c>
      <c r="D17">
        <f>DatabaseTable33[[#This Row],[Vegetated Area from GEP (m^2)]]/DatabaseTable33[[#This Row],[Total island area (m^2)]]</f>
        <v>0.90965870942625493</v>
      </c>
      <c r="E17">
        <f>LOG10(DatabaseTable33[[#This Row],[Vegetated Area from GEP (m^2)]])</f>
        <v>5.2074377730094499</v>
      </c>
      <c r="F17" s="2">
        <v>76879</v>
      </c>
      <c r="G17">
        <v>0.71682219806846503</v>
      </c>
      <c r="H17">
        <f>(DatabaseTable33[[#This Row],[Red Mangrove Area (m^2)]]*G17)/(2*3.14*(72-35))</f>
        <v>237.168935123539</v>
      </c>
      <c r="I17">
        <f>DatabaseTable33[[#This Row],[Dispersion Coefficient Planet (m^2/yr)]]/365</f>
        <v>0.64977790444805206</v>
      </c>
      <c r="J17">
        <v>100</v>
      </c>
      <c r="K17">
        <v>60</v>
      </c>
      <c r="L17">
        <f>(3.1415*(DatabaseTable33[[#This Row],[Sc]]-DatabaseTable33[[#This Row],[So]])/(DatabaseTable33[[#This Row],[Enet (m/yr)]]))*(2*DatabaseTable33[[#This Row],[Dispersion Coefficient Planet (m^2/yr)]])</f>
        <v>83152.135823721808</v>
      </c>
      <c r="M17">
        <f>LOG(DatabaseTable33[[#This Row],[Vegetated Area Model (m^2)]])</f>
        <v>4.9198734088717604</v>
      </c>
    </row>
    <row r="18" spans="1:14" x14ac:dyDescent="0.2">
      <c r="A18" t="s">
        <v>21</v>
      </c>
      <c r="B18">
        <v>366635</v>
      </c>
      <c r="C18">
        <v>421560</v>
      </c>
      <c r="D18">
        <f>DatabaseTable33[[#This Row],[Vegetated Area from GEP (m^2)]]/DatabaseTable33[[#This Row],[Total island area (m^2)]]</f>
        <v>0.86971012430021821</v>
      </c>
      <c r="E18">
        <f>LOG10(DatabaseTable33[[#This Row],[Vegetated Area from GEP (m^2)]])</f>
        <v>5.5642339215681282</v>
      </c>
      <c r="F18" s="2">
        <v>190847</v>
      </c>
      <c r="G18">
        <v>0.71682219806846503</v>
      </c>
      <c r="H18">
        <f>(DatabaseTable33[[#This Row],[Red Mangrove Area (m^2)]]*G18)/(2*3.14*(72-35))</f>
        <v>588.7560941417297</v>
      </c>
      <c r="I18">
        <f>DatabaseTable33[[#This Row],[Dispersion Coefficient Planet (m^2/yr)]]/365</f>
        <v>1.6130303949088485</v>
      </c>
      <c r="J18">
        <v>100</v>
      </c>
      <c r="K18">
        <v>60</v>
      </c>
      <c r="L18">
        <f>(3.1415*(DatabaseTable33[[#This Row],[Sc]]-DatabaseTable33[[#This Row],[So]])/(DatabaseTable33[[#This Row],[Enet (m/yr)]]))*(2*DatabaseTable33[[#This Row],[Dispersion Coefficient Planet (m^2/yr)]])</f>
        <v>206419.6421070752</v>
      </c>
      <c r="M18">
        <f>LOG(DatabaseTable33[[#This Row],[Vegetated Area Model (m^2)]])</f>
        <v>5.3147510207305606</v>
      </c>
    </row>
    <row r="19" spans="1:14" x14ac:dyDescent="0.2">
      <c r="A19" t="s">
        <v>22</v>
      </c>
      <c r="B19">
        <v>1293025</v>
      </c>
      <c r="C19">
        <v>2058331</v>
      </c>
      <c r="D19">
        <f>DatabaseTable33[[#This Row],[Vegetated Area from GEP (m^2)]]/DatabaseTable33[[#This Row],[Total island area (m^2)]]</f>
        <v>0.62819099552015689</v>
      </c>
      <c r="E19">
        <f>LOG10(DatabaseTable33[[#This Row],[Vegetated Area from GEP (m^2)]])</f>
        <v>6.1116069218309637</v>
      </c>
      <c r="F19" s="2">
        <v>1072976</v>
      </c>
      <c r="G19">
        <v>1.0291596190535</v>
      </c>
      <c r="H19">
        <f>(DatabaseTable33[[#This Row],[Red Mangrove Area (m^2)]]*G19)/(2*3.14*(72-35))</f>
        <v>4752.3823868718719</v>
      </c>
      <c r="I19">
        <f>DatabaseTable33[[#This Row],[Dispersion Coefficient Planet (m^2/yr)]]/365</f>
        <v>13.020225717457183</v>
      </c>
      <c r="J19">
        <v>100</v>
      </c>
      <c r="K19">
        <v>60</v>
      </c>
      <c r="L19">
        <f>(3.1415*(DatabaseTable33[[#This Row],[Sc]]-DatabaseTable33[[#This Row],[So]])/(DatabaseTable33[[#This Row],[Enet (m/yr)]]))*(2*DatabaseTable33[[#This Row],[Dispersion Coefficient Planet (m^2/yr)]])</f>
        <v>1160528.1817868825</v>
      </c>
      <c r="M19">
        <f>LOG(DatabaseTable33[[#This Row],[Vegetated Area Model (m^2)]])</f>
        <v>6.0646556911477543</v>
      </c>
    </row>
    <row r="20" spans="1:14" x14ac:dyDescent="0.2">
      <c r="A20" t="s">
        <v>22</v>
      </c>
      <c r="B20">
        <v>42603</v>
      </c>
      <c r="C20">
        <v>146487</v>
      </c>
      <c r="D20">
        <f>DatabaseTable33[[#This Row],[Vegetated Area from GEP (m^2)]]/DatabaseTable33[[#This Row],[Total island area (m^2)]]</f>
        <v>0.29083126830367201</v>
      </c>
      <c r="E20">
        <f>LOG10(DatabaseTable33[[#This Row],[Vegetated Area from GEP (m^2)]])</f>
        <v>4.6294401821443074</v>
      </c>
      <c r="F20" s="1">
        <v>19881</v>
      </c>
      <c r="G20">
        <v>1.0291596190535044</v>
      </c>
      <c r="H20">
        <f>(DatabaseTable33[[#This Row],[Red Mangrove Area (m^2)]]*G20)/(2*3.14*(72-35))</f>
        <v>88.056130084363573</v>
      </c>
      <c r="I20">
        <f>DatabaseTable33[[#This Row],[Dispersion Coefficient Planet (m^2/yr)]]/365</f>
        <v>0.2412496714640098</v>
      </c>
      <c r="J20">
        <v>100</v>
      </c>
      <c r="K20">
        <v>60</v>
      </c>
      <c r="L20">
        <f>(3.1415*(DatabaseTable33[[#This Row],[Sc]]-DatabaseTable33[[#This Row],[So]])/(DatabaseTable33[[#This Row],[Enet (m/yr)]]))*(2*DatabaseTable33[[#This Row],[Dispersion Coefficient Planet (m^2/yr)]])</f>
        <v>21503.240316749874</v>
      </c>
      <c r="M20">
        <f>LOG(DatabaseTable33[[#This Row],[Vegetated Area Model (m^2)]])</f>
        <v>4.3325039085504704</v>
      </c>
    </row>
    <row r="21" spans="1:14" x14ac:dyDescent="0.2">
      <c r="A21" t="s">
        <v>17</v>
      </c>
      <c r="B21">
        <v>136350</v>
      </c>
      <c r="C21">
        <v>138045.5</v>
      </c>
      <c r="D21">
        <f>DatabaseTable33[[#This Row],[Vegetated Area from GEP (m^2)]]/DatabaseTable33[[#This Row],[Total island area (m^2)]]</f>
        <v>0.98771781767605604</v>
      </c>
      <c r="E21">
        <f>LOG10(DatabaseTable33[[#This Row],[Vegetated Area from GEP (m^2)]])</f>
        <v>5.1346551422776487</v>
      </c>
      <c r="F21" s="1">
        <v>63954</v>
      </c>
      <c r="G21">
        <v>0.98009154376289986</v>
      </c>
      <c r="H21">
        <f>(DatabaseTable33[[#This Row],[Red Mangrove Area (m^2)]]*G21)/(2*3.14*(72-35))</f>
        <v>269.75716383978522</v>
      </c>
      <c r="I21">
        <f>DatabaseTable33[[#This Row],[Dispersion Coefficient Planet (m^2/yr)]]/365</f>
        <v>0.73906072284872659</v>
      </c>
      <c r="J21">
        <v>100</v>
      </c>
      <c r="K21">
        <v>60</v>
      </c>
      <c r="L21">
        <f>(3.1415*(DatabaseTable33[[#This Row],[Sc]]-DatabaseTable33[[#This Row],[So]])/(DatabaseTable33[[#This Row],[Enet (m/yr)]]))*(2*DatabaseTable33[[#This Row],[Dispersion Coefficient Planet (m^2/yr)]])</f>
        <v>69172.487863659844</v>
      </c>
      <c r="M21">
        <f>LOG(DatabaseTable33[[#This Row],[Vegetated Area Model (m^2)]])</f>
        <v>4.8399333958323449</v>
      </c>
      <c r="N21" t="s">
        <v>18</v>
      </c>
    </row>
    <row r="22" spans="1:14" x14ac:dyDescent="0.2">
      <c r="A22" t="s">
        <v>17</v>
      </c>
      <c r="B22">
        <v>544291</v>
      </c>
      <c r="C22">
        <v>553930</v>
      </c>
      <c r="D22">
        <f>DatabaseTable33[[#This Row],[Vegetated Area from GEP (m^2)]]/DatabaseTable33[[#This Row],[Total island area (m^2)]]</f>
        <v>0.98259888433556586</v>
      </c>
      <c r="E22">
        <f>LOG10(DatabaseTable33[[#This Row],[Vegetated Area from GEP (m^2)]])</f>
        <v>5.735831153198844</v>
      </c>
      <c r="F22" s="1">
        <v>24051</v>
      </c>
      <c r="G22">
        <v>0.98009154376289986</v>
      </c>
      <c r="H22">
        <f>(DatabaseTable33[[#This Row],[Red Mangrove Area (m^2)]]*G22)/(2*3.14*(72-35))</f>
        <v>101.44681407747248</v>
      </c>
      <c r="I22">
        <f>DatabaseTable33[[#This Row],[Dispersion Coefficient Planet (m^2/yr)]]/365</f>
        <v>0.27793647692458212</v>
      </c>
      <c r="J22">
        <v>100</v>
      </c>
      <c r="K22">
        <v>60</v>
      </c>
      <c r="L22">
        <f>(3.1415*(DatabaseTable33[[#This Row],[Sc]]-DatabaseTable33[[#This Row],[So]])/(DatabaseTable33[[#This Row],[Enet (m/yr)]]))*(2*DatabaseTable33[[#This Row],[Dispersion Coefficient Planet (m^2/yr)]])</f>
        <v>26013.501979686698</v>
      </c>
      <c r="M22">
        <f>LOG(DatabaseTable33[[#This Row],[Vegetated Area Model (m^2)]])</f>
        <v>4.4151988215567615</v>
      </c>
      <c r="N22" t="s">
        <v>18</v>
      </c>
    </row>
    <row r="23" spans="1:14" x14ac:dyDescent="0.2">
      <c r="A23" t="s">
        <v>17</v>
      </c>
      <c r="B23">
        <v>252404</v>
      </c>
      <c r="C23">
        <v>636838</v>
      </c>
      <c r="D23">
        <f>DatabaseTable33[[#This Row],[Vegetated Area from GEP (m^2)]]/DatabaseTable33[[#This Row],[Total island area (m^2)]]</f>
        <v>0.39633941441936565</v>
      </c>
      <c r="E23">
        <f>LOG10(DatabaseTable33[[#This Row],[Vegetated Area from GEP (m^2)]])</f>
        <v>5.4020962331559419</v>
      </c>
      <c r="F23" s="1">
        <v>104904</v>
      </c>
      <c r="G23">
        <v>0.98009154376289986</v>
      </c>
      <c r="H23">
        <f>(DatabaseTable33[[#This Row],[Red Mangrove Area (m^2)]]*G23)/(2*3.14*(72-35))</f>
        <v>442.48374637159253</v>
      </c>
      <c r="I23">
        <f>DatabaseTable33[[#This Row],[Dispersion Coefficient Planet (m^2/yr)]]/365</f>
        <v>1.2122842366345001</v>
      </c>
      <c r="J23">
        <v>100</v>
      </c>
      <c r="K23">
        <v>60</v>
      </c>
      <c r="L23">
        <f>(3.1415*(DatabaseTable33[[#This Row],[Sc]]-DatabaseTable33[[#This Row],[So]])/(DatabaseTable33[[#This Row],[Enet (m/yr)]]))*(2*DatabaseTable33[[#This Row],[Dispersion Coefficient Planet (m^2/yr)]])</f>
        <v>113463.9063522121</v>
      </c>
      <c r="M23">
        <f>LOG(DatabaseTable33[[#This Row],[Vegetated Area Model (m^2)]])</f>
        <v>5.0548577314409693</v>
      </c>
      <c r="N23" t="s">
        <v>18</v>
      </c>
    </row>
    <row r="24" spans="1:14" x14ac:dyDescent="0.2">
      <c r="A24" t="s">
        <v>17</v>
      </c>
      <c r="B24">
        <v>75396</v>
      </c>
      <c r="C24">
        <v>99877</v>
      </c>
      <c r="D24">
        <f>DatabaseTable33[[#This Row],[Vegetated Area from GEP (m^2)]]/DatabaseTable33[[#This Row],[Total island area (m^2)]]</f>
        <v>0.75488851287083114</v>
      </c>
      <c r="E24">
        <f>LOG10(DatabaseTable33[[#This Row],[Vegetated Area from GEP (m^2)]])</f>
        <v>4.8773483057635643</v>
      </c>
      <c r="F24" s="1">
        <v>35631</v>
      </c>
      <c r="G24">
        <v>0.98009154376289986</v>
      </c>
      <c r="H24">
        <f>(DatabaseTable33[[#This Row],[Red Mangrove Area (m^2)]]*G24)/(2*3.14*(72-35))</f>
        <v>150.29110774580772</v>
      </c>
      <c r="I24">
        <f>DatabaseTable33[[#This Row],[Dispersion Coefficient Planet (m^2/yr)]]/365</f>
        <v>0.41175645957755541</v>
      </c>
      <c r="J24">
        <v>100</v>
      </c>
      <c r="K24">
        <v>60</v>
      </c>
      <c r="L24">
        <f>(3.1415*(DatabaseTable33[[#This Row],[Sc]]-DatabaseTable33[[#This Row],[So]])/(DatabaseTable33[[#This Row],[Enet (m/yr)]]))*(2*DatabaseTable33[[#This Row],[Dispersion Coefficient Planet (m^2/yr)]])</f>
        <v>38538.401273885349</v>
      </c>
      <c r="M24">
        <f>LOG(DatabaseTable33[[#This Row],[Vegetated Area Model (m^2)]])</f>
        <v>4.5858936944312401</v>
      </c>
      <c r="N24" t="s">
        <v>18</v>
      </c>
    </row>
    <row r="25" spans="1:14" x14ac:dyDescent="0.2">
      <c r="A25" t="s">
        <v>17</v>
      </c>
      <c r="B25">
        <v>120650</v>
      </c>
      <c r="C25">
        <v>121718</v>
      </c>
      <c r="D25">
        <f>DatabaseTable33[[#This Row],[Vegetated Area from GEP (m^2)]]/DatabaseTable33[[#This Row],[Total island area (m^2)]]</f>
        <v>0.99122561987544977</v>
      </c>
      <c r="E25">
        <f>LOG10(DatabaseTable33[[#This Row],[Vegetated Area from GEP (m^2)]])</f>
        <v>5.0815273262448049</v>
      </c>
      <c r="F25" s="1">
        <v>46512</v>
      </c>
      <c r="G25">
        <v>0.98009154376289986</v>
      </c>
      <c r="H25">
        <f>(DatabaseTable33[[#This Row],[Red Mangrove Area (m^2)]]*G25)/(2*3.14*(72-35))</f>
        <v>196.18702824711653</v>
      </c>
      <c r="I25">
        <f>DatabaseTable33[[#This Row],[Dispersion Coefficient Planet (m^2/yr)]]/365</f>
        <v>0.53749870752634665</v>
      </c>
      <c r="J25">
        <v>100</v>
      </c>
      <c r="K25">
        <v>60</v>
      </c>
      <c r="L25">
        <f>(3.1415*(DatabaseTable33[[#This Row],[Sc]]-DatabaseTable33[[#This Row],[So]])/(DatabaseTable33[[#This Row],[Enet (m/yr)]]))*(2*DatabaseTable33[[#This Row],[Dispersion Coefficient Planet (m^2/yr)]])</f>
        <v>50307.263900843522</v>
      </c>
      <c r="M25">
        <f>LOG(DatabaseTable33[[#This Row],[Vegetated Area Model (m^2)]])</f>
        <v>4.7016306976660633</v>
      </c>
      <c r="N25" t="s">
        <v>18</v>
      </c>
    </row>
    <row r="26" spans="1:14" x14ac:dyDescent="0.2">
      <c r="A26" t="s">
        <v>17</v>
      </c>
      <c r="B26">
        <v>106110</v>
      </c>
      <c r="C26">
        <v>229855</v>
      </c>
      <c r="D26">
        <f>DatabaseTable33[[#This Row],[Vegetated Area from GEP (m^2)]]/DatabaseTable33[[#This Row],[Total island area (m^2)]]</f>
        <v>0.46163885928085097</v>
      </c>
      <c r="E26">
        <f>LOG10(DatabaseTable33[[#This Row],[Vegetated Area from GEP (m^2)]])</f>
        <v>5.025756314534414</v>
      </c>
      <c r="F26" s="1">
        <v>39042</v>
      </c>
      <c r="G26">
        <v>0.98009154376289986</v>
      </c>
      <c r="H26">
        <f>(DatabaseTable33[[#This Row],[Red Mangrove Area (m^2)]]*G26)/(2*3.14*(72-35))</f>
        <v>164.6786626424132</v>
      </c>
      <c r="I26">
        <f>DatabaseTable33[[#This Row],[Dispersion Coefficient Planet (m^2/yr)]]/365</f>
        <v>0.45117441819839232</v>
      </c>
      <c r="J26">
        <v>100</v>
      </c>
      <c r="K26">
        <v>60</v>
      </c>
      <c r="L26">
        <f>(3.1415*(DatabaseTable33[[#This Row],[Sc]]-DatabaseTable33[[#This Row],[So]])/(DatabaseTable33[[#This Row],[Enet (m/yr)]]))*(2*DatabaseTable33[[#This Row],[Dispersion Coefficient Planet (m^2/yr)]])</f>
        <v>42227.730418316409</v>
      </c>
      <c r="M26">
        <f>LOG(DatabaseTable33[[#This Row],[Vegetated Area Model (m^2)]])</f>
        <v>4.6255977403572102</v>
      </c>
      <c r="N26" t="s">
        <v>18</v>
      </c>
    </row>
    <row r="27" spans="1:14" x14ac:dyDescent="0.2">
      <c r="A27" t="s">
        <v>17</v>
      </c>
      <c r="B27">
        <v>74044</v>
      </c>
      <c r="C27">
        <v>110299</v>
      </c>
      <c r="D27">
        <f>DatabaseTable33[[#This Row],[Vegetated Area from GEP (m^2)]]/DatabaseTable33[[#This Row],[Total island area (m^2)]]</f>
        <v>0.67130255034043829</v>
      </c>
      <c r="E27">
        <f>LOG10(DatabaseTable33[[#This Row],[Vegetated Area from GEP (m^2)]])</f>
        <v>4.8694898721419673</v>
      </c>
      <c r="F27" s="1">
        <v>14517</v>
      </c>
      <c r="G27">
        <v>0.98009154376289986</v>
      </c>
      <c r="H27">
        <f>(DatabaseTable33[[#This Row],[Red Mangrove Area (m^2)]]*G27)/(2*3.14*(72-35))</f>
        <v>61.232522554682461</v>
      </c>
      <c r="I27">
        <f>DatabaseTable33[[#This Row],[Dispersion Coefficient Planet (m^2/yr)]]/365</f>
        <v>0.16776033576625332</v>
      </c>
      <c r="J27">
        <v>100</v>
      </c>
      <c r="K27">
        <v>60</v>
      </c>
      <c r="L27">
        <f>(3.1415*(DatabaseTable33[[#This Row],[Sc]]-DatabaseTable33[[#This Row],[So]])/(DatabaseTable33[[#This Row],[Enet (m/yr)]]))*(2*DatabaseTable33[[#This Row],[Dispersion Coefficient Planet (m^2/yr)]])</f>
        <v>15701.551213634018</v>
      </c>
      <c r="M27">
        <f>LOG(DatabaseTable33[[#This Row],[Vegetated Area Model (m^2)]])</f>
        <v>4.1959425600679969</v>
      </c>
      <c r="N27" t="s">
        <v>18</v>
      </c>
    </row>
    <row r="28" spans="1:14" x14ac:dyDescent="0.2">
      <c r="A28" t="s">
        <v>17</v>
      </c>
      <c r="B28">
        <v>737302</v>
      </c>
      <c r="C28">
        <v>797543</v>
      </c>
      <c r="D28">
        <f>DatabaseTable33[[#This Row],[Vegetated Area from GEP (m^2)]]/DatabaseTable33[[#This Row],[Total island area (m^2)]]</f>
        <v>0.92446676856294896</v>
      </c>
      <c r="E28">
        <f>LOG10(DatabaseTable33[[#This Row],[Vegetated Area from GEP (m^2)]])</f>
        <v>5.8676454119687245</v>
      </c>
      <c r="F28" s="1">
        <v>666630</v>
      </c>
      <c r="G28">
        <v>0.98009154376289986</v>
      </c>
      <c r="H28">
        <f>(DatabaseTable33[[#This Row],[Red Mangrove Area (m^2)]]*G28)/(2*3.14*(72-35))</f>
        <v>2811.8369160727402</v>
      </c>
      <c r="I28">
        <f>DatabaseTable33[[#This Row],[Dispersion Coefficient Planet (m^2/yr)]]/365</f>
        <v>7.7036627837609322</v>
      </c>
      <c r="J28">
        <v>100</v>
      </c>
      <c r="K28">
        <v>60</v>
      </c>
      <c r="L28">
        <f>(3.1415*(DatabaseTable33[[#This Row],[Sc]]-DatabaseTable33[[#This Row],[So]])/(DatabaseTable33[[#This Row],[Enet (m/yr)]]))*(2*DatabaseTable33[[#This Row],[Dispersion Coefficient Planet (m^2/yr)]])</f>
        <v>721025.35548287153</v>
      </c>
      <c r="M28">
        <f>LOG(DatabaseTable33[[#This Row],[Vegetated Area Model (m^2)]])</f>
        <v>5.8579505373306304</v>
      </c>
      <c r="N28" t="s">
        <v>23</v>
      </c>
    </row>
    <row r="29" spans="1:14" x14ac:dyDescent="0.2">
      <c r="A29" t="s">
        <v>17</v>
      </c>
      <c r="B29">
        <v>195762</v>
      </c>
      <c r="C29">
        <v>219211</v>
      </c>
      <c r="D29">
        <f>DatabaseTable33[[#This Row],[Vegetated Area from GEP (m^2)]]/DatabaseTable33[[#This Row],[Total island area (m^2)]]</f>
        <v>0.893030003056416</v>
      </c>
      <c r="E29">
        <f>LOG10(DatabaseTable33[[#This Row],[Vegetated Area from GEP (m^2)]])</f>
        <v>5.2917283933304864</v>
      </c>
      <c r="F29" s="1">
        <v>153199</v>
      </c>
      <c r="G29">
        <v>0.98009154376289986</v>
      </c>
      <c r="H29">
        <f>(DatabaseTable33[[#This Row],[Red Mangrove Area (m^2)]]*G29)/(2*3.14*(72-35))</f>
        <v>646.19144608767647</v>
      </c>
      <c r="I29">
        <f>DatabaseTable33[[#This Row],[Dispersion Coefficient Planet (m^2/yr)]]/365</f>
        <v>1.7703875235278808</v>
      </c>
      <c r="J29">
        <v>100</v>
      </c>
      <c r="K29">
        <v>60</v>
      </c>
      <c r="L29">
        <f>(3.1415*(DatabaseTable33[[#This Row],[Sc]]-DatabaseTable33[[#This Row],[So]])/(DatabaseTable33[[#This Row],[Enet (m/yr)]]))*(2*DatabaseTable33[[#This Row],[Dispersion Coefficient Planet (m^2/yr)]])</f>
        <v>165699.65863315549</v>
      </c>
      <c r="M29">
        <f>LOG(DatabaseTable33[[#This Row],[Vegetated Area Model (m^2)]])</f>
        <v>5.2193216137066658</v>
      </c>
      <c r="N29" t="s">
        <v>23</v>
      </c>
    </row>
    <row r="30" spans="1:14" x14ac:dyDescent="0.2">
      <c r="A30" t="s">
        <v>17</v>
      </c>
      <c r="B30">
        <v>62553</v>
      </c>
      <c r="C30">
        <v>83055</v>
      </c>
      <c r="D30">
        <f>DatabaseTable33[[#This Row],[Vegetated Area from GEP (m^2)]]/DatabaseTable33[[#This Row],[Total island area (m^2)]]</f>
        <v>0.75315152609716451</v>
      </c>
      <c r="E30">
        <f>LOG10(DatabaseTable33[[#This Row],[Vegetated Area from GEP (m^2)]])</f>
        <v>4.7962481430015007</v>
      </c>
      <c r="F30" s="1">
        <v>36423</v>
      </c>
      <c r="G30">
        <v>0.98009154376289986</v>
      </c>
      <c r="H30">
        <f>(DatabaseTable33[[#This Row],[Red Mangrove Area (m^2)]]*G30)/(2*3.14*(72-35))</f>
        <v>153.6317537376317</v>
      </c>
      <c r="I30">
        <f>DatabaseTable33[[#This Row],[Dispersion Coefficient Planet (m^2/yr)]]/365</f>
        <v>0.42090891434967587</v>
      </c>
      <c r="J30">
        <v>100</v>
      </c>
      <c r="K30">
        <v>60</v>
      </c>
      <c r="L30">
        <f>(3.1415*(DatabaseTable33[[#This Row],[Sc]]-DatabaseTable33[[#This Row],[So]])/(DatabaseTable33[[#This Row],[Enet (m/yr)]]))*(2*DatabaseTable33[[#This Row],[Dispersion Coefficient Planet (m^2/yr)]])</f>
        <v>39395.026510587028</v>
      </c>
      <c r="M30">
        <f>LOG(DatabaseTable33[[#This Row],[Vegetated Area Model (m^2)]])</f>
        <v>4.5954413970706023</v>
      </c>
      <c r="N30" t="s">
        <v>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4912-0C6D-F84A-A75A-127D4E8E8737}">
  <dimension ref="A1:N30"/>
  <sheetViews>
    <sheetView workbookViewId="0">
      <selection activeCell="A10" sqref="A10"/>
    </sheetView>
  </sheetViews>
  <sheetFormatPr baseColWidth="10" defaultRowHeight="16" x14ac:dyDescent="0.2"/>
  <cols>
    <col min="1" max="1" width="22.6640625" customWidth="1"/>
    <col min="2" max="4" width="26.6640625" customWidth="1"/>
    <col min="5" max="5" width="12.1640625" bestFit="1" customWidth="1"/>
    <col min="6" max="6" width="22.5" customWidth="1"/>
    <col min="7" max="7" width="12.1640625" bestFit="1" customWidth="1"/>
    <col min="8" max="9" width="26" customWidth="1"/>
    <col min="10" max="10" width="6.83203125" customWidth="1"/>
    <col min="11" max="11" width="8" customWidth="1"/>
    <col min="12" max="12" width="24.5" customWidth="1"/>
    <col min="13" max="13" width="22.83203125" customWidth="1"/>
    <col min="14" max="14" width="13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8487</v>
      </c>
      <c r="C2">
        <v>13661</v>
      </c>
      <c r="D2">
        <f>DatabaseTable34[[#This Row],[Vegetated Area from GEP (m^2)]]/DatabaseTable34[[#This Row],[Total island area (m^2)]]</f>
        <v>0.62125759461240027</v>
      </c>
      <c r="E2">
        <f>LOG10(DatabaseTable34[[#This Row],[Vegetated Area from GEP (m^2)]])</f>
        <v>3.9287542021766533</v>
      </c>
      <c r="F2" s="1">
        <v>5454</v>
      </c>
      <c r="G2">
        <v>1.15253728592589</v>
      </c>
      <c r="H2">
        <f>(DatabaseTable34[[#This Row],[Red Mangrove Area (m^2)]]*G2)/(2*3.14*(72-35))</f>
        <v>27.052583738336221</v>
      </c>
      <c r="I2">
        <f>DatabaseTable34[[#This Row],[Dispersion Coefficient Planet (m^2/yr)]]/365</f>
        <v>7.411666777626362E-2</v>
      </c>
      <c r="J2">
        <v>100</v>
      </c>
      <c r="K2">
        <v>10</v>
      </c>
      <c r="L2">
        <f>(3.1415*(DatabaseTable34[[#This Row],[Sc]]-DatabaseTable34[[#This Row],[So]])/(DatabaseTable34[[#This Row],[Enet (m/yr)]]))*(2*DatabaseTable34[[#This Row],[Dispersion Coefficient Planet (m^2/yr)]])</f>
        <v>13272.823980030988</v>
      </c>
      <c r="M2">
        <f>LOG(DatabaseTable34[[#This Row],[Vegetated Area Model (m^2)]])</f>
        <v>4.1229633349566841</v>
      </c>
    </row>
    <row r="3" spans="1:14" x14ac:dyDescent="0.2">
      <c r="A3" t="s">
        <v>14</v>
      </c>
      <c r="B3">
        <v>7174</v>
      </c>
      <c r="C3">
        <v>9045</v>
      </c>
      <c r="D3">
        <f>DatabaseTable34[[#This Row],[Vegetated Area from GEP (m^2)]]/DatabaseTable34[[#This Row],[Total island area (m^2)]]</f>
        <v>0.79314538419016034</v>
      </c>
      <c r="E3">
        <f>LOG10(DatabaseTable34[[#This Row],[Vegetated Area from GEP (m^2)]])</f>
        <v>3.855761372339948</v>
      </c>
      <c r="F3" s="1">
        <v>4473</v>
      </c>
      <c r="G3">
        <v>1.1525372859258889</v>
      </c>
      <c r="H3">
        <f>(DatabaseTable34[[#This Row],[Red Mangrove Area (m^2)]]*G3)/(2*3.14*(72-35))</f>
        <v>22.186689963618957</v>
      </c>
      <c r="I3">
        <f>DatabaseTable34[[#This Row],[Dispersion Coefficient Planet (m^2/yr)]]/365</f>
        <v>6.0785451955120431E-2</v>
      </c>
      <c r="J3">
        <v>100</v>
      </c>
      <c r="K3">
        <v>10</v>
      </c>
      <c r="L3">
        <f>(3.1415*(DatabaseTable34[[#This Row],[Sc]]-DatabaseTable34[[#This Row],[So]])/(DatabaseTable34[[#This Row],[Enet (m/yr)]]))*(2*DatabaseTable34[[#This Row],[Dispersion Coefficient Planet (m^2/yr)]])</f>
        <v>10885.467851609572</v>
      </c>
      <c r="M3">
        <f>LOG(DatabaseTable34[[#This Row],[Vegetated Area Model (m^2)]])</f>
        <v>4.0368470995237304</v>
      </c>
    </row>
    <row r="4" spans="1:14" x14ac:dyDescent="0.2">
      <c r="A4" t="s">
        <v>14</v>
      </c>
      <c r="B4">
        <v>17014</v>
      </c>
      <c r="C4">
        <v>20878</v>
      </c>
      <c r="D4">
        <f>DatabaseTable34[[#This Row],[Vegetated Area from GEP (m^2)]]/DatabaseTable34[[#This Row],[Total island area (m^2)]]</f>
        <v>0.81492480122617106</v>
      </c>
      <c r="E4">
        <f>LOG10(DatabaseTable34[[#This Row],[Vegetated Area from GEP (m^2)]])</f>
        <v>4.2308064284688829</v>
      </c>
      <c r="F4" s="2">
        <v>15090</v>
      </c>
      <c r="G4">
        <v>1.1525372859258889</v>
      </c>
      <c r="H4">
        <f>(DatabaseTable34[[#This Row],[Red Mangrove Area (m^2)]]*G4)/(2*3.14*(72-35))</f>
        <v>74.848457757882869</v>
      </c>
      <c r="I4">
        <f>DatabaseTable34[[#This Row],[Dispersion Coefficient Planet (m^2/yr)]]/365</f>
        <v>0.20506426782981607</v>
      </c>
      <c r="J4">
        <v>100</v>
      </c>
      <c r="K4">
        <v>10</v>
      </c>
      <c r="L4">
        <f>(3.1415*(DatabaseTable34[[#This Row],[Sc]]-DatabaseTable34[[#This Row],[So]])/(DatabaseTable34[[#This Row],[Enet (m/yr)]]))*(2*DatabaseTable34[[#This Row],[Dispersion Coefficient Planet (m^2/yr)]])</f>
        <v>36722.939834739198</v>
      </c>
      <c r="M4">
        <f>LOG(DatabaseTable34[[#This Row],[Vegetated Area Model (m^2)]])</f>
        <v>4.5649374411266628</v>
      </c>
    </row>
    <row r="5" spans="1:14" x14ac:dyDescent="0.2">
      <c r="A5" t="s">
        <v>14</v>
      </c>
      <c r="B5">
        <v>23700</v>
      </c>
      <c r="C5">
        <v>32807</v>
      </c>
      <c r="D5">
        <f>DatabaseTable34[[#This Row],[Vegetated Area from GEP (m^2)]]/DatabaseTable34[[#This Row],[Total island area (m^2)]]</f>
        <v>0.72240680342609809</v>
      </c>
      <c r="E5">
        <f>LOG10(DatabaseTable34[[#This Row],[Vegetated Area from GEP (m^2)]])</f>
        <v>4.3747483460101035</v>
      </c>
      <c r="F5" s="2">
        <v>10857</v>
      </c>
      <c r="G5">
        <v>1.1525372859258889</v>
      </c>
      <c r="H5">
        <f>(DatabaseTable34[[#This Row],[Red Mangrove Area (m^2)]]*G5)/(2*3.14*(72-35))</f>
        <v>53.85220052202348</v>
      </c>
      <c r="I5">
        <f>DatabaseTable34[[#This Row],[Dispersion Coefficient Planet (m^2/yr)]]/365</f>
        <v>0.14754027540280407</v>
      </c>
      <c r="J5">
        <v>100</v>
      </c>
      <c r="K5">
        <v>10</v>
      </c>
      <c r="L5">
        <f>(3.1415*(DatabaseTable34[[#This Row],[Sc]]-DatabaseTable34[[#This Row],[So]])/(DatabaseTable34[[#This Row],[Enet (m/yr)]]))*(2*DatabaseTable34[[#This Row],[Dispersion Coefficient Planet (m^2/yr)]])</f>
        <v>26421.534644517131</v>
      </c>
      <c r="M5">
        <f>LOG(DatabaseTable34[[#This Row],[Vegetated Area Model (m^2)]])</f>
        <v>4.4219580391789348</v>
      </c>
    </row>
    <row r="6" spans="1:14" x14ac:dyDescent="0.2">
      <c r="A6" t="s">
        <v>14</v>
      </c>
      <c r="B6">
        <v>67701</v>
      </c>
      <c r="C6">
        <v>87153</v>
      </c>
      <c r="D6">
        <f>DatabaseTable34[[#This Row],[Vegetated Area from GEP (m^2)]]/DatabaseTable34[[#This Row],[Total island area (m^2)]]</f>
        <v>0.77680630615125124</v>
      </c>
      <c r="E6">
        <f>LOG10(DatabaseTable34[[#This Row],[Vegetated Area from GEP (m^2)]])</f>
        <v>4.830595083622728</v>
      </c>
      <c r="F6" s="1">
        <v>47205</v>
      </c>
      <c r="G6">
        <v>1.1525372859258889</v>
      </c>
      <c r="H6">
        <f>(DatabaseTable34[[#This Row],[Red Mangrove Area (m^2)]]*G6)/(2*3.14*(72-35))</f>
        <v>234.14323714121011</v>
      </c>
      <c r="I6">
        <f>DatabaseTable34[[#This Row],[Dispersion Coefficient Planet (m^2/yr)]]/365</f>
        <v>0.64148832093482222</v>
      </c>
      <c r="J6">
        <v>100</v>
      </c>
      <c r="K6">
        <v>10</v>
      </c>
      <c r="L6">
        <f>(3.1415*(DatabaseTable34[[#This Row],[Sc]]-DatabaseTable34[[#This Row],[So]])/(DatabaseTable34[[#This Row],[Enet (m/yr)]]))*(2*DatabaseTable34[[#This Row],[Dispersion Coefficient Planet (m^2/yr)]])</f>
        <v>114877.82471165432</v>
      </c>
      <c r="M6">
        <f>LOG(DatabaseTable34[[#This Row],[Vegetated Area Model (m^2)]])</f>
        <v>5.0602362033199748</v>
      </c>
    </row>
    <row r="7" spans="1:14" x14ac:dyDescent="0.2">
      <c r="A7" t="s">
        <v>14</v>
      </c>
      <c r="B7">
        <v>85012</v>
      </c>
      <c r="C7">
        <v>86429</v>
      </c>
      <c r="D7">
        <f>DatabaseTable34[[#This Row],[Vegetated Area from GEP (m^2)]]/DatabaseTable34[[#This Row],[Total island area (m^2)]]</f>
        <v>0.98360503997500837</v>
      </c>
      <c r="E7">
        <f>LOG10(DatabaseTable34[[#This Row],[Vegetated Area from GEP (m^2)]])</f>
        <v>4.9294802335489338</v>
      </c>
      <c r="F7" s="1">
        <v>72216</v>
      </c>
      <c r="G7">
        <v>1.1525372859258889</v>
      </c>
      <c r="H7">
        <f>(DatabaseTable34[[#This Row],[Red Mangrove Area (m^2)]]*G7)/(2*3.14*(72-35))</f>
        <v>358.20120778285417</v>
      </c>
      <c r="I7">
        <f>DatabaseTable34[[#This Row],[Dispersion Coefficient Planet (m^2/yr)]]/365</f>
        <v>0.98137317200781959</v>
      </c>
      <c r="J7">
        <v>100</v>
      </c>
      <c r="K7">
        <v>10</v>
      </c>
      <c r="L7">
        <f>(3.1415*(DatabaseTable34[[#This Row],[Sc]]-DatabaseTable34[[#This Row],[So]])/(DatabaseTable34[[#This Row],[Enet (m/yr)]]))*(2*DatabaseTable34[[#This Row],[Dispersion Coefficient Planet (m^2/yr)]])</f>
        <v>175744.45481149942</v>
      </c>
      <c r="M7">
        <f>LOG(DatabaseTable34[[#This Row],[Vegetated Area Model (m^2)]])</f>
        <v>5.2448816308027597</v>
      </c>
    </row>
    <row r="8" spans="1:14" x14ac:dyDescent="0.2">
      <c r="A8" t="s">
        <v>15</v>
      </c>
      <c r="B8">
        <v>2979571</v>
      </c>
      <c r="C8">
        <v>3405557</v>
      </c>
      <c r="D8">
        <f>DatabaseTable34[[#This Row],[Vegetated Area from GEP (m^2)]]/DatabaseTable34[[#This Row],[Total island area (m^2)]]</f>
        <v>0.87491444130871987</v>
      </c>
      <c r="E8">
        <f>LOG10(DatabaseTable34[[#This Row],[Vegetated Area from GEP (m^2)]])</f>
        <v>6.4741537386585506</v>
      </c>
      <c r="F8" s="1">
        <v>2529542</v>
      </c>
      <c r="G8">
        <v>0.31887381192570502</v>
      </c>
      <c r="H8">
        <f>(DatabaseTable34[[#This Row],[Red Mangrove Area (m^2)]]*G8)/(2*3.14*(72-35))</f>
        <v>3471.3578067058515</v>
      </c>
      <c r="I8">
        <f>DatabaseTable34[[#This Row],[Dispersion Coefficient Planet (m^2/yr)]]/365</f>
        <v>9.5105693334406887</v>
      </c>
      <c r="J8">
        <v>100</v>
      </c>
      <c r="K8">
        <v>10</v>
      </c>
      <c r="L8">
        <f>(3.1415*(DatabaseTable34[[#This Row],[Sc]]-DatabaseTable34[[#This Row],[So]])/(DatabaseTable34[[#This Row],[Enet (m/yr)]]))*(2*DatabaseTable34[[#This Row],[Dispersion Coefficient Planet (m^2/yr)]])</f>
        <v>6155879.3025477706</v>
      </c>
      <c r="M8">
        <f>LOG(DatabaseTable34[[#This Row],[Vegetated Area Model (m^2)]])</f>
        <v>6.7892900960926186</v>
      </c>
    </row>
    <row r="9" spans="1:14" x14ac:dyDescent="0.2">
      <c r="A9" t="s">
        <v>16</v>
      </c>
      <c r="B9">
        <v>1197621</v>
      </c>
      <c r="C9">
        <v>1299823</v>
      </c>
      <c r="D9">
        <f>DatabaseTable34[[#This Row],[Vegetated Area from GEP (m^2)]]/DatabaseTable34[[#This Row],[Total island area (m^2)]]</f>
        <v>0.9213723714690385</v>
      </c>
      <c r="E9">
        <f>LOG10(DatabaseTable34[[#This Row],[Vegetated Area from GEP (m^2)]])</f>
        <v>6.0783194026524301</v>
      </c>
      <c r="F9" s="1">
        <v>828207</v>
      </c>
      <c r="G9">
        <v>0.92038931379905498</v>
      </c>
      <c r="H9">
        <f>(DatabaseTable34[[#This Row],[Red Mangrove Area (m^2)]]*G9)/(2*3.14*(72-35))</f>
        <v>3280.5683956514627</v>
      </c>
      <c r="I9">
        <f>DatabaseTable34[[#This Row],[Dispersion Coefficient Planet (m^2/yr)]]/365</f>
        <v>8.9878586182231857</v>
      </c>
      <c r="J9">
        <v>100</v>
      </c>
      <c r="K9">
        <v>10</v>
      </c>
      <c r="L9">
        <f>(3.1415*(DatabaseTable34[[#This Row],[Sc]]-DatabaseTable34[[#This Row],[So]])/(DatabaseTable34[[#This Row],[Enet (m/yr)]]))*(2*DatabaseTable34[[#This Row],[Dispersion Coefficient Planet (m^2/yr)]])</f>
        <v>2015519.9358323289</v>
      </c>
      <c r="M9">
        <f>LOG(DatabaseTable34[[#This Row],[Vegetated Area Model (m^2)]])</f>
        <v>6.3043870981869876</v>
      </c>
    </row>
    <row r="10" spans="1:14" x14ac:dyDescent="0.2">
      <c r="A10" t="s">
        <v>17</v>
      </c>
      <c r="B10">
        <v>295857</v>
      </c>
      <c r="C10">
        <v>321709</v>
      </c>
      <c r="D10">
        <f>DatabaseTable34[[#This Row],[Vegetated Area from GEP (m^2)]]/DatabaseTable34[[#This Row],[Total island area (m^2)]]</f>
        <v>0.91964166373959078</v>
      </c>
      <c r="E10">
        <f>LOG10(DatabaseTable34[[#This Row],[Vegetated Area from GEP (m^2)]])</f>
        <v>5.4710818491763531</v>
      </c>
      <c r="F10" s="1">
        <v>113157</v>
      </c>
      <c r="G10">
        <v>0.98009154376289997</v>
      </c>
      <c r="H10">
        <f>(DatabaseTable34[[#This Row],[Red Mangrove Area (m^2)]]*G10)/(2*3.14*(72-35))</f>
        <v>477.29479608184914</v>
      </c>
      <c r="I10">
        <f>DatabaseTable34[[#This Row],[Dispersion Coefficient Planet (m^2/yr)]]/365</f>
        <v>1.30765697556671</v>
      </c>
      <c r="J10">
        <v>100</v>
      </c>
      <c r="K10">
        <v>10</v>
      </c>
      <c r="L10">
        <f>(3.1415*(DatabaseTable34[[#This Row],[Sc]]-DatabaseTable34[[#This Row],[So]])/(DatabaseTable34[[#This Row],[Enet (m/yr)]]))*(2*DatabaseTable34[[#This Row],[Dispersion Coefficient Planet (m^2/yr)]])</f>
        <v>275378.24406093993</v>
      </c>
      <c r="M10">
        <f>LOG(DatabaseTable34[[#This Row],[Vegetated Area Model (m^2)]])</f>
        <v>5.439929626343905</v>
      </c>
      <c r="N10" s="3" t="s">
        <v>18</v>
      </c>
    </row>
    <row r="11" spans="1:14" x14ac:dyDescent="0.2">
      <c r="A11" t="s">
        <v>17</v>
      </c>
      <c r="B11">
        <v>29122</v>
      </c>
      <c r="C11">
        <v>51434</v>
      </c>
      <c r="D11">
        <f>DatabaseTable34[[#This Row],[Vegetated Area from GEP (m^2)]]/DatabaseTable34[[#This Row],[Total island area (m^2)]]</f>
        <v>0.56620134541353973</v>
      </c>
      <c r="E11">
        <f>LOG10(DatabaseTable34[[#This Row],[Vegetated Area from GEP (m^2)]])</f>
        <v>4.4642211975344495</v>
      </c>
      <c r="F11" s="1">
        <v>4104</v>
      </c>
      <c r="G11">
        <v>0.98009154376289986</v>
      </c>
      <c r="H11">
        <f>(DatabaseTable34[[#This Row],[Red Mangrove Area (m^2)]]*G11)/(2*3.14*(72-35))</f>
        <v>17.310620139451458</v>
      </c>
      <c r="I11">
        <f>DatabaseTable34[[#This Row],[Dispersion Coefficient Planet (m^2/yr)]]/365</f>
        <v>4.7426356546442353E-2</v>
      </c>
      <c r="J11">
        <v>100</v>
      </c>
      <c r="K11">
        <v>10</v>
      </c>
      <c r="L11">
        <f>(3.1415*(DatabaseTable34[[#This Row],[Sc]]-DatabaseTable34[[#This Row],[So]])/(DatabaseTable34[[#This Row],[Enet (m/yr)]]))*(2*DatabaseTable34[[#This Row],[Dispersion Coefficient Planet (m^2/yr)]])</f>
        <v>9987.471509726287</v>
      </c>
      <c r="M11">
        <f>LOG(DatabaseTable34[[#This Row],[Vegetated Area Model (m^2)]])</f>
        <v>3.9994555534548328</v>
      </c>
      <c r="N11" t="s">
        <v>18</v>
      </c>
    </row>
    <row r="12" spans="1:14" x14ac:dyDescent="0.2">
      <c r="A12" t="s">
        <v>17</v>
      </c>
      <c r="B12">
        <v>241064</v>
      </c>
      <c r="C12">
        <v>387736</v>
      </c>
      <c r="D12">
        <f>DatabaseTable34[[#This Row],[Vegetated Area from GEP (m^2)]]/DatabaseTable34[[#This Row],[Total island area (m^2)]]</f>
        <v>0.62172199640992842</v>
      </c>
      <c r="E12">
        <f>LOG10(DatabaseTable34[[#This Row],[Vegetated Area from GEP (m^2)]])</f>
        <v>5.3821323585785734</v>
      </c>
      <c r="F12" s="1">
        <v>54675</v>
      </c>
      <c r="G12">
        <v>0.98009154376289986</v>
      </c>
      <c r="H12">
        <f>(DatabaseTable34[[#This Row],[Red Mangrove Area (m^2)]]*G12)/(2*3.14*(72-35))</f>
        <v>230.61845909466581</v>
      </c>
      <c r="I12">
        <f>DatabaseTable34[[#This Row],[Dispersion Coefficient Planet (m^2/yr)]]/365</f>
        <v>0.63183139477990635</v>
      </c>
      <c r="J12">
        <v>100</v>
      </c>
      <c r="K12">
        <v>10</v>
      </c>
      <c r="L12">
        <f>(3.1415*(DatabaseTable34[[#This Row],[Sc]]-DatabaseTable34[[#This Row],[So]])/(DatabaseTable34[[#This Row],[Enet (m/yr)]]))*(2*DatabaseTable34[[#This Row],[Dispersion Coefficient Planet (m^2/yr)]])</f>
        <v>133056.77504734034</v>
      </c>
      <c r="M12">
        <f>LOG(DatabaseTable34[[#This Row],[Vegetated Area Model (m^2)]])</f>
        <v>5.1240369930607477</v>
      </c>
      <c r="N12" t="s">
        <v>18</v>
      </c>
    </row>
    <row r="13" spans="1:14" x14ac:dyDescent="0.2">
      <c r="A13" t="s">
        <v>17</v>
      </c>
      <c r="B13">
        <v>112319</v>
      </c>
      <c r="C13">
        <v>140474</v>
      </c>
      <c r="D13">
        <f>DatabaseTable34[[#This Row],[Vegetated Area from GEP (m^2)]]/DatabaseTable34[[#This Row],[Total island area (m^2)]]</f>
        <v>0.79957145094465876</v>
      </c>
      <c r="E13">
        <f>LOG10(DatabaseTable34[[#This Row],[Vegetated Area from GEP (m^2)]])</f>
        <v>5.0504532281865915</v>
      </c>
      <c r="F13" s="1">
        <v>59490</v>
      </c>
      <c r="G13">
        <v>0.98009154376289986</v>
      </c>
      <c r="H13">
        <f>(DatabaseTable34[[#This Row],[Red Mangrove Area (m^2)]]*G13)/(2*3.14*(72-35))</f>
        <v>250.92806824950469</v>
      </c>
      <c r="I13">
        <f>DatabaseTable34[[#This Row],[Dispersion Coefficient Planet (m^2/yr)]]/365</f>
        <v>0.6874741595876841</v>
      </c>
      <c r="J13">
        <v>100</v>
      </c>
      <c r="K13">
        <v>10</v>
      </c>
      <c r="L13">
        <f>(3.1415*(DatabaseTable34[[#This Row],[Sc]]-DatabaseTable34[[#This Row],[So]])/(DatabaseTable34[[#This Row],[Enet (m/yr)]]))*(2*DatabaseTable34[[#This Row],[Dispersion Coefficient Planet (m^2/yr)]])</f>
        <v>144774.5321914271</v>
      </c>
      <c r="M13">
        <f>LOG(DatabaseTable34[[#This Row],[Vegetated Area Model (m^2)]])</f>
        <v>5.1606921702760378</v>
      </c>
      <c r="N13" t="s">
        <v>19</v>
      </c>
    </row>
    <row r="14" spans="1:14" x14ac:dyDescent="0.2">
      <c r="A14" t="s">
        <v>17</v>
      </c>
      <c r="B14">
        <v>77645</v>
      </c>
      <c r="C14">
        <v>135257</v>
      </c>
      <c r="D14">
        <f>DatabaseTable34[[#This Row],[Vegetated Area from GEP (m^2)]]/DatabaseTable34[[#This Row],[Total island area (m^2)]]</f>
        <v>0.57405531691520584</v>
      </c>
      <c r="E14">
        <f>LOG10(DatabaseTable34[[#This Row],[Vegetated Area from GEP (m^2)]])</f>
        <v>4.890113494290917</v>
      </c>
      <c r="F14" s="1">
        <v>34968</v>
      </c>
      <c r="G14">
        <v>0.98009154376289986</v>
      </c>
      <c r="H14">
        <f>(DatabaseTable34[[#This Row],[Red Mangrove Area (m^2)]]*G14)/(2*3.14*(72-35))</f>
        <v>147.49458212386418</v>
      </c>
      <c r="I14">
        <f>DatabaseTable34[[#This Row],[Dispersion Coefficient Planet (m^2/yr)]]/365</f>
        <v>0.40409474554483338</v>
      </c>
      <c r="J14">
        <v>100</v>
      </c>
      <c r="K14">
        <v>10</v>
      </c>
      <c r="L14">
        <f>(3.1415*(DatabaseTable34[[#This Row],[Sc]]-DatabaseTable34[[#This Row],[So]])/(DatabaseTable34[[#This Row],[Enet (m/yr)]]))*(2*DatabaseTable34[[#This Row],[Dispersion Coefficient Planet (m^2/yr)]])</f>
        <v>85097.929764159067</v>
      </c>
      <c r="M14">
        <f>LOG(DatabaseTable34[[#This Row],[Vegetated Area Model (m^2)]])</f>
        <v>4.9299189948326694</v>
      </c>
      <c r="N14" t="s">
        <v>18</v>
      </c>
    </row>
    <row r="15" spans="1:14" x14ac:dyDescent="0.2">
      <c r="A15" t="s">
        <v>17</v>
      </c>
      <c r="B15">
        <v>35737</v>
      </c>
      <c r="C15">
        <v>37028</v>
      </c>
      <c r="D15">
        <f>DatabaseTable34[[#This Row],[Vegetated Area from GEP (m^2)]]/DatabaseTable34[[#This Row],[Total island area (m^2)]]</f>
        <v>0.96513449281624719</v>
      </c>
      <c r="E15">
        <f>LOG10(DatabaseTable34[[#This Row],[Vegetated Area from GEP (m^2)]])</f>
        <v>4.5531180921503056</v>
      </c>
      <c r="F15" s="1">
        <v>23301</v>
      </c>
      <c r="G15">
        <v>0.98009154376289986</v>
      </c>
      <c r="H15">
        <f>(DatabaseTable34[[#This Row],[Red Mangrove Area (m^2)]]*G15)/(2*3.14*(72-35))</f>
        <v>98.283323554911902</v>
      </c>
      <c r="I15">
        <f>DatabaseTable34[[#This Row],[Dispersion Coefficient Planet (m^2/yr)]]/365</f>
        <v>0.26926937960249836</v>
      </c>
      <c r="J15">
        <v>100</v>
      </c>
      <c r="K15">
        <v>10</v>
      </c>
      <c r="L15">
        <f>(3.1415*(DatabaseTable34[[#This Row],[Sc]]-DatabaseTable34[[#This Row],[So]])/(DatabaseTable34[[#This Row],[Enet (m/yr)]]))*(2*DatabaseTable34[[#This Row],[Dispersion Coefficient Planet (m^2/yr)]])</f>
        <v>56705.183637459122</v>
      </c>
      <c r="M15">
        <f>LOG(DatabaseTable34[[#This Row],[Vegetated Area Model (m^2)]])</f>
        <v>4.7536227612252704</v>
      </c>
      <c r="N15" t="s">
        <v>18</v>
      </c>
    </row>
    <row r="16" spans="1:14" x14ac:dyDescent="0.2">
      <c r="A16" t="s">
        <v>20</v>
      </c>
      <c r="B16">
        <v>579468</v>
      </c>
      <c r="C16">
        <v>617999</v>
      </c>
      <c r="D16">
        <f>DatabaseTable34[[#This Row],[Vegetated Area from GEP (m^2)]]/DatabaseTable34[[#This Row],[Total island area (m^2)]]</f>
        <v>0.93765200267314353</v>
      </c>
      <c r="E16">
        <f>LOG10(DatabaseTable34[[#This Row],[Vegetated Area from GEP (m^2)]])</f>
        <v>5.7630294578886687</v>
      </c>
      <c r="F16" s="2">
        <v>278697</v>
      </c>
      <c r="G16">
        <v>0.86335287540379702</v>
      </c>
      <c r="H16">
        <f>(DatabaseTable34[[#This Row],[Red Mangrove Area (m^2)]]*G16)/(2*3.14*(72-35))</f>
        <v>1035.5218467740231</v>
      </c>
      <c r="I16">
        <f>DatabaseTable34[[#This Row],[Dispersion Coefficient Planet (m^2/yr)]]/365</f>
        <v>2.8370461555452686</v>
      </c>
      <c r="J16">
        <v>100</v>
      </c>
      <c r="K16">
        <v>10</v>
      </c>
      <c r="L16">
        <f>(3.1415*(DatabaseTable34[[#This Row],[Sc]]-DatabaseTable34[[#This Row],[So]])/(DatabaseTable34[[#This Row],[Enet (m/yr)]]))*(2*DatabaseTable34[[#This Row],[Dispersion Coefficient Planet (m^2/yr)]])</f>
        <v>678235.46475296956</v>
      </c>
      <c r="M16">
        <f>LOG(DatabaseTable34[[#This Row],[Vegetated Area Model (m^2)]])</f>
        <v>5.8313804951793466</v>
      </c>
    </row>
    <row r="17" spans="1:14" x14ac:dyDescent="0.2">
      <c r="A17" t="s">
        <v>21</v>
      </c>
      <c r="B17">
        <v>161227</v>
      </c>
      <c r="C17">
        <v>177239</v>
      </c>
      <c r="D17">
        <f>DatabaseTable34[[#This Row],[Vegetated Area from GEP (m^2)]]/DatabaseTable34[[#This Row],[Total island area (m^2)]]</f>
        <v>0.90965870942625493</v>
      </c>
      <c r="E17">
        <f>LOG10(DatabaseTable34[[#This Row],[Vegetated Area from GEP (m^2)]])</f>
        <v>5.2074377730094499</v>
      </c>
      <c r="F17" s="2">
        <v>76879</v>
      </c>
      <c r="G17">
        <v>0.71682219806846503</v>
      </c>
      <c r="H17">
        <f>(DatabaseTable34[[#This Row],[Red Mangrove Area (m^2)]]*G17)/(2*3.14*(72-35))</f>
        <v>237.168935123539</v>
      </c>
      <c r="I17">
        <f>DatabaseTable34[[#This Row],[Dispersion Coefficient Planet (m^2/yr)]]/365</f>
        <v>0.64977790444805206</v>
      </c>
      <c r="J17">
        <v>100</v>
      </c>
      <c r="K17">
        <v>10</v>
      </c>
      <c r="L17">
        <f>(3.1415*(DatabaseTable34[[#This Row],[Sc]]-DatabaseTable34[[#This Row],[So]])/(DatabaseTable34[[#This Row],[Enet (m/yr)]]))*(2*DatabaseTable34[[#This Row],[Dispersion Coefficient Planet (m^2/yr)]])</f>
        <v>187092.30560337409</v>
      </c>
      <c r="M17">
        <f>LOG(DatabaseTable34[[#This Row],[Vegetated Area Model (m^2)]])</f>
        <v>5.2720559269831222</v>
      </c>
    </row>
    <row r="18" spans="1:14" x14ac:dyDescent="0.2">
      <c r="A18" t="s">
        <v>21</v>
      </c>
      <c r="B18">
        <v>366635</v>
      </c>
      <c r="C18">
        <v>421560</v>
      </c>
      <c r="D18">
        <f>DatabaseTable34[[#This Row],[Vegetated Area from GEP (m^2)]]/DatabaseTable34[[#This Row],[Total island area (m^2)]]</f>
        <v>0.86971012430021821</v>
      </c>
      <c r="E18">
        <f>LOG10(DatabaseTable34[[#This Row],[Vegetated Area from GEP (m^2)]])</f>
        <v>5.5642339215681282</v>
      </c>
      <c r="F18" s="2">
        <v>190847</v>
      </c>
      <c r="G18">
        <v>0.71682219806846503</v>
      </c>
      <c r="H18">
        <f>(DatabaseTable34[[#This Row],[Red Mangrove Area (m^2)]]*G18)/(2*3.14*(72-35))</f>
        <v>588.7560941417297</v>
      </c>
      <c r="I18">
        <f>DatabaseTable34[[#This Row],[Dispersion Coefficient Planet (m^2/yr)]]/365</f>
        <v>1.6130303949088485</v>
      </c>
      <c r="J18">
        <v>100</v>
      </c>
      <c r="K18">
        <v>10</v>
      </c>
      <c r="L18">
        <f>(3.1415*(DatabaseTable34[[#This Row],[Sc]]-DatabaseTable34[[#This Row],[So]])/(DatabaseTable34[[#This Row],[Enet (m/yr)]]))*(2*DatabaseTable34[[#This Row],[Dispersion Coefficient Planet (m^2/yr)]])</f>
        <v>464444.19474091916</v>
      </c>
      <c r="M18">
        <f>LOG(DatabaseTable34[[#This Row],[Vegetated Area Model (m^2)]])</f>
        <v>5.6669335388419233</v>
      </c>
    </row>
    <row r="19" spans="1:14" x14ac:dyDescent="0.2">
      <c r="A19" t="s">
        <v>22</v>
      </c>
      <c r="B19">
        <v>1293025</v>
      </c>
      <c r="C19">
        <v>2058331</v>
      </c>
      <c r="D19">
        <f>DatabaseTable34[[#This Row],[Vegetated Area from GEP (m^2)]]/DatabaseTable34[[#This Row],[Total island area (m^2)]]</f>
        <v>0.62819099552015689</v>
      </c>
      <c r="E19">
        <f>LOG10(DatabaseTable34[[#This Row],[Vegetated Area from GEP (m^2)]])</f>
        <v>6.1116069218309637</v>
      </c>
      <c r="F19" s="2">
        <v>1072976</v>
      </c>
      <c r="G19">
        <v>1.0291596190535</v>
      </c>
      <c r="H19">
        <f>(DatabaseTable34[[#This Row],[Red Mangrove Area (m^2)]]*G19)/(2*3.14*(72-35))</f>
        <v>4752.3823868718719</v>
      </c>
      <c r="I19">
        <f>DatabaseTable34[[#This Row],[Dispersion Coefficient Planet (m^2/yr)]]/365</f>
        <v>13.020225717457183</v>
      </c>
      <c r="J19">
        <v>100</v>
      </c>
      <c r="K19">
        <v>10</v>
      </c>
      <c r="L19">
        <f>(3.1415*(DatabaseTable34[[#This Row],[Sc]]-DatabaseTable34[[#This Row],[So]])/(DatabaseTable34[[#This Row],[Enet (m/yr)]]))*(2*DatabaseTable34[[#This Row],[Dispersion Coefficient Planet (m^2/yr)]])</f>
        <v>2611188.4090204854</v>
      </c>
      <c r="M19">
        <f>LOG(DatabaseTable34[[#This Row],[Vegetated Area Model (m^2)]])</f>
        <v>6.4168382092591161</v>
      </c>
    </row>
    <row r="20" spans="1:14" x14ac:dyDescent="0.2">
      <c r="A20" t="s">
        <v>22</v>
      </c>
      <c r="B20">
        <v>42603</v>
      </c>
      <c r="C20">
        <v>146487</v>
      </c>
      <c r="D20">
        <f>DatabaseTable34[[#This Row],[Vegetated Area from GEP (m^2)]]/DatabaseTable34[[#This Row],[Total island area (m^2)]]</f>
        <v>0.29083126830367201</v>
      </c>
      <c r="E20">
        <f>LOG10(DatabaseTable34[[#This Row],[Vegetated Area from GEP (m^2)]])</f>
        <v>4.6294401821443074</v>
      </c>
      <c r="F20" s="1">
        <v>19881</v>
      </c>
      <c r="G20">
        <v>1.0291596190535044</v>
      </c>
      <c r="H20">
        <f>(DatabaseTable34[[#This Row],[Red Mangrove Area (m^2)]]*G20)/(2*3.14*(72-35))</f>
        <v>88.056130084363573</v>
      </c>
      <c r="I20">
        <f>DatabaseTable34[[#This Row],[Dispersion Coefficient Planet (m^2/yr)]]/365</f>
        <v>0.2412496714640098</v>
      </c>
      <c r="J20">
        <v>100</v>
      </c>
      <c r="K20">
        <v>10</v>
      </c>
      <c r="L20">
        <f>(3.1415*(DatabaseTable34[[#This Row],[Sc]]-DatabaseTable34[[#This Row],[So]])/(DatabaseTable34[[#This Row],[Enet (m/yr)]]))*(2*DatabaseTable34[[#This Row],[Dispersion Coefficient Planet (m^2/yr)]])</f>
        <v>48382.290712687209</v>
      </c>
      <c r="M20">
        <f>LOG(DatabaseTable34[[#This Row],[Vegetated Area Model (m^2)]])</f>
        <v>4.6846864266618331</v>
      </c>
    </row>
    <row r="21" spans="1:14" x14ac:dyDescent="0.2">
      <c r="A21" t="s">
        <v>17</v>
      </c>
      <c r="B21">
        <v>136350</v>
      </c>
      <c r="C21">
        <v>138045.5</v>
      </c>
      <c r="D21">
        <f>DatabaseTable34[[#This Row],[Vegetated Area from GEP (m^2)]]/DatabaseTable34[[#This Row],[Total island area (m^2)]]</f>
        <v>0.98771781767605604</v>
      </c>
      <c r="E21">
        <f>LOG10(DatabaseTable34[[#This Row],[Vegetated Area from GEP (m^2)]])</f>
        <v>5.1346551422776487</v>
      </c>
      <c r="F21" s="1">
        <v>63954</v>
      </c>
      <c r="G21">
        <v>0.98009154376289986</v>
      </c>
      <c r="H21">
        <f>(DatabaseTable34[[#This Row],[Red Mangrove Area (m^2)]]*G21)/(2*3.14*(72-35))</f>
        <v>269.75716383978522</v>
      </c>
      <c r="I21">
        <f>DatabaseTable34[[#This Row],[Dispersion Coefficient Planet (m^2/yr)]]/365</f>
        <v>0.73906072284872659</v>
      </c>
      <c r="J21">
        <v>100</v>
      </c>
      <c r="K21">
        <v>10</v>
      </c>
      <c r="L21">
        <f>(3.1415*(DatabaseTable34[[#This Row],[Sc]]-DatabaseTable34[[#This Row],[So]])/(DatabaseTable34[[#This Row],[Enet (m/yr)]]))*(2*DatabaseTable34[[#This Row],[Dispersion Coefficient Planet (m^2/yr)]])</f>
        <v>155638.09769323465</v>
      </c>
      <c r="M21">
        <f>LOG(DatabaseTable34[[#This Row],[Vegetated Area Model (m^2)]])</f>
        <v>5.1921159139437068</v>
      </c>
      <c r="N21" t="s">
        <v>18</v>
      </c>
    </row>
    <row r="22" spans="1:14" x14ac:dyDescent="0.2">
      <c r="A22" t="s">
        <v>17</v>
      </c>
      <c r="B22">
        <v>544291</v>
      </c>
      <c r="C22">
        <v>553930</v>
      </c>
      <c r="D22">
        <f>DatabaseTable34[[#This Row],[Vegetated Area from GEP (m^2)]]/DatabaseTable34[[#This Row],[Total island area (m^2)]]</f>
        <v>0.98259888433556586</v>
      </c>
      <c r="E22">
        <f>LOG10(DatabaseTable34[[#This Row],[Vegetated Area from GEP (m^2)]])</f>
        <v>5.735831153198844</v>
      </c>
      <c r="F22" s="1">
        <v>24051</v>
      </c>
      <c r="G22">
        <v>0.98009154376289986</v>
      </c>
      <c r="H22">
        <f>(DatabaseTable34[[#This Row],[Red Mangrove Area (m^2)]]*G22)/(2*3.14*(72-35))</f>
        <v>101.44681407747248</v>
      </c>
      <c r="I22">
        <f>DatabaseTable34[[#This Row],[Dispersion Coefficient Planet (m^2/yr)]]/365</f>
        <v>0.27793647692458212</v>
      </c>
      <c r="J22">
        <v>100</v>
      </c>
      <c r="K22">
        <v>10</v>
      </c>
      <c r="L22">
        <f>(3.1415*(DatabaseTable34[[#This Row],[Sc]]-DatabaseTable34[[#This Row],[So]])/(DatabaseTable34[[#This Row],[Enet (m/yr)]]))*(2*DatabaseTable34[[#This Row],[Dispersion Coefficient Planet (m^2/yr)]])</f>
        <v>58530.379454295071</v>
      </c>
      <c r="M22">
        <f>LOG(DatabaseTable34[[#This Row],[Vegetated Area Model (m^2)]])</f>
        <v>4.7673813396681242</v>
      </c>
      <c r="N22" t="s">
        <v>18</v>
      </c>
    </row>
    <row r="23" spans="1:14" x14ac:dyDescent="0.2">
      <c r="A23" t="s">
        <v>17</v>
      </c>
      <c r="B23">
        <v>252404</v>
      </c>
      <c r="C23">
        <v>636838</v>
      </c>
      <c r="D23">
        <f>DatabaseTable34[[#This Row],[Vegetated Area from GEP (m^2)]]/DatabaseTable34[[#This Row],[Total island area (m^2)]]</f>
        <v>0.39633941441936565</v>
      </c>
      <c r="E23">
        <f>LOG10(DatabaseTable34[[#This Row],[Vegetated Area from GEP (m^2)]])</f>
        <v>5.4020962331559419</v>
      </c>
      <c r="F23" s="1">
        <v>104904</v>
      </c>
      <c r="G23">
        <v>0.98009154376289986</v>
      </c>
      <c r="H23">
        <f>(DatabaseTable34[[#This Row],[Red Mangrove Area (m^2)]]*G23)/(2*3.14*(72-35))</f>
        <v>442.48374637159253</v>
      </c>
      <c r="I23">
        <f>DatabaseTable34[[#This Row],[Dispersion Coefficient Planet (m^2/yr)]]/365</f>
        <v>1.2122842366345001</v>
      </c>
      <c r="J23">
        <v>100</v>
      </c>
      <c r="K23">
        <v>10</v>
      </c>
      <c r="L23">
        <f>(3.1415*(DatabaseTable34[[#This Row],[Sc]]-DatabaseTable34[[#This Row],[So]])/(DatabaseTable34[[#This Row],[Enet (m/yr)]]))*(2*DatabaseTable34[[#This Row],[Dispersion Coefficient Planet (m^2/yr)]])</f>
        <v>255293.78929247719</v>
      </c>
      <c r="M23">
        <f>LOG(DatabaseTable34[[#This Row],[Vegetated Area Model (m^2)]])</f>
        <v>5.407040249552332</v>
      </c>
      <c r="N23" t="s">
        <v>18</v>
      </c>
    </row>
    <row r="24" spans="1:14" x14ac:dyDescent="0.2">
      <c r="A24" t="s">
        <v>17</v>
      </c>
      <c r="B24">
        <v>75396</v>
      </c>
      <c r="C24">
        <v>99877</v>
      </c>
      <c r="D24">
        <f>DatabaseTable34[[#This Row],[Vegetated Area from GEP (m^2)]]/DatabaseTable34[[#This Row],[Total island area (m^2)]]</f>
        <v>0.75488851287083114</v>
      </c>
      <c r="E24">
        <f>LOG10(DatabaseTable34[[#This Row],[Vegetated Area from GEP (m^2)]])</f>
        <v>4.8773483057635643</v>
      </c>
      <c r="F24" s="1">
        <v>35631</v>
      </c>
      <c r="G24">
        <v>0.98009154376289986</v>
      </c>
      <c r="H24">
        <f>(DatabaseTable34[[#This Row],[Red Mangrove Area (m^2)]]*G24)/(2*3.14*(72-35))</f>
        <v>150.29110774580772</v>
      </c>
      <c r="I24">
        <f>DatabaseTable34[[#This Row],[Dispersion Coefficient Planet (m^2/yr)]]/365</f>
        <v>0.41175645957755541</v>
      </c>
      <c r="J24">
        <v>100</v>
      </c>
      <c r="K24">
        <v>10</v>
      </c>
      <c r="L24">
        <f>(3.1415*(DatabaseTable34[[#This Row],[Sc]]-DatabaseTable34[[#This Row],[So]])/(DatabaseTable34[[#This Row],[Enet (m/yr)]]))*(2*DatabaseTable34[[#This Row],[Dispersion Coefficient Planet (m^2/yr)]])</f>
        <v>86711.402866242031</v>
      </c>
      <c r="M24">
        <f>LOG(DatabaseTable34[[#This Row],[Vegetated Area Model (m^2)]])</f>
        <v>4.9380762125426028</v>
      </c>
      <c r="N24" t="s">
        <v>18</v>
      </c>
    </row>
    <row r="25" spans="1:14" x14ac:dyDescent="0.2">
      <c r="A25" t="s">
        <v>17</v>
      </c>
      <c r="B25">
        <v>120650</v>
      </c>
      <c r="C25">
        <v>121718</v>
      </c>
      <c r="D25">
        <f>DatabaseTable34[[#This Row],[Vegetated Area from GEP (m^2)]]/DatabaseTable34[[#This Row],[Total island area (m^2)]]</f>
        <v>0.99122561987544977</v>
      </c>
      <c r="E25">
        <f>LOG10(DatabaseTable34[[#This Row],[Vegetated Area from GEP (m^2)]])</f>
        <v>5.0815273262448049</v>
      </c>
      <c r="F25" s="1">
        <v>46512</v>
      </c>
      <c r="G25">
        <v>0.98009154376289986</v>
      </c>
      <c r="H25">
        <f>(DatabaseTable34[[#This Row],[Red Mangrove Area (m^2)]]*G25)/(2*3.14*(72-35))</f>
        <v>196.18702824711653</v>
      </c>
      <c r="I25">
        <f>DatabaseTable34[[#This Row],[Dispersion Coefficient Planet (m^2/yr)]]/365</f>
        <v>0.53749870752634665</v>
      </c>
      <c r="J25">
        <v>100</v>
      </c>
      <c r="K25">
        <v>10</v>
      </c>
      <c r="L25">
        <f>(3.1415*(DatabaseTable34[[#This Row],[Sc]]-DatabaseTable34[[#This Row],[So]])/(DatabaseTable34[[#This Row],[Enet (m/yr)]]))*(2*DatabaseTable34[[#This Row],[Dispersion Coefficient Planet (m^2/yr)]])</f>
        <v>113191.34377689792</v>
      </c>
      <c r="M25">
        <f>LOG(DatabaseTable34[[#This Row],[Vegetated Area Model (m^2)]])</f>
        <v>5.0538132157774251</v>
      </c>
      <c r="N25" t="s">
        <v>18</v>
      </c>
    </row>
    <row r="26" spans="1:14" x14ac:dyDescent="0.2">
      <c r="A26" t="s">
        <v>17</v>
      </c>
      <c r="B26">
        <v>106110</v>
      </c>
      <c r="C26">
        <v>229855</v>
      </c>
      <c r="D26">
        <f>DatabaseTable34[[#This Row],[Vegetated Area from GEP (m^2)]]/DatabaseTable34[[#This Row],[Total island area (m^2)]]</f>
        <v>0.46163885928085097</v>
      </c>
      <c r="E26">
        <f>LOG10(DatabaseTable34[[#This Row],[Vegetated Area from GEP (m^2)]])</f>
        <v>5.025756314534414</v>
      </c>
      <c r="F26" s="1">
        <v>39042</v>
      </c>
      <c r="G26">
        <v>0.98009154376289986</v>
      </c>
      <c r="H26">
        <f>(DatabaseTable34[[#This Row],[Red Mangrove Area (m^2)]]*G26)/(2*3.14*(72-35))</f>
        <v>164.6786626424132</v>
      </c>
      <c r="I26">
        <f>DatabaseTable34[[#This Row],[Dispersion Coefficient Planet (m^2/yr)]]/365</f>
        <v>0.45117441819839232</v>
      </c>
      <c r="J26">
        <v>100</v>
      </c>
      <c r="K26">
        <v>10</v>
      </c>
      <c r="L26">
        <f>(3.1415*(DatabaseTable34[[#This Row],[Sc]]-DatabaseTable34[[#This Row],[So]])/(DatabaseTable34[[#This Row],[Enet (m/yr)]]))*(2*DatabaseTable34[[#This Row],[Dispersion Coefficient Planet (m^2/yr)]])</f>
        <v>95012.393441211912</v>
      </c>
      <c r="M26">
        <f>LOG(DatabaseTable34[[#This Row],[Vegetated Area Model (m^2)]])</f>
        <v>4.977780258468572</v>
      </c>
      <c r="N26" t="s">
        <v>18</v>
      </c>
    </row>
    <row r="27" spans="1:14" x14ac:dyDescent="0.2">
      <c r="A27" t="s">
        <v>17</v>
      </c>
      <c r="B27">
        <v>74044</v>
      </c>
      <c r="C27">
        <v>110299</v>
      </c>
      <c r="D27">
        <f>DatabaseTable34[[#This Row],[Vegetated Area from GEP (m^2)]]/DatabaseTable34[[#This Row],[Total island area (m^2)]]</f>
        <v>0.67130255034043829</v>
      </c>
      <c r="E27">
        <f>LOG10(DatabaseTable34[[#This Row],[Vegetated Area from GEP (m^2)]])</f>
        <v>4.8694898721419673</v>
      </c>
      <c r="F27" s="1">
        <v>14517</v>
      </c>
      <c r="G27">
        <v>0.98009154376289986</v>
      </c>
      <c r="H27">
        <f>(DatabaseTable34[[#This Row],[Red Mangrove Area (m^2)]]*G27)/(2*3.14*(72-35))</f>
        <v>61.232522554682461</v>
      </c>
      <c r="I27">
        <f>DatabaseTable34[[#This Row],[Dispersion Coefficient Planet (m^2/yr)]]/365</f>
        <v>0.16776033576625332</v>
      </c>
      <c r="J27">
        <v>100</v>
      </c>
      <c r="K27">
        <v>10</v>
      </c>
      <c r="L27">
        <f>(3.1415*(DatabaseTable34[[#This Row],[Sc]]-DatabaseTable34[[#This Row],[So]])/(DatabaseTable34[[#This Row],[Enet (m/yr)]]))*(2*DatabaseTable34[[#This Row],[Dispersion Coefficient Planet (m^2/yr)]])</f>
        <v>35328.490230676536</v>
      </c>
      <c r="M27">
        <f>LOG(DatabaseTable34[[#This Row],[Vegetated Area Model (m^2)]])</f>
        <v>4.5481250781793596</v>
      </c>
      <c r="N27" t="s">
        <v>18</v>
      </c>
    </row>
    <row r="28" spans="1:14" x14ac:dyDescent="0.2">
      <c r="A28" t="s">
        <v>17</v>
      </c>
      <c r="B28">
        <v>737302</v>
      </c>
      <c r="C28">
        <v>797543</v>
      </c>
      <c r="D28">
        <f>DatabaseTable34[[#This Row],[Vegetated Area from GEP (m^2)]]/DatabaseTable34[[#This Row],[Total island area (m^2)]]</f>
        <v>0.92446676856294896</v>
      </c>
      <c r="E28">
        <f>LOG10(DatabaseTable34[[#This Row],[Vegetated Area from GEP (m^2)]])</f>
        <v>5.8676454119687245</v>
      </c>
      <c r="F28" s="1">
        <v>666630</v>
      </c>
      <c r="G28">
        <v>0.98009154376289986</v>
      </c>
      <c r="H28">
        <f>(DatabaseTable34[[#This Row],[Red Mangrove Area (m^2)]]*G28)/(2*3.14*(72-35))</f>
        <v>2811.8369160727402</v>
      </c>
      <c r="I28">
        <f>DatabaseTable34[[#This Row],[Dispersion Coefficient Planet (m^2/yr)]]/365</f>
        <v>7.7036627837609322</v>
      </c>
      <c r="J28">
        <v>100</v>
      </c>
      <c r="K28">
        <v>10</v>
      </c>
      <c r="L28">
        <f>(3.1415*(DatabaseTable34[[#This Row],[Sc]]-DatabaseTable34[[#This Row],[So]])/(DatabaseTable34[[#This Row],[Enet (m/yr)]]))*(2*DatabaseTable34[[#This Row],[Dispersion Coefficient Planet (m^2/yr)]])</f>
        <v>1622307.0498364607</v>
      </c>
      <c r="M28">
        <f>LOG(DatabaseTable34[[#This Row],[Vegetated Area Model (m^2)]])</f>
        <v>6.2101330554419922</v>
      </c>
      <c r="N28" t="s">
        <v>23</v>
      </c>
    </row>
    <row r="29" spans="1:14" x14ac:dyDescent="0.2">
      <c r="A29" t="s">
        <v>17</v>
      </c>
      <c r="B29">
        <v>195762</v>
      </c>
      <c r="C29">
        <v>219211</v>
      </c>
      <c r="D29">
        <f>DatabaseTable34[[#This Row],[Vegetated Area from GEP (m^2)]]/DatabaseTable34[[#This Row],[Total island area (m^2)]]</f>
        <v>0.893030003056416</v>
      </c>
      <c r="E29">
        <f>LOG10(DatabaseTable34[[#This Row],[Vegetated Area from GEP (m^2)]])</f>
        <v>5.2917283933304864</v>
      </c>
      <c r="F29" s="1">
        <v>153199</v>
      </c>
      <c r="G29">
        <v>0.98009154376289986</v>
      </c>
      <c r="H29">
        <f>(DatabaseTable34[[#This Row],[Red Mangrove Area (m^2)]]*G29)/(2*3.14*(72-35))</f>
        <v>646.19144608767647</v>
      </c>
      <c r="I29">
        <f>DatabaseTable34[[#This Row],[Dispersion Coefficient Planet (m^2/yr)]]/365</f>
        <v>1.7703875235278808</v>
      </c>
      <c r="J29">
        <v>100</v>
      </c>
      <c r="K29">
        <v>10</v>
      </c>
      <c r="L29">
        <f>(3.1415*(DatabaseTable34[[#This Row],[Sc]]-DatabaseTable34[[#This Row],[So]])/(DatabaseTable34[[#This Row],[Enet (m/yr)]]))*(2*DatabaseTable34[[#This Row],[Dispersion Coefficient Planet (m^2/yr)]])</f>
        <v>372824.23192459979</v>
      </c>
      <c r="M29">
        <f>LOG(DatabaseTable34[[#This Row],[Vegetated Area Model (m^2)]])</f>
        <v>5.5715041318180285</v>
      </c>
      <c r="N29" t="s">
        <v>23</v>
      </c>
    </row>
    <row r="30" spans="1:14" x14ac:dyDescent="0.2">
      <c r="A30" t="s">
        <v>17</v>
      </c>
      <c r="B30">
        <v>62553</v>
      </c>
      <c r="C30">
        <v>83055</v>
      </c>
      <c r="D30">
        <f>DatabaseTable34[[#This Row],[Vegetated Area from GEP (m^2)]]/DatabaseTable34[[#This Row],[Total island area (m^2)]]</f>
        <v>0.75315152609716451</v>
      </c>
      <c r="E30">
        <f>LOG10(DatabaseTable34[[#This Row],[Vegetated Area from GEP (m^2)]])</f>
        <v>4.7962481430015007</v>
      </c>
      <c r="F30" s="1">
        <v>36423</v>
      </c>
      <c r="G30">
        <v>0.98009154376289986</v>
      </c>
      <c r="H30">
        <f>(DatabaseTable34[[#This Row],[Red Mangrove Area (m^2)]]*G30)/(2*3.14*(72-35))</f>
        <v>153.6317537376317</v>
      </c>
      <c r="I30">
        <f>DatabaseTable34[[#This Row],[Dispersion Coefficient Planet (m^2/yr)]]/365</f>
        <v>0.42090891434967587</v>
      </c>
      <c r="J30">
        <v>100</v>
      </c>
      <c r="K30">
        <v>10</v>
      </c>
      <c r="L30">
        <f>(3.1415*(DatabaseTable34[[#This Row],[Sc]]-DatabaseTable34[[#This Row],[So]])/(DatabaseTable34[[#This Row],[Enet (m/yr)]]))*(2*DatabaseTable34[[#This Row],[Dispersion Coefficient Planet (m^2/yr)]])</f>
        <v>88638.809648820796</v>
      </c>
      <c r="M30">
        <f>LOG(DatabaseTable34[[#This Row],[Vegetated Area Model (m^2)]])</f>
        <v>4.947623915181965</v>
      </c>
      <c r="N30" t="s">
        <v>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305F-F350-9D4A-BA6A-2044FC3C7D04}">
  <dimension ref="A1:B8"/>
  <sheetViews>
    <sheetView workbookViewId="0">
      <selection activeCell="D8" sqref="D8"/>
    </sheetView>
  </sheetViews>
  <sheetFormatPr baseColWidth="10" defaultRowHeight="16" x14ac:dyDescent="0.2"/>
  <cols>
    <col min="1" max="1" width="12.33203125" bestFit="1" customWidth="1"/>
    <col min="2" max="2" width="13.5" bestFit="1" customWidth="1"/>
  </cols>
  <sheetData>
    <row r="1" spans="1:2" x14ac:dyDescent="0.2">
      <c r="A1" t="s">
        <v>27</v>
      </c>
      <c r="B1" t="s">
        <v>30</v>
      </c>
    </row>
    <row r="2" spans="1:2" ht="18" x14ac:dyDescent="0.2">
      <c r="A2" t="s">
        <v>28</v>
      </c>
      <c r="B2" s="4">
        <v>70248.600000000006</v>
      </c>
    </row>
    <row r="3" spans="1:2" ht="18" x14ac:dyDescent="0.2">
      <c r="A3" t="s">
        <v>29</v>
      </c>
      <c r="B3" s="4">
        <v>32640.7</v>
      </c>
    </row>
    <row r="4" spans="1:2" ht="18" x14ac:dyDescent="0.2">
      <c r="A4" t="s">
        <v>20</v>
      </c>
      <c r="B4" s="4">
        <v>27478.400000000001</v>
      </c>
    </row>
    <row r="5" spans="1:2" ht="18" x14ac:dyDescent="0.2">
      <c r="A5" t="s">
        <v>21</v>
      </c>
      <c r="B5" s="4">
        <v>15975.7</v>
      </c>
    </row>
    <row r="6" spans="1:2" ht="18" x14ac:dyDescent="0.2">
      <c r="A6" t="s">
        <v>16</v>
      </c>
      <c r="B6" s="4">
        <v>10045.700000000001</v>
      </c>
    </row>
    <row r="7" spans="1:2" ht="18" x14ac:dyDescent="0.2">
      <c r="A7" t="s">
        <v>22</v>
      </c>
      <c r="B7" s="4">
        <v>9499.6</v>
      </c>
    </row>
    <row r="8" spans="1:2" ht="18" x14ac:dyDescent="0.2">
      <c r="A8" t="s">
        <v>15</v>
      </c>
      <c r="B8" s="4">
        <v>6228.3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</vt:lpstr>
      <vt:lpstr>Database_DiffDCValues</vt:lpstr>
      <vt:lpstr>BiomassData</vt:lpstr>
      <vt:lpstr>C_Flux_FigData</vt:lpstr>
      <vt:lpstr>AGBFigData</vt:lpstr>
      <vt:lpstr>DatabaseFLWholeRange</vt:lpstr>
      <vt:lpstr>FloridaOnly</vt:lpstr>
      <vt:lpstr>SoAT60</vt:lpstr>
      <vt:lpstr>SoAT10</vt:lpstr>
      <vt:lpstr>GDP_PerCapita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Isamar Cortes</dc:creator>
  <cp:lastModifiedBy>Isamar Cortes</cp:lastModifiedBy>
  <dcterms:created xsi:type="dcterms:W3CDTF">2022-11-05T21:28:42Z</dcterms:created>
  <dcterms:modified xsi:type="dcterms:W3CDTF">2024-05-27T00:25:22Z</dcterms:modified>
</cp:coreProperties>
</file>