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Finam\Downloads\"/>
    </mc:Choice>
  </mc:AlternateContent>
  <xr:revisionPtr revIDLastSave="0" documentId="13_ncr:1_{32D9A9FF-0347-4CA0-BDF3-47756E635608}" xr6:coauthVersionLast="47" xr6:coauthVersionMax="47" xr10:uidLastSave="{00000000-0000-0000-0000-000000000000}"/>
  <bookViews>
    <workbookView xWindow="-25320" yWindow="360" windowWidth="24510" windowHeight="15990" xr2:uid="{00000000-000D-0000-FFFF-FFFF00000000}"/>
  </bookViews>
  <sheets>
    <sheet name="European Options BSM" sheetId="1" r:id="rId1"/>
  </sheets>
  <definedNames>
    <definedName name="BA">'European Options BSM'!$D$4</definedName>
    <definedName name="BaseAsset">'European Options BSM'!$D$4</definedName>
    <definedName name="d_1">'European Options BSM'!$H$10</definedName>
    <definedName name="d_2">'European Options BSM'!$H$11</definedName>
    <definedName name="god">'European Options BSM'!$D$8</definedName>
    <definedName name="N__d1">'European Options BSM'!$H$15</definedName>
    <definedName name="N__d2">'European Options BSM'!$H$16</definedName>
    <definedName name="N_d1">'European Options BSM'!$H$12</definedName>
    <definedName name="N_d2">'European Options BSM'!$H$13</definedName>
    <definedName name="N1_d1">'European Options BSM'!$H$14</definedName>
    <definedName name="riskrate">'European Options BSM'!$D$9</definedName>
    <definedName name="Stavka">'European Options BSM'!#REF!</definedName>
    <definedName name="Strike">'European Options BSM'!$D$5</definedName>
    <definedName name="T">'European Options BSM'!$D$10</definedName>
    <definedName name="TT">'European Options BSM'!$D$7</definedName>
    <definedName name="TTday">'European Options BSM'!$D$7</definedName>
    <definedName name="Vola">'European Options BSM'!$D$6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42" i="1" l="1"/>
  <c r="AA42" i="1"/>
  <c r="R42" i="1"/>
  <c r="Q42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43" i="1"/>
  <c r="I9" i="1"/>
  <c r="H9" i="1"/>
  <c r="H8" i="1"/>
  <c r="H7" i="1"/>
  <c r="H6" i="1"/>
  <c r="I5" i="1"/>
  <c r="I4" i="1"/>
  <c r="H10" i="1"/>
  <c r="H14" i="1" s="1"/>
  <c r="W53" i="1" l="1"/>
  <c r="W47" i="1" s="1"/>
  <c r="X47" i="1" s="1"/>
  <c r="D10" i="1"/>
  <c r="C53" i="1"/>
  <c r="C43" i="1" s="1"/>
  <c r="W55" i="1" l="1"/>
  <c r="X55" i="1" s="1"/>
  <c r="AC55" i="1" s="1"/>
  <c r="W56" i="1"/>
  <c r="X56" i="1" s="1"/>
  <c r="Y56" i="1" s="1"/>
  <c r="Z56" i="1" s="1"/>
  <c r="W52" i="1"/>
  <c r="X52" i="1" s="1"/>
  <c r="AA52" i="1" s="1"/>
  <c r="W50" i="1"/>
  <c r="X50" i="1" s="1"/>
  <c r="AC50" i="1" s="1"/>
  <c r="W57" i="1"/>
  <c r="X57" i="1" s="1"/>
  <c r="Y57" i="1" s="1"/>
  <c r="W49" i="1"/>
  <c r="X49" i="1" s="1"/>
  <c r="Y49" i="1" s="1"/>
  <c r="Z49" i="1" s="1"/>
  <c r="W63" i="1"/>
  <c r="X63" i="1" s="1"/>
  <c r="AC63" i="1" s="1"/>
  <c r="W46" i="1"/>
  <c r="X46" i="1" s="1"/>
  <c r="Y46" i="1" s="1"/>
  <c r="Z46" i="1" s="1"/>
  <c r="W61" i="1"/>
  <c r="X61" i="1" s="1"/>
  <c r="AB61" i="1" s="1"/>
  <c r="W45" i="1"/>
  <c r="X45" i="1" s="1"/>
  <c r="AC45" i="1" s="1"/>
  <c r="W54" i="1"/>
  <c r="X54" i="1" s="1"/>
  <c r="AC54" i="1" s="1"/>
  <c r="W60" i="1"/>
  <c r="X60" i="1" s="1"/>
  <c r="AD60" i="1" s="1"/>
  <c r="W44" i="1"/>
  <c r="X44" i="1" s="1"/>
  <c r="AA44" i="1" s="1"/>
  <c r="AC47" i="1"/>
  <c r="AD47" i="1"/>
  <c r="Y47" i="1"/>
  <c r="AC56" i="1"/>
  <c r="AA56" i="1"/>
  <c r="AD45" i="1"/>
  <c r="Y45" i="1"/>
  <c r="W62" i="1"/>
  <c r="X62" i="1" s="1"/>
  <c r="W51" i="1"/>
  <c r="X51" i="1" s="1"/>
  <c r="AB51" i="1" s="1"/>
  <c r="W43" i="1"/>
  <c r="X43" i="1" s="1"/>
  <c r="AB47" i="1"/>
  <c r="W59" i="1"/>
  <c r="X59" i="1" s="1"/>
  <c r="AB59" i="1" s="1"/>
  <c r="W48" i="1"/>
  <c r="X48" i="1" s="1"/>
  <c r="X53" i="1"/>
  <c r="AA47" i="1"/>
  <c r="W58" i="1"/>
  <c r="X58" i="1" s="1"/>
  <c r="AA53" i="1"/>
  <c r="C58" i="1"/>
  <c r="C50" i="1"/>
  <c r="C48" i="1"/>
  <c r="C60" i="1"/>
  <c r="C59" i="1"/>
  <c r="C49" i="1"/>
  <c r="C57" i="1"/>
  <c r="C47" i="1"/>
  <c r="C54" i="1"/>
  <c r="C56" i="1"/>
  <c r="C46" i="1"/>
  <c r="C63" i="1"/>
  <c r="C55" i="1"/>
  <c r="C45" i="1"/>
  <c r="C62" i="1"/>
  <c r="C52" i="1"/>
  <c r="C44" i="1"/>
  <c r="C61" i="1"/>
  <c r="C51" i="1"/>
  <c r="N53" i="1"/>
  <c r="U53" i="1" s="1"/>
  <c r="AA45" i="1" l="1"/>
  <c r="AB45" i="1"/>
  <c r="AD56" i="1"/>
  <c r="AB56" i="1"/>
  <c r="AB52" i="1"/>
  <c r="AC52" i="1"/>
  <c r="AC60" i="1"/>
  <c r="Y52" i="1"/>
  <c r="Z52" i="1" s="1"/>
  <c r="Y55" i="1"/>
  <c r="AC57" i="1"/>
  <c r="AA55" i="1"/>
  <c r="AD55" i="1"/>
  <c r="AB44" i="1"/>
  <c r="AB55" i="1"/>
  <c r="AD50" i="1"/>
  <c r="AD52" i="1"/>
  <c r="AB50" i="1"/>
  <c r="AD61" i="1"/>
  <c r="AA61" i="1"/>
  <c r="AC61" i="1"/>
  <c r="AD54" i="1"/>
  <c r="AA54" i="1"/>
  <c r="AD44" i="1"/>
  <c r="Y61" i="1"/>
  <c r="Z61" i="1" s="1"/>
  <c r="AA60" i="1"/>
  <c r="Y54" i="1"/>
  <c r="Z54" i="1" s="1"/>
  <c r="AB54" i="1"/>
  <c r="AB60" i="1"/>
  <c r="AA50" i="1"/>
  <c r="Y60" i="1"/>
  <c r="Z60" i="1" s="1"/>
  <c r="AA46" i="1"/>
  <c r="AB46" i="1"/>
  <c r="AD57" i="1"/>
  <c r="AA49" i="1"/>
  <c r="AD63" i="1"/>
  <c r="AB49" i="1"/>
  <c r="AA57" i="1"/>
  <c r="AA63" i="1"/>
  <c r="Y44" i="1"/>
  <c r="Z44" i="1" s="1"/>
  <c r="Y63" i="1"/>
  <c r="Z63" i="1" s="1"/>
  <c r="AB57" i="1"/>
  <c r="AC46" i="1"/>
  <c r="AD46" i="1"/>
  <c r="AD49" i="1"/>
  <c r="AC44" i="1"/>
  <c r="AC49" i="1"/>
  <c r="Y50" i="1"/>
  <c r="Z50" i="1" s="1"/>
  <c r="AB63" i="1"/>
  <c r="Y58" i="1"/>
  <c r="Z58" i="1" s="1"/>
  <c r="AC58" i="1"/>
  <c r="AD58" i="1"/>
  <c r="AB62" i="1"/>
  <c r="Y62" i="1"/>
  <c r="Z62" i="1" s="1"/>
  <c r="AC62" i="1"/>
  <c r="AD62" i="1"/>
  <c r="AD53" i="1"/>
  <c r="AB53" i="1"/>
  <c r="Y53" i="1"/>
  <c r="Z53" i="1" s="1"/>
  <c r="AC53" i="1"/>
  <c r="Y48" i="1"/>
  <c r="Z48" i="1" s="1"/>
  <c r="AC48" i="1"/>
  <c r="AD48" i="1"/>
  <c r="AA48" i="1"/>
  <c r="AB48" i="1"/>
  <c r="Y59" i="1"/>
  <c r="Z59" i="1" s="1"/>
  <c r="AC59" i="1"/>
  <c r="AD59" i="1"/>
  <c r="AA59" i="1"/>
  <c r="Y43" i="1"/>
  <c r="Z43" i="1" s="1"/>
  <c r="AC43" i="1"/>
  <c r="AD43" i="1"/>
  <c r="AA43" i="1"/>
  <c r="AB43" i="1"/>
  <c r="AA58" i="1"/>
  <c r="AB58" i="1"/>
  <c r="AA62" i="1"/>
  <c r="AC51" i="1"/>
  <c r="AD51" i="1"/>
  <c r="Y51" i="1"/>
  <c r="Z51" i="1" s="1"/>
  <c r="AA51" i="1"/>
  <c r="Z55" i="1"/>
  <c r="Z45" i="1"/>
  <c r="Z57" i="1"/>
  <c r="Z47" i="1"/>
  <c r="D46" i="1"/>
  <c r="E46" i="1" s="1"/>
  <c r="D43" i="1"/>
  <c r="E43" i="1" s="1"/>
  <c r="D53" i="1"/>
  <c r="E53" i="1" s="1"/>
  <c r="D58" i="1"/>
  <c r="E58" i="1" s="1"/>
  <c r="D50" i="1"/>
  <c r="E50" i="1" s="1"/>
  <c r="D47" i="1"/>
  <c r="E47" i="1" s="1"/>
  <c r="D48" i="1"/>
  <c r="E48" i="1" s="1"/>
  <c r="D52" i="1"/>
  <c r="E52" i="1" s="1"/>
  <c r="D54" i="1"/>
  <c r="E54" i="1" s="1"/>
  <c r="D44" i="1"/>
  <c r="E44" i="1" s="1"/>
  <c r="D49" i="1"/>
  <c r="E49" i="1" s="1"/>
  <c r="D61" i="1"/>
  <c r="E61" i="1" s="1"/>
  <c r="D60" i="1"/>
  <c r="E60" i="1" s="1"/>
  <c r="D51" i="1"/>
  <c r="E51" i="1" s="1"/>
  <c r="D59" i="1"/>
  <c r="E59" i="1" s="1"/>
  <c r="D62" i="1"/>
  <c r="E62" i="1" s="1"/>
  <c r="D57" i="1"/>
  <c r="E57" i="1" s="1"/>
  <c r="N49" i="1"/>
  <c r="U49" i="1" s="1"/>
  <c r="N50" i="1"/>
  <c r="U50" i="1" s="1"/>
  <c r="N43" i="1"/>
  <c r="N51" i="1"/>
  <c r="U51" i="1" s="1"/>
  <c r="N44" i="1"/>
  <c r="U44" i="1" s="1"/>
  <c r="N52" i="1"/>
  <c r="U52" i="1" s="1"/>
  <c r="N45" i="1"/>
  <c r="U45" i="1" s="1"/>
  <c r="N46" i="1"/>
  <c r="U46" i="1" s="1"/>
  <c r="N47" i="1"/>
  <c r="U47" i="1" s="1"/>
  <c r="N48" i="1"/>
  <c r="U48" i="1" s="1"/>
  <c r="D45" i="1"/>
  <c r="E45" i="1" s="1"/>
  <c r="D55" i="1"/>
  <c r="E55" i="1" s="1"/>
  <c r="D56" i="1"/>
  <c r="E56" i="1" s="1"/>
  <c r="D63" i="1"/>
  <c r="E63" i="1" s="1"/>
  <c r="S53" i="1"/>
  <c r="T53" i="1"/>
  <c r="H11" i="1"/>
  <c r="R53" i="1"/>
  <c r="Q53" i="1"/>
  <c r="N54" i="1"/>
  <c r="U54" i="1" s="1"/>
  <c r="N62" i="1"/>
  <c r="U62" i="1" s="1"/>
  <c r="N61" i="1"/>
  <c r="U61" i="1" s="1"/>
  <c r="N60" i="1"/>
  <c r="U60" i="1" s="1"/>
  <c r="N59" i="1"/>
  <c r="U59" i="1" s="1"/>
  <c r="N58" i="1"/>
  <c r="U58" i="1" s="1"/>
  <c r="N57" i="1"/>
  <c r="U57" i="1" s="1"/>
  <c r="N56" i="1"/>
  <c r="U56" i="1" s="1"/>
  <c r="N63" i="1"/>
  <c r="U63" i="1" s="1"/>
  <c r="N55" i="1"/>
  <c r="U55" i="1" s="1"/>
  <c r="U43" i="1" l="1"/>
  <c r="H12" i="1"/>
  <c r="H15" i="1"/>
  <c r="S57" i="1"/>
  <c r="T57" i="1"/>
  <c r="S51" i="1"/>
  <c r="T51" i="1"/>
  <c r="S48" i="1"/>
  <c r="T48" i="1"/>
  <c r="T61" i="1"/>
  <c r="S61" i="1"/>
  <c r="T45" i="1"/>
  <c r="S45" i="1"/>
  <c r="S58" i="1"/>
  <c r="T58" i="1"/>
  <c r="S44" i="1"/>
  <c r="T44" i="1"/>
  <c r="S55" i="1"/>
  <c r="T55" i="1"/>
  <c r="S49" i="1"/>
  <c r="T49" i="1"/>
  <c r="S52" i="1"/>
  <c r="T52" i="1"/>
  <c r="S63" i="1"/>
  <c r="T63" i="1"/>
  <c r="S59" i="1"/>
  <c r="T59" i="1"/>
  <c r="T62" i="1"/>
  <c r="S62" i="1"/>
  <c r="T46" i="1"/>
  <c r="S46" i="1"/>
  <c r="S50" i="1"/>
  <c r="T50" i="1"/>
  <c r="S56" i="1"/>
  <c r="T56" i="1"/>
  <c r="S60" i="1"/>
  <c r="T60" i="1"/>
  <c r="T54" i="1"/>
  <c r="S54" i="1"/>
  <c r="S47" i="1"/>
  <c r="T47" i="1"/>
  <c r="S43" i="1"/>
  <c r="T43" i="1"/>
  <c r="Q43" i="1"/>
  <c r="R43" i="1"/>
  <c r="Q44" i="1"/>
  <c r="R44" i="1"/>
  <c r="Q51" i="1"/>
  <c r="R51" i="1"/>
  <c r="R61" i="1"/>
  <c r="Q61" i="1"/>
  <c r="R55" i="1"/>
  <c r="Q55" i="1"/>
  <c r="R63" i="1"/>
  <c r="Q63" i="1"/>
  <c r="R62" i="1"/>
  <c r="Q62" i="1"/>
  <c r="R47" i="1"/>
  <c r="Q47" i="1"/>
  <c r="Q57" i="1"/>
  <c r="R57" i="1"/>
  <c r="Q48" i="1"/>
  <c r="R48" i="1"/>
  <c r="R45" i="1"/>
  <c r="Q45" i="1"/>
  <c r="R58" i="1"/>
  <c r="Q58" i="1"/>
  <c r="Q49" i="1"/>
  <c r="R49" i="1"/>
  <c r="R52" i="1"/>
  <c r="Q52" i="1"/>
  <c r="R59" i="1"/>
  <c r="Q59" i="1"/>
  <c r="R46" i="1"/>
  <c r="Q46" i="1"/>
  <c r="Q50" i="1"/>
  <c r="R50" i="1"/>
  <c r="Q56" i="1"/>
  <c r="R56" i="1"/>
  <c r="Q60" i="1"/>
  <c r="R60" i="1"/>
  <c r="R54" i="1"/>
  <c r="Q54" i="1"/>
  <c r="H13" i="1"/>
  <c r="H16" i="1"/>
  <c r="H5" i="1" l="1"/>
  <c r="H4" i="1"/>
  <c r="I6" i="1"/>
  <c r="I8" i="1"/>
  <c r="I7" i="1"/>
</calcChain>
</file>

<file path=xl/sharedStrings.xml><?xml version="1.0" encoding="utf-8"?>
<sst xmlns="http://schemas.openxmlformats.org/spreadsheetml/2006/main" count="53" uniqueCount="41">
  <si>
    <t>d1</t>
  </si>
  <si>
    <t>d2</t>
  </si>
  <si>
    <t>N(d1)</t>
  </si>
  <si>
    <t>N(d2)</t>
  </si>
  <si>
    <t>N'(d1)</t>
  </si>
  <si>
    <t>N(-d2)</t>
  </si>
  <si>
    <t>N(-d1)</t>
  </si>
  <si>
    <t>T (лет)</t>
  </si>
  <si>
    <t>Option Parameters:</t>
  </si>
  <si>
    <t>Chart Settings:</t>
  </si>
  <si>
    <t>Base Asset Price</t>
  </si>
  <si>
    <t>Strike</t>
  </si>
  <si>
    <t>Implied Volatility</t>
  </si>
  <si>
    <t>Days to Maturity</t>
  </si>
  <si>
    <t>Days in a Year</t>
  </si>
  <si>
    <t>Risk-free Rate</t>
  </si>
  <si>
    <t>https://RiskSir.com</t>
  </si>
  <si>
    <t>Source:</t>
  </si>
  <si>
    <t>Result:</t>
  </si>
  <si>
    <t>Call</t>
  </si>
  <si>
    <t>Put</t>
  </si>
  <si>
    <t>Price</t>
  </si>
  <si>
    <t>Delta</t>
  </si>
  <si>
    <t>Gamma</t>
  </si>
  <si>
    <t>Vega</t>
  </si>
  <si>
    <t>Theta</t>
  </si>
  <si>
    <t>Rho</t>
  </si>
  <si>
    <t>Price step (% of Strike price):</t>
  </si>
  <si>
    <t>Volatility step</t>
  </si>
  <si>
    <t>Time step (days)</t>
  </si>
  <si>
    <t>Black-Scholes-Merton European Option Price Model</t>
  </si>
  <si>
    <t>Changing Base Asset price (other params are constants):</t>
  </si>
  <si>
    <t>Changing Implied Volatility (other params are constants):</t>
  </si>
  <si>
    <t>Changing Days to Maturity (other params are constants):</t>
  </si>
  <si>
    <t>IV</t>
  </si>
  <si>
    <t>Base Asset</t>
  </si>
  <si>
    <t>Call expiration</t>
  </si>
  <si>
    <t>Days to expiration</t>
  </si>
  <si>
    <t>Years to exp</t>
  </si>
  <si>
    <r>
      <rPr>
        <b/>
        <sz val="11"/>
        <color theme="2" tint="-0.499984740745262"/>
        <rFont val="Calibri"/>
        <family val="2"/>
        <charset val="204"/>
      </rPr>
      <t>∆</t>
    </r>
    <r>
      <rPr>
        <b/>
        <sz val="11"/>
        <color theme="2" tint="-0.499984740745262"/>
        <rFont val="Calibri"/>
        <family val="2"/>
        <charset val="204"/>
        <scheme val="minor"/>
      </rPr>
      <t>Call</t>
    </r>
  </si>
  <si>
    <r>
      <rPr>
        <b/>
        <sz val="11"/>
        <color theme="2" tint="-0.499984740745262"/>
        <rFont val="Calibri"/>
        <family val="2"/>
        <charset val="204"/>
      </rPr>
      <t>–∆</t>
    </r>
    <r>
      <rPr>
        <b/>
        <sz val="11"/>
        <color theme="2" tint="-0.499984740745262"/>
        <rFont val="Calibri"/>
        <family val="2"/>
        <charset val="204"/>
        <scheme val="minor"/>
      </rPr>
      <t>Put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</si>
</sst>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р_._-;\-* #,##0.00_р_._-;_-* &quot;-&quot;??_р_._-;_-@_-"/>
    <numFmt numFmtId="165" formatCode="0.000000"/>
    <numFmt numFmtId="166" formatCode="0.00000"/>
    <numFmt numFmtId="167" formatCode="0.0000"/>
    <numFmt numFmtId="168" formatCode="0.0%"/>
    <numFmt numFmtId="169" formatCode="_-* #,##0_р_._-;\-* #,##0_р_._-;_-* &quot;-&quot;??_р_._-;_-@_-"/>
    <numFmt numFmtId="170" formatCode="_-* #,##0.0000_р_._-;\-* #,##0.0000_р_._-;_-* &quot;-&quot;??_р_._-;_-@_-"/>
  </numFmts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  <font>
      <sz val="11"/>
      <color theme="1" tint="0.249977111117893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11"/>
      <color theme="2" tint="-0.499984740745262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theme="1" tint="0.249977111117893"/>
      <name val="Calibri"/>
      <family val="2"/>
      <charset val="204"/>
      <scheme val="minor"/>
    </font>
    <font>
      <b/>
      <sz val="11"/>
      <color theme="2" tint="-0.249977111117893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color theme="1" tint="0.34998626667073579"/>
      <name val="Calibri"/>
      <family val="2"/>
      <charset val="204"/>
      <scheme val="minor"/>
    </font>
    <font>
      <sz val="11"/>
      <color rgb="FF1B736B"/>
      <name val="Calibri"/>
      <family val="2"/>
      <charset val="204"/>
      <scheme val="minor"/>
    </font>
    <font>
      <b/>
      <sz val="11"/>
      <color theme="2" tint="-0.499984740745262"/>
      <name val="Calibri"/>
      <family val="1"/>
      <charset val="2"/>
      <scheme val="minor"/>
    </font>
    <font>
      <b/>
      <sz val="11"/>
      <color theme="2" tint="-0.499984740745262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60000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rgb="FF1B736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67">
    <xf numFmtId="0" fontId="0" fillId="0" borderId="0" xfId="0"/>
    <xf numFmtId="0" fontId="0" fillId="2" borderId="1" xfId="0" applyFill="1" applyBorder="1"/>
    <xf numFmtId="0" fontId="0" fillId="2" borderId="1" xfId="0" applyFont="1" applyFill="1" applyBorder="1"/>
    <xf numFmtId="0" fontId="3" fillId="3" borderId="1" xfId="0" applyFont="1" applyFill="1" applyBorder="1"/>
    <xf numFmtId="0" fontId="0" fillId="4" borderId="0" xfId="0" applyFill="1"/>
    <xf numFmtId="0" fontId="2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0" borderId="0" xfId="0" applyFill="1"/>
    <xf numFmtId="0" fontId="0" fillId="7" borderId="0" xfId="0" applyFill="1"/>
    <xf numFmtId="0" fontId="0" fillId="4" borderId="0" xfId="0" applyFill="1" applyAlignment="1">
      <alignment wrapText="1"/>
    </xf>
    <xf numFmtId="168" fontId="3" fillId="3" borderId="1" xfId="2" applyNumberFormat="1" applyFont="1" applyFill="1" applyBorder="1"/>
    <xf numFmtId="167" fontId="4" fillId="4" borderId="0" xfId="0" applyNumberFormat="1" applyFont="1" applyFill="1"/>
    <xf numFmtId="0" fontId="0" fillId="0" borderId="0" xfId="0" applyAlignment="1">
      <alignment wrapText="1"/>
    </xf>
    <xf numFmtId="0" fontId="13" fillId="4" borderId="0" xfId="0" applyFont="1" applyFill="1" applyAlignment="1">
      <alignment horizontal="right"/>
    </xf>
    <xf numFmtId="166" fontId="7" fillId="4" borderId="0" xfId="0" applyNumberFormat="1" applyFont="1" applyFill="1"/>
    <xf numFmtId="0" fontId="10" fillId="0" borderId="0" xfId="3" applyFont="1" applyFill="1" applyAlignment="1">
      <alignment horizontal="center" vertical="center" textRotation="90"/>
    </xf>
    <xf numFmtId="0" fontId="0" fillId="0" borderId="0" xfId="0" applyFill="1" applyAlignment="1">
      <alignment wrapText="1"/>
    </xf>
    <xf numFmtId="0" fontId="11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right" wrapText="1"/>
    </xf>
    <xf numFmtId="1" fontId="6" fillId="0" borderId="0" xfId="0" applyNumberFormat="1" applyFont="1" applyFill="1"/>
    <xf numFmtId="9" fontId="6" fillId="0" borderId="0" xfId="2" applyFont="1" applyFill="1" applyAlignment="1">
      <alignment horizontal="center" vertical="center"/>
    </xf>
    <xf numFmtId="2" fontId="6" fillId="0" borderId="0" xfId="0" applyNumberFormat="1" applyFont="1" applyFill="1"/>
    <xf numFmtId="1" fontId="6" fillId="0" borderId="0" xfId="0" applyNumberFormat="1" applyFont="1" applyFill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168" fontId="12" fillId="0" borderId="5" xfId="2" applyNumberFormat="1" applyFont="1" applyBorder="1" applyAlignment="1">
      <alignment horizontal="center" vertical="center"/>
    </xf>
    <xf numFmtId="169" fontId="12" fillId="0" borderId="5" xfId="1" applyNumberFormat="1" applyFont="1" applyBorder="1" applyAlignment="1">
      <alignment horizontal="left" vertical="top"/>
    </xf>
    <xf numFmtId="169" fontId="6" fillId="0" borderId="0" xfId="1" applyNumberFormat="1" applyFont="1" applyFill="1" applyAlignment="1">
      <alignment horizontal="center" vertical="center"/>
    </xf>
    <xf numFmtId="169" fontId="6" fillId="0" borderId="3" xfId="1" applyNumberFormat="1" applyFont="1" applyFill="1" applyBorder="1" applyAlignment="1">
      <alignment horizontal="center" vertical="center"/>
    </xf>
    <xf numFmtId="170" fontId="6" fillId="0" borderId="0" xfId="1" applyNumberFormat="1" applyFont="1" applyFill="1" applyAlignment="1">
      <alignment horizontal="center" vertical="center"/>
    </xf>
    <xf numFmtId="167" fontId="7" fillId="4" borderId="0" xfId="0" applyNumberFormat="1" applyFont="1" applyFill="1" applyAlignment="1">
      <alignment horizontal="left"/>
    </xf>
    <xf numFmtId="1" fontId="0" fillId="8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16" fillId="4" borderId="0" xfId="0" applyFont="1" applyFill="1" applyAlignment="1"/>
    <xf numFmtId="0" fontId="7" fillId="4" borderId="0" xfId="0" applyFont="1" applyFill="1" applyAlignment="1"/>
    <xf numFmtId="1" fontId="0" fillId="2" borderId="5" xfId="0" applyNumberFormat="1" applyFont="1" applyFill="1" applyBorder="1" applyAlignment="1">
      <alignment horizontal="left" vertical="center" wrapText="1"/>
    </xf>
    <xf numFmtId="9" fontId="3" fillId="3" borderId="1" xfId="0" applyNumberFormat="1" applyFont="1" applyFill="1" applyBorder="1"/>
    <xf numFmtId="0" fontId="0" fillId="9" borderId="0" xfId="0" applyFill="1"/>
    <xf numFmtId="0" fontId="0" fillId="9" borderId="0" xfId="0" applyFill="1" applyAlignment="1">
      <alignment wrapText="1"/>
    </xf>
    <xf numFmtId="0" fontId="10" fillId="9" borderId="0" xfId="3" applyFont="1" applyFill="1" applyAlignment="1">
      <alignment horizontal="center" vertical="center" textRotation="90"/>
    </xf>
    <xf numFmtId="0" fontId="6" fillId="4" borderId="0" xfId="0" applyFont="1" applyFill="1" applyAlignment="1">
      <alignment vertical="center"/>
    </xf>
    <xf numFmtId="0" fontId="9" fillId="4" borderId="0" xfId="3" applyFill="1" applyAlignment="1">
      <alignment vertical="center"/>
    </xf>
    <xf numFmtId="2" fontId="0" fillId="5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17" fillId="4" borderId="0" xfId="0" applyFont="1" applyFill="1" applyAlignment="1">
      <alignment horizontal="right" vertical="center"/>
    </xf>
    <xf numFmtId="0" fontId="18" fillId="0" borderId="0" xfId="0" applyFont="1" applyFill="1" applyAlignment="1">
      <alignment horizontal="right" wrapText="1"/>
    </xf>
    <xf numFmtId="0" fontId="0" fillId="2" borderId="7" xfId="0" applyFill="1" applyBorder="1" applyAlignment="1">
      <alignment horizontal="right" vertical="center"/>
    </xf>
    <xf numFmtId="0" fontId="0" fillId="2" borderId="8" xfId="0" applyFill="1" applyBorder="1" applyAlignment="1">
      <alignment horizontal="right" vertical="center"/>
    </xf>
    <xf numFmtId="0" fontId="17" fillId="4" borderId="0" xfId="0" applyFont="1" applyFill="1" applyAlignment="1">
      <alignment horizontal="center"/>
    </xf>
    <xf numFmtId="0" fontId="9" fillId="4" borderId="0" xfId="3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5" fillId="4" borderId="0" xfId="0" applyFont="1" applyFill="1" applyBorder="1" applyAlignment="1">
      <alignment horizontal="left"/>
    </xf>
    <xf numFmtId="0" fontId="10" fillId="9" borderId="0" xfId="3" applyFont="1" applyFill="1" applyAlignment="1">
      <alignment horizontal="center" vertical="center" textRotation="90"/>
    </xf>
    <xf numFmtId="0" fontId="10" fillId="9" borderId="0" xfId="0" applyFont="1" applyFill="1" applyAlignment="1">
      <alignment horizontal="center" vertical="center" textRotation="90"/>
    </xf>
    <xf numFmtId="0" fontId="4" fillId="4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14" fillId="4" borderId="0" xfId="0" applyFont="1" applyFill="1" applyAlignment="1">
      <alignment horizontal="center" vertical="top" wrapText="1"/>
    </xf>
    <xf numFmtId="0" fontId="8" fillId="4" borderId="2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1" fontId="0" fillId="2" borderId="5" xfId="0" applyNumberFormat="1" applyFont="1" applyFill="1" applyBorder="1" applyAlignment="1">
      <alignment horizontal="left" vertical="center" wrapText="1"/>
    </xf>
    <xf numFmtId="1" fontId="0" fillId="2" borderId="6" xfId="0" applyNumberFormat="1" applyFont="1" applyFill="1" applyBorder="1" applyAlignment="1">
      <alignment horizontal="left" vertical="center" wrapText="1"/>
    </xf>
    <xf numFmtId="9" fontId="12" fillId="0" borderId="5" xfId="2" applyFont="1" applyBorder="1" applyAlignment="1">
      <alignment horizontal="center" vertical="center"/>
    </xf>
    <xf numFmtId="9" fontId="12" fillId="0" borderId="6" xfId="2" applyFont="1" applyBorder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1B736B"/>
      <color rgb="FF5AD8CC"/>
      <color rgb="FFFFD9D9"/>
      <color rgb="FFFF9B9B"/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bg2">
                    <a:lumMod val="75000"/>
                  </a:schemeClr>
                </a:solidFill>
              </a:rPr>
              <a:t>Price and Delta </a:t>
            </a:r>
            <a:r>
              <a:rPr lang="ru-RU" baseline="0">
                <a:solidFill>
                  <a:schemeClr val="bg2">
                    <a:lumMod val="75000"/>
                  </a:schemeClr>
                </a:solidFill>
              </a:rPr>
              <a:t>(</a:t>
            </a:r>
            <a:r>
              <a:rPr lang="en-US" baseline="0">
                <a:solidFill>
                  <a:schemeClr val="bg2">
                    <a:lumMod val="75000"/>
                  </a:schemeClr>
                </a:solidFill>
              </a:rPr>
              <a:t>on Base-Asset price</a:t>
            </a:r>
            <a:r>
              <a:rPr lang="ru-RU" baseline="0">
                <a:solidFill>
                  <a:schemeClr val="bg2">
                    <a:lumMod val="75000"/>
                  </a:schemeClr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240800201275557"/>
          <c:y val="0.10452041940353309"/>
          <c:w val="0.76291759767522993"/>
          <c:h val="0.69697523560850227"/>
        </c:manualLayout>
      </c:layout>
      <c:lineChart>
        <c:grouping val="standard"/>
        <c:varyColors val="0"/>
        <c:ser>
          <c:idx val="0"/>
          <c:order val="0"/>
          <c:tx>
            <c:strRef>
              <c:f>'European Options BSM'!$O$42</c:f>
              <c:strCache>
                <c:ptCount val="1"/>
                <c:pt idx="0">
                  <c:v>Call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'European Options BSM'!$N$43:$N$63</c:f>
              <c:numCache>
                <c:formatCode>0</c:formatCode>
                <c:ptCount val="21"/>
                <c:pt idx="0">
                  <c:v>80000</c:v>
                </c:pt>
                <c:pt idx="1">
                  <c:v>82000</c:v>
                </c:pt>
                <c:pt idx="2">
                  <c:v>84000</c:v>
                </c:pt>
                <c:pt idx="3">
                  <c:v>86000</c:v>
                </c:pt>
                <c:pt idx="4">
                  <c:v>88000</c:v>
                </c:pt>
                <c:pt idx="5">
                  <c:v>90000</c:v>
                </c:pt>
                <c:pt idx="6">
                  <c:v>92000</c:v>
                </c:pt>
                <c:pt idx="7">
                  <c:v>94000</c:v>
                </c:pt>
                <c:pt idx="8">
                  <c:v>96000</c:v>
                </c:pt>
                <c:pt idx="9">
                  <c:v>98000</c:v>
                </c:pt>
                <c:pt idx="10">
                  <c:v>100000</c:v>
                </c:pt>
                <c:pt idx="11">
                  <c:v>102000</c:v>
                </c:pt>
                <c:pt idx="12">
                  <c:v>104000</c:v>
                </c:pt>
                <c:pt idx="13">
                  <c:v>106000</c:v>
                </c:pt>
                <c:pt idx="14">
                  <c:v>108000</c:v>
                </c:pt>
                <c:pt idx="15">
                  <c:v>110000.00000000001</c:v>
                </c:pt>
                <c:pt idx="16">
                  <c:v>112000.00000000001</c:v>
                </c:pt>
                <c:pt idx="17">
                  <c:v>114000.00000000001</c:v>
                </c:pt>
                <c:pt idx="18">
                  <c:v>115999.99999999999</c:v>
                </c:pt>
                <c:pt idx="19">
                  <c:v>118000</c:v>
                </c:pt>
                <c:pt idx="20">
                  <c:v>120000</c:v>
                </c:pt>
              </c:numCache>
            </c:numRef>
          </c:cat>
          <c:val>
            <c:numRef>
              <c:f>'European Options BSM'!$O$43:$O$63</c:f>
              <c:numCache>
                <c:formatCode>0</c:formatCode>
                <c:ptCount val="21"/>
                <c:pt idx="0">
                  <c:v>4.004072920025294</c:v>
                </c:pt>
                <c:pt idx="1">
                  <c:v>11.568642078723713</c:v>
                </c:pt>
                <c:pt idx="2">
                  <c:v>29.954285471965022</c:v>
                </c:pt>
                <c:pt idx="3">
                  <c:v>70.130570722883931</c:v>
                </c:pt>
                <c:pt idx="4">
                  <c:v>149.71546172101262</c:v>
                </c:pt>
                <c:pt idx="5">
                  <c:v>293.74378512477233</c:v>
                </c:pt>
                <c:pt idx="6">
                  <c:v>533.65743016543092</c:v>
                </c:pt>
                <c:pt idx="7">
                  <c:v>904.13584516002811</c:v>
                </c:pt>
                <c:pt idx="8">
                  <c:v>1438.1937124268625</c:v>
                </c:pt>
                <c:pt idx="9">
                  <c:v>2161.7560124716183</c:v>
                </c:pt>
                <c:pt idx="10">
                  <c:v>3089.2582834606219</c:v>
                </c:pt>
                <c:pt idx="11">
                  <c:v>4221.5185923431709</c:v>
                </c:pt>
                <c:pt idx="12">
                  <c:v>5546.3403017525707</c:v>
                </c:pt>
                <c:pt idx="13">
                  <c:v>7041.4181514243101</c:v>
                </c:pt>
                <c:pt idx="14">
                  <c:v>8678.5156655281608</c:v>
                </c:pt>
                <c:pt idx="15">
                  <c:v>10427.740973347536</c:v>
                </c:pt>
                <c:pt idx="16">
                  <c:v>12261.011329519009</c:v>
                </c:pt>
                <c:pt idx="17">
                  <c:v>14154.257373758359</c:v>
                </c:pt>
                <c:pt idx="18">
                  <c:v>16088.359298259864</c:v>
                </c:pt>
                <c:pt idx="19">
                  <c:v>18049.094820625731</c:v>
                </c:pt>
                <c:pt idx="20">
                  <c:v>20026.484164563371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5-45F1-9400-A20FD244C304}"/>
            </c:ext>
          </c:extLst>
        </c:ser>
        <c:ser>
          <c:idx val="1"/>
          <c:order val="1"/>
          <c:tx>
            <c:strRef>
              <c:f>'European Options BSM'!$P$42</c:f>
              <c:strCache>
                <c:ptCount val="1"/>
                <c:pt idx="0">
                  <c:v>Put</c:v>
                </c:pt>
              </c:strCache>
            </c:strRef>
          </c:tx>
          <c:spPr>
            <a:ln w="28575" cap="rnd">
              <a:solidFill>
                <a:srgbClr val="FF9B9B"/>
              </a:solidFill>
              <a:round/>
            </a:ln>
            <a:effectLst/>
          </c:spPr>
          <c:marker>
            <c:symbol val="none"/>
          </c:marker>
          <c:cat>
            <c:numRef>
              <c:f>'European Options BSM'!$N$43:$N$63</c:f>
              <c:numCache>
                <c:formatCode>0</c:formatCode>
                <c:ptCount val="21"/>
                <c:pt idx="0">
                  <c:v>80000</c:v>
                </c:pt>
                <c:pt idx="1">
                  <c:v>82000</c:v>
                </c:pt>
                <c:pt idx="2">
                  <c:v>84000</c:v>
                </c:pt>
                <c:pt idx="3">
                  <c:v>86000</c:v>
                </c:pt>
                <c:pt idx="4">
                  <c:v>88000</c:v>
                </c:pt>
                <c:pt idx="5">
                  <c:v>90000</c:v>
                </c:pt>
                <c:pt idx="6">
                  <c:v>92000</c:v>
                </c:pt>
                <c:pt idx="7">
                  <c:v>94000</c:v>
                </c:pt>
                <c:pt idx="8">
                  <c:v>96000</c:v>
                </c:pt>
                <c:pt idx="9">
                  <c:v>98000</c:v>
                </c:pt>
                <c:pt idx="10">
                  <c:v>100000</c:v>
                </c:pt>
                <c:pt idx="11">
                  <c:v>102000</c:v>
                </c:pt>
                <c:pt idx="12">
                  <c:v>104000</c:v>
                </c:pt>
                <c:pt idx="13">
                  <c:v>106000</c:v>
                </c:pt>
                <c:pt idx="14">
                  <c:v>108000</c:v>
                </c:pt>
                <c:pt idx="15">
                  <c:v>110000.00000000001</c:v>
                </c:pt>
                <c:pt idx="16">
                  <c:v>112000.00000000001</c:v>
                </c:pt>
                <c:pt idx="17">
                  <c:v>114000.00000000001</c:v>
                </c:pt>
                <c:pt idx="18">
                  <c:v>115999.99999999999</c:v>
                </c:pt>
                <c:pt idx="19">
                  <c:v>118000</c:v>
                </c:pt>
                <c:pt idx="20">
                  <c:v>120000</c:v>
                </c:pt>
              </c:numCache>
            </c:numRef>
          </c:cat>
          <c:val>
            <c:numRef>
              <c:f>'European Options BSM'!$P$43:$P$63</c:f>
              <c:numCache>
                <c:formatCode>0</c:formatCode>
                <c:ptCount val="21"/>
                <c:pt idx="0">
                  <c:v>19872.58365596972</c:v>
                </c:pt>
                <c:pt idx="1">
                  <c:v>17880.148225128418</c:v>
                </c:pt>
                <c:pt idx="2">
                  <c:v>15898.533868521656</c:v>
                </c:pt>
                <c:pt idx="3">
                  <c:v>13938.710153772583</c:v>
                </c:pt>
                <c:pt idx="4">
                  <c:v>12018.295044770712</c:v>
                </c:pt>
                <c:pt idx="5">
                  <c:v>10162.32336817446</c:v>
                </c:pt>
                <c:pt idx="6">
                  <c:v>8402.2370132151264</c:v>
                </c:pt>
                <c:pt idx="7">
                  <c:v>6772.7154282097181</c:v>
                </c:pt>
                <c:pt idx="8">
                  <c:v>5306.7732954765524</c:v>
                </c:pt>
                <c:pt idx="9">
                  <c:v>4030.3355955213192</c:v>
                </c:pt>
                <c:pt idx="10">
                  <c:v>2957.8378665103228</c:v>
                </c:pt>
                <c:pt idx="11">
                  <c:v>2090.0981753928645</c:v>
                </c:pt>
                <c:pt idx="12">
                  <c:v>1414.9198848022643</c:v>
                </c:pt>
                <c:pt idx="13">
                  <c:v>909.99773447400366</c:v>
                </c:pt>
                <c:pt idx="14">
                  <c:v>547.09524857785436</c:v>
                </c:pt>
                <c:pt idx="15">
                  <c:v>296.32055639721511</c:v>
                </c:pt>
                <c:pt idx="16">
                  <c:v>129.59091256868851</c:v>
                </c:pt>
                <c:pt idx="17">
                  <c:v>22.836956808037939</c:v>
                </c:pt>
                <c:pt idx="18">
                  <c:v>-43.061118690427975</c:v>
                </c:pt>
                <c:pt idx="19">
                  <c:v>-82.325596324575599</c:v>
                </c:pt>
                <c:pt idx="20">
                  <c:v>-104.93625238693494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5-45F1-9400-A20FD244C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06624"/>
        <c:axId val="57108736"/>
      </c:lineChart>
      <c:lineChart>
        <c:grouping val="standard"/>
        <c:varyColors val="0"/>
        <c:ser>
          <c:idx val="3"/>
          <c:order val="2"/>
          <c:tx>
            <c:strRef>
              <c:f>'European Options BSM'!$Q$42</c:f>
              <c:strCache>
                <c:ptCount val="1"/>
                <c:pt idx="0">
                  <c:v>∆Call</c:v>
                </c:pt>
              </c:strCache>
            </c:strRef>
          </c:tx>
          <c:spPr>
            <a:ln w="254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'European Options BSM'!$N$43:$N$63</c:f>
              <c:numCache>
                <c:formatCode>0</c:formatCode>
                <c:ptCount val="21"/>
                <c:pt idx="0">
                  <c:v>80000</c:v>
                </c:pt>
                <c:pt idx="1">
                  <c:v>82000</c:v>
                </c:pt>
                <c:pt idx="2">
                  <c:v>84000</c:v>
                </c:pt>
                <c:pt idx="3">
                  <c:v>86000</c:v>
                </c:pt>
                <c:pt idx="4">
                  <c:v>88000</c:v>
                </c:pt>
                <c:pt idx="5">
                  <c:v>90000</c:v>
                </c:pt>
                <c:pt idx="6">
                  <c:v>92000</c:v>
                </c:pt>
                <c:pt idx="7">
                  <c:v>94000</c:v>
                </c:pt>
                <c:pt idx="8">
                  <c:v>96000</c:v>
                </c:pt>
                <c:pt idx="9">
                  <c:v>98000</c:v>
                </c:pt>
                <c:pt idx="10">
                  <c:v>100000</c:v>
                </c:pt>
                <c:pt idx="11">
                  <c:v>102000</c:v>
                </c:pt>
                <c:pt idx="12">
                  <c:v>104000</c:v>
                </c:pt>
                <c:pt idx="13">
                  <c:v>106000</c:v>
                </c:pt>
                <c:pt idx="14">
                  <c:v>108000</c:v>
                </c:pt>
                <c:pt idx="15">
                  <c:v>110000.00000000001</c:v>
                </c:pt>
                <c:pt idx="16">
                  <c:v>112000.00000000001</c:v>
                </c:pt>
                <c:pt idx="17">
                  <c:v>114000.00000000001</c:v>
                </c:pt>
                <c:pt idx="18">
                  <c:v>115999.99999999999</c:v>
                </c:pt>
                <c:pt idx="19">
                  <c:v>118000</c:v>
                </c:pt>
                <c:pt idx="20">
                  <c:v>120000</c:v>
                </c:pt>
              </c:numCache>
            </c:numRef>
          </c:cat>
          <c:val>
            <c:numRef>
              <c:f>'European Options BSM'!$Q$43:$Q$63</c:f>
              <c:numCache>
                <c:formatCode>0.00</c:formatCode>
                <c:ptCount val="21"/>
                <c:pt idx="0">
                  <c:v>2.2431609961079367E-3</c:v>
                </c:pt>
                <c:pt idx="1">
                  <c:v>5.8175347013459987E-3</c:v>
                </c:pt>
                <c:pt idx="2">
                  <c:v>1.3484933974380317E-2</c:v>
                </c:pt>
                <c:pt idx="3">
                  <c:v>2.8182429409244536E-2</c:v>
                </c:pt>
                <c:pt idx="4">
                  <c:v>5.3542181595403832E-2</c:v>
                </c:pt>
                <c:pt idx="5">
                  <c:v>9.3193871829811994E-2</c:v>
                </c:pt>
                <c:pt idx="6">
                  <c:v>0.149723436326541</c:v>
                </c:pt>
                <c:pt idx="7">
                  <c:v>0.2236267794686867</c:v>
                </c:pt>
                <c:pt idx="8">
                  <c:v>0.31269410934368608</c:v>
                </c:pt>
                <c:pt idx="9">
                  <c:v>0.41213411565052671</c:v>
                </c:pt>
                <c:pt idx="10">
                  <c:v>0.51544851613281994</c:v>
                </c:pt>
                <c:pt idx="11">
                  <c:v>0.61575890852128323</c:v>
                </c:pt>
                <c:pt idx="12">
                  <c:v>0.70713161998298901</c:v>
                </c:pt>
                <c:pt idx="13">
                  <c:v>0.78550263384007268</c:v>
                </c:pt>
                <c:pt idx="14">
                  <c:v>0.84901205059266704</c:v>
                </c:pt>
                <c:pt idx="15">
                  <c:v>0.89779197659893317</c:v>
                </c:pt>
                <c:pt idx="16">
                  <c:v>0.93340841037076983</c:v>
                </c:pt>
                <c:pt idx="17">
                  <c:v>0.95819794834259575</c:v>
                </c:pt>
                <c:pt idx="18">
                  <c:v>0.97468794611000054</c:v>
                </c:pt>
                <c:pt idx="19">
                  <c:v>0.98519694518534184</c:v>
                </c:pt>
                <c:pt idx="20">
                  <c:v>0.99162795985490415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C5-45F1-9400-A20FD244C304}"/>
            </c:ext>
          </c:extLst>
        </c:ser>
        <c:ser>
          <c:idx val="4"/>
          <c:order val="3"/>
          <c:tx>
            <c:strRef>
              <c:f>'European Options BSM'!$R$42</c:f>
              <c:strCache>
                <c:ptCount val="1"/>
                <c:pt idx="0">
                  <c:v>–∆Put</c:v>
                </c:pt>
              </c:strCache>
            </c:strRef>
          </c:tx>
          <c:spPr>
            <a:ln w="25400" cap="rnd">
              <a:solidFill>
                <a:srgbClr val="FF9B9B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'European Options BSM'!$N$43:$N$63</c:f>
              <c:numCache>
                <c:formatCode>0</c:formatCode>
                <c:ptCount val="21"/>
                <c:pt idx="0">
                  <c:v>80000</c:v>
                </c:pt>
                <c:pt idx="1">
                  <c:v>82000</c:v>
                </c:pt>
                <c:pt idx="2">
                  <c:v>84000</c:v>
                </c:pt>
                <c:pt idx="3">
                  <c:v>86000</c:v>
                </c:pt>
                <c:pt idx="4">
                  <c:v>88000</c:v>
                </c:pt>
                <c:pt idx="5">
                  <c:v>90000</c:v>
                </c:pt>
                <c:pt idx="6">
                  <c:v>92000</c:v>
                </c:pt>
                <c:pt idx="7">
                  <c:v>94000</c:v>
                </c:pt>
                <c:pt idx="8">
                  <c:v>96000</c:v>
                </c:pt>
                <c:pt idx="9">
                  <c:v>98000</c:v>
                </c:pt>
                <c:pt idx="10">
                  <c:v>100000</c:v>
                </c:pt>
                <c:pt idx="11">
                  <c:v>102000</c:v>
                </c:pt>
                <c:pt idx="12">
                  <c:v>104000</c:v>
                </c:pt>
                <c:pt idx="13">
                  <c:v>106000</c:v>
                </c:pt>
                <c:pt idx="14">
                  <c:v>108000</c:v>
                </c:pt>
                <c:pt idx="15">
                  <c:v>110000.00000000001</c:v>
                </c:pt>
                <c:pt idx="16">
                  <c:v>112000.00000000001</c:v>
                </c:pt>
                <c:pt idx="17">
                  <c:v>114000.00000000001</c:v>
                </c:pt>
                <c:pt idx="18">
                  <c:v>115999.99999999999</c:v>
                </c:pt>
                <c:pt idx="19">
                  <c:v>118000</c:v>
                </c:pt>
                <c:pt idx="20">
                  <c:v>120000</c:v>
                </c:pt>
              </c:numCache>
            </c:numRef>
          </c:cat>
          <c:val>
            <c:numRef>
              <c:f>'European Options BSM'!$R$43:$R$63</c:f>
              <c:numCache>
                <c:formatCode>0.00</c:formatCode>
                <c:ptCount val="21"/>
                <c:pt idx="0">
                  <c:v>0.99775683900389212</c:v>
                </c:pt>
                <c:pt idx="1">
                  <c:v>0.99418246529865395</c:v>
                </c:pt>
                <c:pt idx="2">
                  <c:v>0.98651506602561967</c:v>
                </c:pt>
                <c:pt idx="3">
                  <c:v>0.97181757059075546</c:v>
                </c:pt>
                <c:pt idx="4">
                  <c:v>0.9464578184045962</c:v>
                </c:pt>
                <c:pt idx="5">
                  <c:v>0.90680612817018802</c:v>
                </c:pt>
                <c:pt idx="6">
                  <c:v>0.85027656367345905</c:v>
                </c:pt>
                <c:pt idx="7">
                  <c:v>0.7763732205313133</c:v>
                </c:pt>
                <c:pt idx="8">
                  <c:v>0.68730589065631387</c:v>
                </c:pt>
                <c:pt idx="9">
                  <c:v>0.58786588434947329</c:v>
                </c:pt>
                <c:pt idx="10">
                  <c:v>0.48455148386718006</c:v>
                </c:pt>
                <c:pt idx="11">
                  <c:v>0.38424109147871677</c:v>
                </c:pt>
                <c:pt idx="12">
                  <c:v>0.29286838001701099</c:v>
                </c:pt>
                <c:pt idx="13">
                  <c:v>0.21449736615992729</c:v>
                </c:pt>
                <c:pt idx="14">
                  <c:v>0.15098794940733296</c:v>
                </c:pt>
                <c:pt idx="15">
                  <c:v>0.10220802340106681</c:v>
                </c:pt>
                <c:pt idx="16">
                  <c:v>6.6591589629230202E-2</c:v>
                </c:pt>
                <c:pt idx="17">
                  <c:v>4.1802051657404249E-2</c:v>
                </c:pt>
                <c:pt idx="18">
                  <c:v>2.5312053889999502E-2</c:v>
                </c:pt>
                <c:pt idx="19">
                  <c:v>1.480305481465811E-2</c:v>
                </c:pt>
                <c:pt idx="20">
                  <c:v>8.3720401450958579E-3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C5-45F1-9400-A20FD244C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45632"/>
        <c:axId val="57109312"/>
      </c:lineChart>
      <c:catAx>
        <c:axId val="8290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08736"/>
        <c:crosses val="autoZero"/>
        <c:auto val="1"/>
        <c:lblAlgn val="ctr"/>
        <c:lblOffset val="100"/>
        <c:noMultiLvlLbl val="0"/>
      </c:catAx>
      <c:valAx>
        <c:axId val="57108736"/>
        <c:scaling>
          <c:orientation val="minMax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i="1" baseline="0"/>
                  <a:t>Price</a:t>
                </a:r>
                <a:endParaRPr lang="ru-RU" sz="800" i="1" baseline="0"/>
              </a:p>
            </c:rich>
          </c:tx>
          <c:layout>
            <c:manualLayout>
              <c:xMode val="edge"/>
              <c:yMode val="edge"/>
              <c:x val="8.1325098124202369E-2"/>
              <c:y val="2.2036476209704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06624"/>
        <c:crosses val="autoZero"/>
        <c:crossBetween val="between"/>
      </c:valAx>
      <c:valAx>
        <c:axId val="57109312"/>
        <c:scaling>
          <c:orientation val="minMax"/>
        </c:scaling>
        <c:delete val="0"/>
        <c:axPos val="r"/>
        <c:minorGridlines>
          <c:spPr>
            <a:ln w="3175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i="1" baseline="0"/>
                  <a:t>Delta</a:t>
                </a:r>
                <a:endParaRPr lang="ru-RU" sz="800" i="1" baseline="0"/>
              </a:p>
            </c:rich>
          </c:tx>
          <c:layout>
            <c:manualLayout>
              <c:xMode val="edge"/>
              <c:yMode val="edge"/>
              <c:x val="0.85547689566327145"/>
              <c:y val="2.714461391626745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in"/>
        <c:tickLblPos val="high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445632"/>
        <c:crosses val="max"/>
        <c:crossBetween val="between"/>
      </c:valAx>
      <c:catAx>
        <c:axId val="10944563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7109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>
          <a:outerShdw dir="5400000" algn="ctr" rotWithShape="0">
            <a:srgbClr val="000000">
              <a:alpha val="43137"/>
            </a:srgbClr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showDLblsOverMax val="0"/>
  </c:chart>
  <c:spPr>
    <a:solidFill>
      <a:schemeClr val="tx1">
        <a:lumMod val="95000"/>
        <a:lumOff val="5000"/>
      </a:schemeClr>
    </a:solidFill>
    <a:ln w="6350" cap="flat" cmpd="sng" algn="ctr">
      <a:solidFill>
        <a:schemeClr val="tx1">
          <a:lumMod val="85000"/>
          <a:lumOff val="15000"/>
        </a:schemeClr>
      </a:solidFill>
      <a:prstDash val="dash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bg2">
                    <a:lumMod val="75000"/>
                  </a:schemeClr>
                </a:solidFill>
              </a:rPr>
              <a:t>Vega and Theta </a:t>
            </a:r>
            <a:r>
              <a:rPr lang="ru-RU" sz="1400" b="0" i="0" u="none" strike="noStrike" baseline="0">
                <a:effectLst/>
              </a:rPr>
              <a:t>(</a:t>
            </a:r>
            <a:r>
              <a:rPr lang="en-US" sz="1400" b="0" i="0" u="none" strike="noStrike" baseline="0">
                <a:effectLst/>
              </a:rPr>
              <a:t>on Base-Asset price</a:t>
            </a:r>
            <a:r>
              <a:rPr lang="ru-RU" sz="1400" b="0" i="0" u="none" strike="noStrike" baseline="0">
                <a:effectLst/>
              </a:rPr>
              <a:t>)</a:t>
            </a:r>
            <a:endParaRPr lang="ru-RU" baseline="0">
              <a:solidFill>
                <a:schemeClr val="bg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1687871310451769"/>
          <c:y val="2.74032039849064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18256179516022"/>
          <c:y val="0.11585005349832875"/>
          <c:w val="0.75349981252343456"/>
          <c:h val="0.78432832259603913"/>
        </c:manualLayout>
      </c:layout>
      <c:lineChart>
        <c:grouping val="standard"/>
        <c:varyColors val="0"/>
        <c:ser>
          <c:idx val="1"/>
          <c:order val="0"/>
          <c:tx>
            <c:strRef>
              <c:f>'European Options BSM'!$S$42</c:f>
              <c:strCache>
                <c:ptCount val="1"/>
                <c:pt idx="0">
                  <c:v>Vega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'European Options BSM'!$N$43:$N$63</c:f>
              <c:numCache>
                <c:formatCode>0</c:formatCode>
                <c:ptCount val="21"/>
                <c:pt idx="0">
                  <c:v>80000</c:v>
                </c:pt>
                <c:pt idx="1">
                  <c:v>82000</c:v>
                </c:pt>
                <c:pt idx="2">
                  <c:v>84000</c:v>
                </c:pt>
                <c:pt idx="3">
                  <c:v>86000</c:v>
                </c:pt>
                <c:pt idx="4">
                  <c:v>88000</c:v>
                </c:pt>
                <c:pt idx="5">
                  <c:v>90000</c:v>
                </c:pt>
                <c:pt idx="6">
                  <c:v>92000</c:v>
                </c:pt>
                <c:pt idx="7">
                  <c:v>94000</c:v>
                </c:pt>
                <c:pt idx="8">
                  <c:v>96000</c:v>
                </c:pt>
                <c:pt idx="9">
                  <c:v>98000</c:v>
                </c:pt>
                <c:pt idx="10">
                  <c:v>100000</c:v>
                </c:pt>
                <c:pt idx="11">
                  <c:v>102000</c:v>
                </c:pt>
                <c:pt idx="12">
                  <c:v>104000</c:v>
                </c:pt>
                <c:pt idx="13">
                  <c:v>106000</c:v>
                </c:pt>
                <c:pt idx="14">
                  <c:v>108000</c:v>
                </c:pt>
                <c:pt idx="15">
                  <c:v>110000.00000000001</c:v>
                </c:pt>
                <c:pt idx="16">
                  <c:v>112000.00000000001</c:v>
                </c:pt>
                <c:pt idx="17">
                  <c:v>114000.00000000001</c:v>
                </c:pt>
                <c:pt idx="18">
                  <c:v>115999.99999999999</c:v>
                </c:pt>
                <c:pt idx="19">
                  <c:v>118000</c:v>
                </c:pt>
                <c:pt idx="20">
                  <c:v>120000</c:v>
                </c:pt>
              </c:numCache>
            </c:numRef>
          </c:cat>
          <c:val>
            <c:numRef>
              <c:f>'European Options BSM'!$S$43:$S$63</c:f>
              <c:numCache>
                <c:formatCode>0</c:formatCode>
                <c:ptCount val="21"/>
                <c:pt idx="0">
                  <c:v>1.1784239258503617</c:v>
                </c:pt>
                <c:pt idx="1">
                  <c:v>2.8402390590108997</c:v>
                </c:pt>
                <c:pt idx="2">
                  <c:v>6.0765650449848074</c:v>
                </c:pt>
                <c:pt idx="3">
                  <c:v>11.631516414970106</c:v>
                </c:pt>
                <c:pt idx="4">
                  <c:v>20.064726703828612</c:v>
                </c:pt>
                <c:pt idx="5">
                  <c:v>31.400729087531971</c:v>
                </c:pt>
                <c:pt idx="6">
                  <c:v>44.855799936960665</c:v>
                </c:pt>
                <c:pt idx="7">
                  <c:v>58.820222859740014</c:v>
                </c:pt>
                <c:pt idx="8">
                  <c:v>71.176097478829433</c:v>
                </c:pt>
                <c:pt idx="9">
                  <c:v>79.862363925414527</c:v>
                </c:pt>
                <c:pt idx="10">
                  <c:v>83.463740590463445</c:v>
                </c:pt>
                <c:pt idx="11">
                  <c:v>81.584631415241731</c:v>
                </c:pt>
                <c:pt idx="12">
                  <c:v>74.877793445514584</c:v>
                </c:pt>
                <c:pt idx="13">
                  <c:v>64.75815324979753</c:v>
                </c:pt>
                <c:pt idx="14">
                  <c:v>52.952721153621475</c:v>
                </c:pt>
                <c:pt idx="15">
                  <c:v>41.066926596879668</c:v>
                </c:pt>
                <c:pt idx="16">
                  <c:v>30.295206823519688</c:v>
                </c:pt>
                <c:pt idx="17">
                  <c:v>21.316623819407205</c:v>
                </c:pt>
                <c:pt idx="18">
                  <c:v>14.342818495608206</c:v>
                </c:pt>
                <c:pt idx="19">
                  <c:v>9.2504046424298814</c:v>
                </c:pt>
                <c:pt idx="20">
                  <c:v>5.7315333391595846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1-4CF6-AB74-06A9E47AA87F}"/>
            </c:ext>
          </c:extLst>
        </c:ser>
        <c:ser>
          <c:idx val="3"/>
          <c:order val="1"/>
          <c:tx>
            <c:strRef>
              <c:f>'European Options BSM'!$T$42</c:f>
              <c:strCache>
                <c:ptCount val="1"/>
                <c:pt idx="0">
                  <c:v>Theta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'European Options BSM'!$N$43:$N$63</c:f>
              <c:numCache>
                <c:formatCode>0</c:formatCode>
                <c:ptCount val="21"/>
                <c:pt idx="0">
                  <c:v>80000</c:v>
                </c:pt>
                <c:pt idx="1">
                  <c:v>82000</c:v>
                </c:pt>
                <c:pt idx="2">
                  <c:v>84000</c:v>
                </c:pt>
                <c:pt idx="3">
                  <c:v>86000</c:v>
                </c:pt>
                <c:pt idx="4">
                  <c:v>88000</c:v>
                </c:pt>
                <c:pt idx="5">
                  <c:v>90000</c:v>
                </c:pt>
                <c:pt idx="6">
                  <c:v>92000</c:v>
                </c:pt>
                <c:pt idx="7">
                  <c:v>94000</c:v>
                </c:pt>
                <c:pt idx="8">
                  <c:v>96000</c:v>
                </c:pt>
                <c:pt idx="9">
                  <c:v>98000</c:v>
                </c:pt>
                <c:pt idx="10">
                  <c:v>100000</c:v>
                </c:pt>
                <c:pt idx="11">
                  <c:v>102000</c:v>
                </c:pt>
                <c:pt idx="12">
                  <c:v>104000</c:v>
                </c:pt>
                <c:pt idx="13">
                  <c:v>106000</c:v>
                </c:pt>
                <c:pt idx="14">
                  <c:v>108000</c:v>
                </c:pt>
                <c:pt idx="15">
                  <c:v>110000.00000000001</c:v>
                </c:pt>
                <c:pt idx="16">
                  <c:v>112000.00000000001</c:v>
                </c:pt>
                <c:pt idx="17">
                  <c:v>114000.00000000001</c:v>
                </c:pt>
                <c:pt idx="18">
                  <c:v>115999.99999999999</c:v>
                </c:pt>
                <c:pt idx="19">
                  <c:v>118000</c:v>
                </c:pt>
                <c:pt idx="20">
                  <c:v>120000</c:v>
                </c:pt>
              </c:numCache>
            </c:numRef>
          </c:cat>
          <c:val>
            <c:numRef>
              <c:f>'European Options BSM'!$T$43:$T$63</c:f>
              <c:numCache>
                <c:formatCode>0</c:formatCode>
                <c:ptCount val="21"/>
                <c:pt idx="0">
                  <c:v>-1.3625526642644807</c:v>
                </c:pt>
                <c:pt idx="1">
                  <c:v>-3.2840264119813534</c:v>
                </c:pt>
                <c:pt idx="2">
                  <c:v>-7.0260283332636835</c:v>
                </c:pt>
                <c:pt idx="3">
                  <c:v>-13.448940854809186</c:v>
                </c:pt>
                <c:pt idx="4">
                  <c:v>-23.199840251301833</c:v>
                </c:pt>
                <c:pt idx="5">
                  <c:v>-36.307093007458839</c:v>
                </c:pt>
                <c:pt idx="6">
                  <c:v>-51.864518677110773</c:v>
                </c:pt>
                <c:pt idx="7">
                  <c:v>-68.010882681574401</c:v>
                </c:pt>
                <c:pt idx="8">
                  <c:v>-82.297362709896532</c:v>
                </c:pt>
                <c:pt idx="9">
                  <c:v>-92.340858288760558</c:v>
                </c:pt>
                <c:pt idx="10">
                  <c:v>-96.504950057723377</c:v>
                </c:pt>
                <c:pt idx="11">
                  <c:v>-94.332230073873262</c:v>
                </c:pt>
                <c:pt idx="12">
                  <c:v>-86.57744867137626</c:v>
                </c:pt>
                <c:pt idx="13">
                  <c:v>-74.876614695078416</c:v>
                </c:pt>
                <c:pt idx="14">
                  <c:v>-61.226583833874841</c:v>
                </c:pt>
                <c:pt idx="15">
                  <c:v>-47.483633877642113</c:v>
                </c:pt>
                <c:pt idx="16">
                  <c:v>-35.028832889694641</c:v>
                </c:pt>
                <c:pt idx="17">
                  <c:v>-24.647346291189582</c:v>
                </c:pt>
                <c:pt idx="18">
                  <c:v>-16.583883885546989</c:v>
                </c:pt>
                <c:pt idx="19">
                  <c:v>-10.695780367809551</c:v>
                </c:pt>
                <c:pt idx="20">
                  <c:v>-6.6270854234032699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1-4CF6-AB74-06A9E47AA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00960"/>
        <c:axId val="57111616"/>
        <c:extLst/>
      </c:lineChart>
      <c:catAx>
        <c:axId val="8260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1616"/>
        <c:crosses val="autoZero"/>
        <c:auto val="1"/>
        <c:lblAlgn val="ctr"/>
        <c:lblOffset val="100"/>
        <c:noMultiLvlLbl val="0"/>
      </c:catAx>
      <c:valAx>
        <c:axId val="5711161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inorGridlines>
        <c:numFmt formatCode="0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600960"/>
        <c:crosses val="autoZero"/>
        <c:crossBetween val="between"/>
      </c:valAx>
      <c:spPr>
        <a:noFill/>
        <a:ln>
          <a:noFill/>
        </a:ln>
        <a:effectLst>
          <a:outerShdw dir="5400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.34136646550953087"/>
          <c:y val="0.89648380229502855"/>
          <c:w val="0.31726706898093832"/>
          <c:h val="8.7891204112859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showDLblsOverMax val="0"/>
  </c:chart>
  <c:spPr>
    <a:solidFill>
      <a:schemeClr val="tx1">
        <a:lumMod val="95000"/>
        <a:lumOff val="5000"/>
      </a:schemeClr>
    </a:solidFill>
    <a:ln w="6350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Price and Delta </a:t>
            </a:r>
            <a:r>
              <a:rPr lang="ru-RU" sz="1400" b="0" i="0" baseline="0">
                <a:effectLst/>
              </a:rPr>
              <a:t>(</a:t>
            </a:r>
            <a:r>
              <a:rPr lang="en-US" sz="1400" b="0" i="0" baseline="0">
                <a:effectLst/>
              </a:rPr>
              <a:t>on Volatility</a:t>
            </a:r>
            <a:r>
              <a:rPr lang="ru-RU" sz="1400" b="0" i="0" baseline="0">
                <a:effectLst/>
              </a:rPr>
              <a:t>)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18254600064755686"/>
          <c:y val="1.22324129566295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242748502591028E-2"/>
          <c:y val="8.1795750082575086E-2"/>
          <c:w val="0.77808264351571432"/>
          <c:h val="0.78451090648516209"/>
        </c:manualLayout>
      </c:layout>
      <c:lineChart>
        <c:grouping val="standard"/>
        <c:varyColors val="0"/>
        <c:ser>
          <c:idx val="0"/>
          <c:order val="0"/>
          <c:tx>
            <c:strRef>
              <c:f>'European Options BSM'!$D$42</c:f>
              <c:strCache>
                <c:ptCount val="1"/>
                <c:pt idx="0">
                  <c:v>Call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'European Options BSM'!$C$43:$C$63</c:f>
              <c:numCache>
                <c:formatCode>0%</c:formatCode>
                <c:ptCount val="21"/>
                <c:pt idx="0">
                  <c:v>0.16999999999999998</c:v>
                </c:pt>
                <c:pt idx="1">
                  <c:v>0.19</c:v>
                </c:pt>
                <c:pt idx="2">
                  <c:v>0.21</c:v>
                </c:pt>
                <c:pt idx="3">
                  <c:v>0.22999999999999998</c:v>
                </c:pt>
                <c:pt idx="4">
                  <c:v>0.25</c:v>
                </c:pt>
                <c:pt idx="5">
                  <c:v>0.27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0.33</c:v>
                </c:pt>
                <c:pt idx="9">
                  <c:v>0.35</c:v>
                </c:pt>
                <c:pt idx="10">
                  <c:v>0.37</c:v>
                </c:pt>
                <c:pt idx="11">
                  <c:v>0.39</c:v>
                </c:pt>
                <c:pt idx="12">
                  <c:v>0.41</c:v>
                </c:pt>
                <c:pt idx="13">
                  <c:v>0.43</c:v>
                </c:pt>
                <c:pt idx="14">
                  <c:v>0.45</c:v>
                </c:pt>
                <c:pt idx="15">
                  <c:v>0.47</c:v>
                </c:pt>
                <c:pt idx="16">
                  <c:v>0.49</c:v>
                </c:pt>
                <c:pt idx="17">
                  <c:v>0.51</c:v>
                </c:pt>
                <c:pt idx="18">
                  <c:v>0.53</c:v>
                </c:pt>
                <c:pt idx="19">
                  <c:v>0.55000000000000004</c:v>
                </c:pt>
                <c:pt idx="20">
                  <c:v>0.57000000000000006</c:v>
                </c:pt>
              </c:numCache>
            </c:numRef>
          </c:cat>
          <c:val>
            <c:numRef>
              <c:f>'European Options BSM'!$D$43:$D$63</c:f>
              <c:numCache>
                <c:formatCode>0</c:formatCode>
                <c:ptCount val="21"/>
                <c:pt idx="0">
                  <c:v>116.10694357507327</c:v>
                </c:pt>
                <c:pt idx="1">
                  <c:v>180.51015333585019</c:v>
                </c:pt>
                <c:pt idx="2">
                  <c:v>257.31437785216076</c:v>
                </c:pt>
                <c:pt idx="3">
                  <c:v>344.81160081013149</c:v>
                </c:pt>
                <c:pt idx="4">
                  <c:v>441.42830207908446</c:v>
                </c:pt>
                <c:pt idx="5">
                  <c:v>545.79352763826682</c:v>
                </c:pt>
                <c:pt idx="6">
                  <c:v>656.74469270553163</c:v>
                </c:pt>
                <c:pt idx="7">
                  <c:v>773.30841804546071</c:v>
                </c:pt>
                <c:pt idx="8">
                  <c:v>894.67383298356071</c:v>
                </c:pt>
                <c:pt idx="9">
                  <c:v>1020.1658862988224</c:v>
                </c:pt>
                <c:pt idx="10">
                  <c:v>1149.2215342413838</c:v>
                </c:pt>
                <c:pt idx="11">
                  <c:v>1281.3695715243593</c:v>
                </c:pt>
                <c:pt idx="12">
                  <c:v>1416.2139885022771</c:v>
                </c:pt>
                <c:pt idx="13">
                  <c:v>1553.4204181032073</c:v>
                </c:pt>
                <c:pt idx="14">
                  <c:v>1692.705165452433</c:v>
                </c:pt>
                <c:pt idx="15">
                  <c:v>1833.8263444182885</c:v>
                </c:pt>
                <c:pt idx="16">
                  <c:v>1976.5767113392139</c:v>
                </c:pt>
                <c:pt idx="17">
                  <c:v>2120.777857622008</c:v>
                </c:pt>
                <c:pt idx="18">
                  <c:v>2266.2754880572465</c:v>
                </c:pt>
                <c:pt idx="19">
                  <c:v>2412.9355669201832</c:v>
                </c:pt>
                <c:pt idx="20">
                  <c:v>2560.6411590061325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5-4304-9E27-3642E726D017}"/>
            </c:ext>
          </c:extLst>
        </c:ser>
        <c:ser>
          <c:idx val="1"/>
          <c:order val="1"/>
          <c:tx>
            <c:strRef>
              <c:f>'European Options BSM'!$E$42</c:f>
              <c:strCache>
                <c:ptCount val="1"/>
                <c:pt idx="0">
                  <c:v>Put</c:v>
                </c:pt>
              </c:strCache>
            </c:strRef>
          </c:tx>
          <c:spPr>
            <a:ln w="28575" cap="rnd">
              <a:solidFill>
                <a:srgbClr val="FF9B9B"/>
              </a:solidFill>
              <a:round/>
            </a:ln>
            <a:effectLst/>
          </c:spPr>
          <c:marker>
            <c:symbol val="none"/>
          </c:marker>
          <c:cat>
            <c:numRef>
              <c:f>'European Options BSM'!$C$43:$C$63</c:f>
              <c:numCache>
                <c:formatCode>0%</c:formatCode>
                <c:ptCount val="21"/>
                <c:pt idx="0">
                  <c:v>0.16999999999999998</c:v>
                </c:pt>
                <c:pt idx="1">
                  <c:v>0.19</c:v>
                </c:pt>
                <c:pt idx="2">
                  <c:v>0.21</c:v>
                </c:pt>
                <c:pt idx="3">
                  <c:v>0.22999999999999998</c:v>
                </c:pt>
                <c:pt idx="4">
                  <c:v>0.25</c:v>
                </c:pt>
                <c:pt idx="5">
                  <c:v>0.27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0.33</c:v>
                </c:pt>
                <c:pt idx="9">
                  <c:v>0.35</c:v>
                </c:pt>
                <c:pt idx="10">
                  <c:v>0.37</c:v>
                </c:pt>
                <c:pt idx="11">
                  <c:v>0.39</c:v>
                </c:pt>
                <c:pt idx="12">
                  <c:v>0.41</c:v>
                </c:pt>
                <c:pt idx="13">
                  <c:v>0.43</c:v>
                </c:pt>
                <c:pt idx="14">
                  <c:v>0.45</c:v>
                </c:pt>
                <c:pt idx="15">
                  <c:v>0.47</c:v>
                </c:pt>
                <c:pt idx="16">
                  <c:v>0.49</c:v>
                </c:pt>
                <c:pt idx="17">
                  <c:v>0.51</c:v>
                </c:pt>
                <c:pt idx="18">
                  <c:v>0.53</c:v>
                </c:pt>
                <c:pt idx="19">
                  <c:v>0.55000000000000004</c:v>
                </c:pt>
                <c:pt idx="20">
                  <c:v>0.57000000000000006</c:v>
                </c:pt>
              </c:numCache>
            </c:numRef>
          </c:cat>
          <c:val>
            <c:numRef>
              <c:f>'European Options BSM'!$E$43:$E$63</c:f>
              <c:numCache>
                <c:formatCode>0</c:formatCode>
                <c:ptCount val="21"/>
                <c:pt idx="0">
                  <c:v>5116.1069435750687</c:v>
                </c:pt>
                <c:pt idx="1">
                  <c:v>5180.5101533358538</c:v>
                </c:pt>
                <c:pt idx="2">
                  <c:v>5257.3143778521626</c:v>
                </c:pt>
                <c:pt idx="3">
                  <c:v>5344.8116008101351</c:v>
                </c:pt>
                <c:pt idx="4">
                  <c:v>5441.4283020790899</c:v>
                </c:pt>
                <c:pt idx="5">
                  <c:v>5545.7935276382632</c:v>
                </c:pt>
                <c:pt idx="6">
                  <c:v>5656.744692705528</c:v>
                </c:pt>
                <c:pt idx="7">
                  <c:v>5773.3084180454607</c:v>
                </c:pt>
                <c:pt idx="8">
                  <c:v>5894.6738329835644</c:v>
                </c:pt>
                <c:pt idx="9">
                  <c:v>6020.1658862988261</c:v>
                </c:pt>
                <c:pt idx="10">
                  <c:v>6149.2215342413838</c:v>
                </c:pt>
                <c:pt idx="11">
                  <c:v>6281.3695715243521</c:v>
                </c:pt>
                <c:pt idx="12">
                  <c:v>6416.2139885022771</c:v>
                </c:pt>
                <c:pt idx="13">
                  <c:v>6553.420418103211</c:v>
                </c:pt>
                <c:pt idx="14">
                  <c:v>6692.7051654524403</c:v>
                </c:pt>
                <c:pt idx="15">
                  <c:v>6833.8263444182812</c:v>
                </c:pt>
                <c:pt idx="16">
                  <c:v>6976.5767113392067</c:v>
                </c:pt>
                <c:pt idx="17">
                  <c:v>7120.7778576220153</c:v>
                </c:pt>
                <c:pt idx="18">
                  <c:v>7266.2754880572465</c:v>
                </c:pt>
                <c:pt idx="19">
                  <c:v>7412.9355669201759</c:v>
                </c:pt>
                <c:pt idx="20">
                  <c:v>7560.6411590061325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5-4304-9E27-3642E726D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00448"/>
        <c:axId val="57113920"/>
        <c:extLst/>
      </c:lineChart>
      <c:lineChart>
        <c:grouping val="standard"/>
        <c:varyColors val="0"/>
        <c:ser>
          <c:idx val="3"/>
          <c:order val="2"/>
          <c:tx>
            <c:strRef>
              <c:f>'European Options BSM'!$F$42</c:f>
              <c:strCache>
                <c:ptCount val="1"/>
                <c:pt idx="0">
                  <c:v>∆Call</c:v>
                </c:pt>
              </c:strCache>
            </c:strRef>
          </c:tx>
          <c:spPr>
            <a:ln w="254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'European Options BSM'!$C$43:$C$63</c:f>
              <c:numCache>
                <c:formatCode>0%</c:formatCode>
                <c:ptCount val="21"/>
                <c:pt idx="0">
                  <c:v>0.16999999999999998</c:v>
                </c:pt>
                <c:pt idx="1">
                  <c:v>0.19</c:v>
                </c:pt>
                <c:pt idx="2">
                  <c:v>0.21</c:v>
                </c:pt>
                <c:pt idx="3">
                  <c:v>0.22999999999999998</c:v>
                </c:pt>
                <c:pt idx="4">
                  <c:v>0.25</c:v>
                </c:pt>
                <c:pt idx="5">
                  <c:v>0.27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0.33</c:v>
                </c:pt>
                <c:pt idx="9">
                  <c:v>0.35</c:v>
                </c:pt>
                <c:pt idx="10">
                  <c:v>0.37</c:v>
                </c:pt>
                <c:pt idx="11">
                  <c:v>0.39</c:v>
                </c:pt>
                <c:pt idx="12">
                  <c:v>0.41</c:v>
                </c:pt>
                <c:pt idx="13">
                  <c:v>0.43</c:v>
                </c:pt>
                <c:pt idx="14">
                  <c:v>0.45</c:v>
                </c:pt>
                <c:pt idx="15">
                  <c:v>0.47</c:v>
                </c:pt>
                <c:pt idx="16">
                  <c:v>0.49</c:v>
                </c:pt>
                <c:pt idx="17">
                  <c:v>0.51</c:v>
                </c:pt>
                <c:pt idx="18">
                  <c:v>0.53</c:v>
                </c:pt>
                <c:pt idx="19">
                  <c:v>0.55000000000000004</c:v>
                </c:pt>
                <c:pt idx="20">
                  <c:v>0.57000000000000006</c:v>
                </c:pt>
              </c:numCache>
            </c:numRef>
          </c:cat>
          <c:val>
            <c:numRef>
              <c:f>'European Options BSM'!$F$43:$F$63</c:f>
              <c:numCache>
                <c:formatCode>0.00</c:formatCode>
                <c:ptCount val="21"/>
                <c:pt idx="0">
                  <c:v>8.2817087389646923E-2</c:v>
                </c:pt>
                <c:pt idx="1">
                  <c:v>0.10814220395368415</c:v>
                </c:pt>
                <c:pt idx="2">
                  <c:v>0.13248483903839339</c:v>
                </c:pt>
                <c:pt idx="3">
                  <c:v>0.15534289384579431</c:v>
                </c:pt>
                <c:pt idx="4">
                  <c:v>0.17653227757540321</c:v>
                </c:pt>
                <c:pt idx="5">
                  <c:v>0.19604330159506053</c:v>
                </c:pt>
                <c:pt idx="6">
                  <c:v>0.21395503908788194</c:v>
                </c:pt>
                <c:pt idx="7">
                  <c:v>0.23038666180576503</c:v>
                </c:pt>
                <c:pt idx="8">
                  <c:v>0.24547075985730071</c:v>
                </c:pt>
                <c:pt idx="9">
                  <c:v>0.25933929563299551</c:v>
                </c:pt>
                <c:pt idx="10">
                  <c:v>0.27211667221336588</c:v>
                </c:pt>
                <c:pt idx="11">
                  <c:v>0.28391673656345273</c:v>
                </c:pt>
                <c:pt idx="12">
                  <c:v>0.29484190822057771</c:v>
                </c:pt>
                <c:pt idx="13">
                  <c:v>0.30498341238166138</c:v>
                </c:pt>
                <c:pt idx="14">
                  <c:v>0.31442204631176857</c:v>
                </c:pt>
                <c:pt idx="15">
                  <c:v>0.3232291641572077</c:v>
                </c:pt>
                <c:pt idx="16">
                  <c:v>0.33146771073335146</c:v>
                </c:pt>
                <c:pt idx="17">
                  <c:v>0.33919321714992834</c:v>
                </c:pt>
                <c:pt idx="18">
                  <c:v>0.34645471729379651</c:v>
                </c:pt>
                <c:pt idx="19">
                  <c:v>0.35329556966513442</c:v>
                </c:pt>
                <c:pt idx="20">
                  <c:v>0.35975418271593629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35-4304-9E27-3642E726D017}"/>
            </c:ext>
          </c:extLst>
        </c:ser>
        <c:ser>
          <c:idx val="4"/>
          <c:order val="3"/>
          <c:tx>
            <c:strRef>
              <c:f>'European Options BSM'!$G$42</c:f>
              <c:strCache>
                <c:ptCount val="1"/>
                <c:pt idx="0">
                  <c:v>–∆Put</c:v>
                </c:pt>
              </c:strCache>
            </c:strRef>
          </c:tx>
          <c:spPr>
            <a:ln w="25400" cap="rnd">
              <a:solidFill>
                <a:srgbClr val="FF9B9B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'European Options BSM'!$C$43:$C$63</c:f>
              <c:numCache>
                <c:formatCode>0%</c:formatCode>
                <c:ptCount val="21"/>
                <c:pt idx="0">
                  <c:v>0.16999999999999998</c:v>
                </c:pt>
                <c:pt idx="1">
                  <c:v>0.19</c:v>
                </c:pt>
                <c:pt idx="2">
                  <c:v>0.21</c:v>
                </c:pt>
                <c:pt idx="3">
                  <c:v>0.22999999999999998</c:v>
                </c:pt>
                <c:pt idx="4">
                  <c:v>0.25</c:v>
                </c:pt>
                <c:pt idx="5">
                  <c:v>0.27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0.33</c:v>
                </c:pt>
                <c:pt idx="9">
                  <c:v>0.35</c:v>
                </c:pt>
                <c:pt idx="10">
                  <c:v>0.37</c:v>
                </c:pt>
                <c:pt idx="11">
                  <c:v>0.39</c:v>
                </c:pt>
                <c:pt idx="12">
                  <c:v>0.41</c:v>
                </c:pt>
                <c:pt idx="13">
                  <c:v>0.43</c:v>
                </c:pt>
                <c:pt idx="14">
                  <c:v>0.45</c:v>
                </c:pt>
                <c:pt idx="15">
                  <c:v>0.47</c:v>
                </c:pt>
                <c:pt idx="16">
                  <c:v>0.49</c:v>
                </c:pt>
                <c:pt idx="17">
                  <c:v>0.51</c:v>
                </c:pt>
                <c:pt idx="18">
                  <c:v>0.53</c:v>
                </c:pt>
                <c:pt idx="19">
                  <c:v>0.55000000000000004</c:v>
                </c:pt>
                <c:pt idx="20">
                  <c:v>0.57000000000000006</c:v>
                </c:pt>
              </c:numCache>
            </c:numRef>
          </c:cat>
          <c:val>
            <c:numRef>
              <c:f>'European Options BSM'!$G$43:$G$63</c:f>
              <c:numCache>
                <c:formatCode>0.00</c:formatCode>
                <c:ptCount val="21"/>
                <c:pt idx="0">
                  <c:v>0.71919452966360253</c:v>
                </c:pt>
                <c:pt idx="1">
                  <c:v>0.69685741253231226</c:v>
                </c:pt>
                <c:pt idx="2">
                  <c:v>0.67807092149423975</c:v>
                </c:pt>
                <c:pt idx="3">
                  <c:v>0.66206479256451445</c:v>
                </c:pt>
                <c:pt idx="4">
                  <c:v>0.64826354853350932</c:v>
                </c:pt>
                <c:pt idx="5">
                  <c:v>0.63623348296501037</c:v>
                </c:pt>
                <c:pt idx="6">
                  <c:v>0.62564386710940911</c:v>
                </c:pt>
                <c:pt idx="7">
                  <c:v>0.61623929253463305</c:v>
                </c:pt>
                <c:pt idx="8">
                  <c:v>0.60782003150932318</c:v>
                </c:pt>
                <c:pt idx="9">
                  <c:v>0.60022801589739816</c:v>
                </c:pt>
                <c:pt idx="10">
                  <c:v>0.59333673161886247</c:v>
                </c:pt>
                <c:pt idx="11">
                  <c:v>0.58704385281706606</c:v>
                </c:pt>
                <c:pt idx="12">
                  <c:v>0.58126580921038884</c:v>
                </c:pt>
                <c:pt idx="13">
                  <c:v>0.57593373185953933</c:v>
                </c:pt>
                <c:pt idx="14">
                  <c:v>0.57099039289988196</c:v>
                </c:pt>
                <c:pt idx="15">
                  <c:v>0.566387870229484</c:v>
                </c:pt>
                <c:pt idx="16">
                  <c:v>0.56208574690452751</c:v>
                </c:pt>
                <c:pt idx="17">
                  <c:v>0.55804970921109409</c:v>
                </c:pt>
                <c:pt idx="18">
                  <c:v>0.55425044508189414</c:v>
                </c:pt>
                <c:pt idx="19">
                  <c:v>0.55066277101758554</c:v>
                </c:pt>
                <c:pt idx="20">
                  <c:v>0.54726493448511748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35-4304-9E27-3642E726D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48192"/>
        <c:axId val="83279872"/>
      </c:lineChart>
      <c:catAx>
        <c:axId val="826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20"/>
        <c:crosses val="autoZero"/>
        <c:auto val="1"/>
        <c:lblAlgn val="ctr"/>
        <c:lblOffset val="100"/>
        <c:noMultiLvlLbl val="0"/>
      </c:catAx>
      <c:valAx>
        <c:axId val="571139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Price</a:t>
                </a:r>
                <a:endParaRPr lang="ru-RU" i="1"/>
              </a:p>
            </c:rich>
          </c:tx>
          <c:layout>
            <c:manualLayout>
              <c:xMode val="edge"/>
              <c:yMode val="edge"/>
              <c:x val="6.3190658859950205E-2"/>
              <c:y val="2.404937053681175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600448"/>
        <c:crosses val="autoZero"/>
        <c:crossBetween val="between"/>
      </c:valAx>
      <c:valAx>
        <c:axId val="83279872"/>
        <c:scaling>
          <c:orientation val="minMax"/>
        </c:scaling>
        <c:delete val="0"/>
        <c:axPos val="r"/>
        <c:minorGridlines>
          <c:spPr>
            <a:ln w="3175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Delta</a:t>
                </a:r>
                <a:endParaRPr lang="ru-RU" i="1"/>
              </a:p>
            </c:rich>
          </c:tx>
          <c:layout>
            <c:manualLayout>
              <c:xMode val="edge"/>
              <c:yMode val="edge"/>
              <c:x val="0.86888552392489393"/>
              <c:y val="4.6602627979426539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in"/>
        <c:tickLblPos val="high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448192"/>
        <c:crosses val="max"/>
        <c:crossBetween val="between"/>
      </c:valAx>
      <c:catAx>
        <c:axId val="10944819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8327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>
          <a:outerShdw dir="5400000" algn="ctr" rotWithShape="0">
            <a:srgbClr val="000000">
              <a:alpha val="43137"/>
            </a:srgbClr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showDLblsOverMax val="0"/>
  </c:chart>
  <c:spPr>
    <a:solidFill>
      <a:schemeClr val="tx1">
        <a:lumMod val="95000"/>
        <a:lumOff val="5000"/>
      </a:schemeClr>
    </a:solidFill>
    <a:ln w="6350" cap="flat" cmpd="sng" algn="ctr">
      <a:solidFill>
        <a:schemeClr val="tx1">
          <a:lumMod val="85000"/>
          <a:lumOff val="15000"/>
        </a:schemeClr>
      </a:solidFill>
      <a:prstDash val="dash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Vega and Theta </a:t>
            </a:r>
            <a:r>
              <a:rPr lang="ru-RU" sz="1400" b="0" i="0" u="none" strike="noStrike" baseline="0">
                <a:effectLst/>
              </a:rPr>
              <a:t>(</a:t>
            </a:r>
            <a:r>
              <a:rPr lang="en-US" sz="1400" b="0" i="0" u="none" strike="noStrike" baseline="0">
                <a:effectLst/>
              </a:rPr>
              <a:t>on volatility</a:t>
            </a:r>
            <a:r>
              <a:rPr lang="ru-RU" sz="1400" b="0" i="0" u="none" strike="noStrike" baseline="0">
                <a:effectLst/>
              </a:rPr>
              <a:t>)</a:t>
            </a:r>
            <a:endParaRPr lang="ru-RU" baseline="0">
              <a:solidFill>
                <a:schemeClr val="bg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1304599000601214"/>
          <c:y val="1.556420233463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461356165430779"/>
          <c:y val="0.11585005349832875"/>
          <c:w val="0.76641006039293635"/>
          <c:h val="0.6813180741071333"/>
        </c:manualLayout>
      </c:layout>
      <c:lineChart>
        <c:grouping val="standard"/>
        <c:varyColors val="0"/>
        <c:ser>
          <c:idx val="1"/>
          <c:order val="0"/>
          <c:tx>
            <c:strRef>
              <c:f>'European Options BSM'!$H$42</c:f>
              <c:strCache>
                <c:ptCount val="1"/>
                <c:pt idx="0">
                  <c:v>Vega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'European Options BSM'!$C$43:$C$63</c:f>
              <c:numCache>
                <c:formatCode>0%</c:formatCode>
                <c:ptCount val="21"/>
                <c:pt idx="0">
                  <c:v>0.16999999999999998</c:v>
                </c:pt>
                <c:pt idx="1">
                  <c:v>0.19</c:v>
                </c:pt>
                <c:pt idx="2">
                  <c:v>0.21</c:v>
                </c:pt>
                <c:pt idx="3">
                  <c:v>0.22999999999999998</c:v>
                </c:pt>
                <c:pt idx="4">
                  <c:v>0.25</c:v>
                </c:pt>
                <c:pt idx="5">
                  <c:v>0.27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0.33</c:v>
                </c:pt>
                <c:pt idx="9">
                  <c:v>0.35</c:v>
                </c:pt>
                <c:pt idx="10">
                  <c:v>0.37</c:v>
                </c:pt>
                <c:pt idx="11">
                  <c:v>0.39</c:v>
                </c:pt>
                <c:pt idx="12">
                  <c:v>0.41</c:v>
                </c:pt>
                <c:pt idx="13">
                  <c:v>0.43</c:v>
                </c:pt>
                <c:pt idx="14">
                  <c:v>0.45</c:v>
                </c:pt>
                <c:pt idx="15">
                  <c:v>0.47</c:v>
                </c:pt>
                <c:pt idx="16">
                  <c:v>0.49</c:v>
                </c:pt>
                <c:pt idx="17">
                  <c:v>0.51</c:v>
                </c:pt>
                <c:pt idx="18">
                  <c:v>0.53</c:v>
                </c:pt>
                <c:pt idx="19">
                  <c:v>0.55000000000000004</c:v>
                </c:pt>
                <c:pt idx="20">
                  <c:v>0.57000000000000006</c:v>
                </c:pt>
              </c:numCache>
            </c:numRef>
          </c:cat>
          <c:val>
            <c:numRef>
              <c:f>'European Options BSM'!$H$43:$H$63</c:f>
              <c:numCache>
                <c:formatCode>0</c:formatCode>
                <c:ptCount val="21"/>
                <c:pt idx="0">
                  <c:v>30.351904253124168</c:v>
                </c:pt>
                <c:pt idx="1">
                  <c:v>36.945422690878694</c:v>
                </c:pt>
                <c:pt idx="2">
                  <c:v>42.630367312781182</c:v>
                </c:pt>
                <c:pt idx="3">
                  <c:v>47.464878765573857</c:v>
                </c:pt>
                <c:pt idx="4">
                  <c:v>51.55571532255771</c:v>
                </c:pt>
                <c:pt idx="5">
                  <c:v>55.016798879042398</c:v>
                </c:pt>
                <c:pt idx="6">
                  <c:v>57.952551890213037</c:v>
                </c:pt>
                <c:pt idx="7">
                  <c:v>60.452708945460351</c:v>
                </c:pt>
                <c:pt idx="8">
                  <c:v>62.592037948901435</c:v>
                </c:pt>
                <c:pt idx="9">
                  <c:v>64.431916165952728</c:v>
                </c:pt>
                <c:pt idx="10">
                  <c:v>66.022408121099431</c:v>
                </c:pt>
                <c:pt idx="11">
                  <c:v>67.404287054464731</c:v>
                </c:pt>
                <c:pt idx="12">
                  <c:v>68.61080136097371</c:v>
                </c:pt>
                <c:pt idx="13">
                  <c:v>69.669143394397096</c:v>
                </c:pt>
                <c:pt idx="14">
                  <c:v>70.601640377553011</c:v>
                </c:pt>
                <c:pt idx="15">
                  <c:v>71.426707654033578</c:v>
                </c:pt>
                <c:pt idx="16">
                  <c:v>72.159607166519166</c:v>
                </c:pt>
                <c:pt idx="17">
                  <c:v>72.813049825231516</c:v>
                </c:pt>
                <c:pt idx="18">
                  <c:v>73.397674203418447</c:v>
                </c:pt>
                <c:pt idx="19">
                  <c:v>73.922427798656557</c:v>
                </c:pt>
                <c:pt idx="20">
                  <c:v>74.394871673156885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C-4FD2-96C2-0C4A090723D4}"/>
            </c:ext>
          </c:extLst>
        </c:ser>
        <c:ser>
          <c:idx val="3"/>
          <c:order val="1"/>
          <c:tx>
            <c:strRef>
              <c:f>'European Options BSM'!$I$42</c:f>
              <c:strCache>
                <c:ptCount val="1"/>
                <c:pt idx="0">
                  <c:v>Theta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'European Options BSM'!$C$43:$C$63</c:f>
              <c:numCache>
                <c:formatCode>0%</c:formatCode>
                <c:ptCount val="21"/>
                <c:pt idx="0">
                  <c:v>0.16999999999999998</c:v>
                </c:pt>
                <c:pt idx="1">
                  <c:v>0.19</c:v>
                </c:pt>
                <c:pt idx="2">
                  <c:v>0.21</c:v>
                </c:pt>
                <c:pt idx="3">
                  <c:v>0.22999999999999998</c:v>
                </c:pt>
                <c:pt idx="4">
                  <c:v>0.25</c:v>
                </c:pt>
                <c:pt idx="5">
                  <c:v>0.27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0.33</c:v>
                </c:pt>
                <c:pt idx="9">
                  <c:v>0.35</c:v>
                </c:pt>
                <c:pt idx="10">
                  <c:v>0.37</c:v>
                </c:pt>
                <c:pt idx="11">
                  <c:v>0.39</c:v>
                </c:pt>
                <c:pt idx="12">
                  <c:v>0.41</c:v>
                </c:pt>
                <c:pt idx="13">
                  <c:v>0.43</c:v>
                </c:pt>
                <c:pt idx="14">
                  <c:v>0.45</c:v>
                </c:pt>
                <c:pt idx="15">
                  <c:v>0.47</c:v>
                </c:pt>
                <c:pt idx="16">
                  <c:v>0.49</c:v>
                </c:pt>
                <c:pt idx="17">
                  <c:v>0.51</c:v>
                </c:pt>
                <c:pt idx="18">
                  <c:v>0.53</c:v>
                </c:pt>
                <c:pt idx="19">
                  <c:v>0.55000000000000004</c:v>
                </c:pt>
                <c:pt idx="20">
                  <c:v>0.57000000000000006</c:v>
                </c:pt>
              </c:numCache>
            </c:numRef>
          </c:cat>
          <c:val>
            <c:numRef>
              <c:f>'European Options BSM'!$I$43:$I$63</c:f>
              <c:numCache>
                <c:formatCode>0</c:formatCode>
                <c:ptCount val="21"/>
                <c:pt idx="0">
                  <c:v>-16.124449134472215</c:v>
                </c:pt>
                <c:pt idx="1">
                  <c:v>-21.936344722709229</c:v>
                </c:pt>
                <c:pt idx="2">
                  <c:v>-27.976178549012648</c:v>
                </c:pt>
                <c:pt idx="3">
                  <c:v>-34.11538161275621</c:v>
                </c:pt>
                <c:pt idx="4">
                  <c:v>-40.277902595748209</c:v>
                </c:pt>
                <c:pt idx="5">
                  <c:v>-46.420424054192033</c:v>
                </c:pt>
                <c:pt idx="6">
                  <c:v>-52.519500150505564</c:v>
                </c:pt>
                <c:pt idx="7">
                  <c:v>-58.563561790914719</c:v>
                </c:pt>
                <c:pt idx="8">
                  <c:v>-64.548039134804611</c:v>
                </c:pt>
                <c:pt idx="9">
                  <c:v>-70.472408306510815</c:v>
                </c:pt>
                <c:pt idx="10">
                  <c:v>-76.338409390021212</c:v>
                </c:pt>
                <c:pt idx="11">
                  <c:v>-82.148974847628907</c:v>
                </c:pt>
                <c:pt idx="12">
                  <c:v>-87.907589243747566</c:v>
                </c:pt>
                <c:pt idx="13">
                  <c:v>-93.617911436221121</c:v>
                </c:pt>
                <c:pt idx="14">
                  <c:v>-99.283556780933935</c:v>
                </c:pt>
                <c:pt idx="15">
                  <c:v>-104.9079768668618</c:v>
                </c:pt>
                <c:pt idx="16">
                  <c:v>-110.49439847373249</c:v>
                </c:pt>
                <c:pt idx="17">
                  <c:v>-116.04579815896274</c:v>
                </c:pt>
                <c:pt idx="18">
                  <c:v>-121.56489789941183</c:v>
                </c:pt>
                <c:pt idx="19">
                  <c:v>-127.05417277894098</c:v>
                </c:pt>
                <c:pt idx="20">
                  <c:v>-132.51586516781072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C-4FD2-96C2-0C4A09072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01984"/>
        <c:axId val="83282176"/>
        <c:extLst/>
      </c:lineChart>
      <c:catAx>
        <c:axId val="826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282176"/>
        <c:crosses val="autoZero"/>
        <c:auto val="1"/>
        <c:lblAlgn val="ctr"/>
        <c:lblOffset val="100"/>
        <c:noMultiLvlLbl val="0"/>
      </c:catAx>
      <c:valAx>
        <c:axId val="832821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inorGridlines>
        <c:numFmt formatCode="0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601984"/>
        <c:crosses val="autoZero"/>
        <c:crossBetween val="between"/>
      </c:valAx>
      <c:spPr>
        <a:noFill/>
        <a:ln>
          <a:noFill/>
        </a:ln>
        <a:effectLst>
          <a:outerShdw dir="5400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.32727963384930536"/>
          <c:y val="0.86740157480314961"/>
          <c:w val="0.33851432348619792"/>
          <c:h val="9.1093754981032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showDLblsOverMax val="0"/>
  </c:chart>
  <c:spPr>
    <a:solidFill>
      <a:schemeClr val="tx1">
        <a:lumMod val="95000"/>
        <a:lumOff val="5000"/>
      </a:schemeClr>
    </a:solidFill>
    <a:ln w="6350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Price and Delta </a:t>
            </a:r>
            <a:r>
              <a:rPr lang="ru-RU" sz="1400" b="0" i="0" baseline="0">
                <a:effectLst/>
              </a:rPr>
              <a:t>(</a:t>
            </a:r>
            <a:r>
              <a:rPr lang="en-US" sz="1400" b="0" i="0" baseline="0">
                <a:effectLst/>
              </a:rPr>
              <a:t>on time</a:t>
            </a:r>
            <a:r>
              <a:rPr lang="ru-RU" sz="1400" b="0" i="0" baseline="0">
                <a:effectLst/>
              </a:rPr>
              <a:t>)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23616982836495032"/>
          <c:y val="9.174309717472196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242748502591028E-2"/>
          <c:y val="8.1795750082575086E-2"/>
          <c:w val="0.77808264351571432"/>
          <c:h val="0.78451090648516209"/>
        </c:manualLayout>
      </c:layout>
      <c:lineChart>
        <c:grouping val="standard"/>
        <c:varyColors val="0"/>
        <c:ser>
          <c:idx val="0"/>
          <c:order val="0"/>
          <c:tx>
            <c:strRef>
              <c:f>'European Options BSM'!$Y$42</c:f>
              <c:strCache>
                <c:ptCount val="1"/>
                <c:pt idx="0">
                  <c:v>Call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'European Options BSM'!$W$43:$W$63</c:f>
              <c:numCache>
                <c:formatCode>_-* #\ ##0_р_._-;\-* #\ ##0_р_._-;_-* "-"??_р_._-;_-@_-</c:formatCode>
                <c:ptCount val="21"/>
                <c:pt idx="0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18</c:v>
                </c:pt>
                <c:pt idx="9">
                  <c:v>17</c:v>
                </c:pt>
                <c:pt idx="10">
                  <c:v>16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</c:numCache>
            </c:numRef>
          </c:cat>
          <c:val>
            <c:numRef>
              <c:f>'European Options BSM'!$Y$43:$Y$63</c:f>
              <c:numCache>
                <c:formatCode>0</c:formatCode>
                <c:ptCount val="21"/>
                <c:pt idx="0">
                  <c:v>1845.6103138914987</c:v>
                </c:pt>
                <c:pt idx="1">
                  <c:v>1780.7045345048209</c:v>
                </c:pt>
                <c:pt idx="2">
                  <c:v>1714.8549552073673</c:v>
                </c:pt>
                <c:pt idx="3">
                  <c:v>1648.0240737598397</c:v>
                </c:pt>
                <c:pt idx="4">
                  <c:v>1580.1725288286325</c:v>
                </c:pt>
                <c:pt idx="5">
                  <c:v>1511.2591376160781</c:v>
                </c:pt>
                <c:pt idx="6">
                  <c:v>1441.2410085254342</c:v>
                </c:pt>
                <c:pt idx="7">
                  <c:v>1370.073766575777</c:v>
                </c:pt>
                <c:pt idx="8">
                  <c:v>1297.7119475287291</c:v>
                </c:pt>
                <c:pt idx="9">
                  <c:v>1224.1096445362928</c:v>
                </c:pt>
                <c:pt idx="10">
                  <c:v>1149.2215342413838</c:v>
                </c:pt>
                <c:pt idx="11">
                  <c:v>1073.0044771358698</c:v>
                </c:pt>
                <c:pt idx="12">
                  <c:v>995.41999579083495</c:v>
                </c:pt>
                <c:pt idx="13">
                  <c:v>916.4381126323533</c:v>
                </c:pt>
                <c:pt idx="14">
                  <c:v>836.043327122552</c:v>
                </c:pt>
                <c:pt idx="15">
                  <c:v>754.24402469318375</c:v>
                </c:pt>
                <c:pt idx="16">
                  <c:v>671.08751666895478</c:v>
                </c:pt>
                <c:pt idx="17">
                  <c:v>586.68456881603197</c:v>
                </c:pt>
                <c:pt idx="18">
                  <c:v>501.25042262334318</c:v>
                </c:pt>
                <c:pt idx="19">
                  <c:v>415.17553275558203</c:v>
                </c:pt>
                <c:pt idx="20">
                  <c:v>329.15209415498612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D-4A33-921A-587DE1288912}"/>
            </c:ext>
          </c:extLst>
        </c:ser>
        <c:ser>
          <c:idx val="1"/>
          <c:order val="1"/>
          <c:tx>
            <c:strRef>
              <c:f>'European Options BSM'!$Z$42</c:f>
              <c:strCache>
                <c:ptCount val="1"/>
                <c:pt idx="0">
                  <c:v>Put</c:v>
                </c:pt>
              </c:strCache>
            </c:strRef>
          </c:tx>
          <c:spPr>
            <a:ln w="28575" cap="rnd">
              <a:solidFill>
                <a:srgbClr val="FF9B9B"/>
              </a:solidFill>
              <a:round/>
            </a:ln>
            <a:effectLst/>
          </c:spPr>
          <c:marker>
            <c:symbol val="none"/>
          </c:marker>
          <c:cat>
            <c:numRef>
              <c:f>'European Options BSM'!$W$43:$W$63</c:f>
              <c:numCache>
                <c:formatCode>_-* #\ ##0_р_._-;\-* #\ ##0_р_._-;_-* "-"??_р_._-;_-@_-</c:formatCode>
                <c:ptCount val="21"/>
                <c:pt idx="0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18</c:v>
                </c:pt>
                <c:pt idx="9">
                  <c:v>17</c:v>
                </c:pt>
                <c:pt idx="10">
                  <c:v>16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</c:numCache>
            </c:numRef>
          </c:cat>
          <c:val>
            <c:numRef>
              <c:f>'European Options BSM'!$Z$43:$Z$63</c:f>
              <c:numCache>
                <c:formatCode>0</c:formatCode>
                <c:ptCount val="21"/>
                <c:pt idx="0">
                  <c:v>6845.6103138914914</c:v>
                </c:pt>
                <c:pt idx="1">
                  <c:v>6780.7045345048246</c:v>
                </c:pt>
                <c:pt idx="2">
                  <c:v>6714.8549552073673</c:v>
                </c:pt>
                <c:pt idx="3">
                  <c:v>6648.024073759836</c:v>
                </c:pt>
                <c:pt idx="4">
                  <c:v>6580.1725288286398</c:v>
                </c:pt>
                <c:pt idx="5">
                  <c:v>6511.2591376160854</c:v>
                </c:pt>
                <c:pt idx="6">
                  <c:v>6441.2410085254378</c:v>
                </c:pt>
                <c:pt idx="7">
                  <c:v>6370.073766575777</c:v>
                </c:pt>
                <c:pt idx="8">
                  <c:v>6297.7119475287327</c:v>
                </c:pt>
                <c:pt idx="9">
                  <c:v>6224.1096445362928</c:v>
                </c:pt>
                <c:pt idx="10">
                  <c:v>6149.2215342413838</c:v>
                </c:pt>
                <c:pt idx="11">
                  <c:v>6073.0044771358662</c:v>
                </c:pt>
                <c:pt idx="12">
                  <c:v>5995.4199957908422</c:v>
                </c:pt>
                <c:pt idx="13">
                  <c:v>5916.4381126323569</c:v>
                </c:pt>
                <c:pt idx="14">
                  <c:v>5836.0433271225484</c:v>
                </c:pt>
                <c:pt idx="15">
                  <c:v>5754.2440246931801</c:v>
                </c:pt>
                <c:pt idx="16">
                  <c:v>5671.0875166689511</c:v>
                </c:pt>
                <c:pt idx="17">
                  <c:v>5586.6845688160392</c:v>
                </c:pt>
                <c:pt idx="18">
                  <c:v>5501.2504226233432</c:v>
                </c:pt>
                <c:pt idx="19">
                  <c:v>5415.1755327555875</c:v>
                </c:pt>
                <c:pt idx="20">
                  <c:v>5329.1520941549825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D-4A33-921A-587DE1288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03520"/>
        <c:axId val="83284480"/>
        <c:extLst/>
      </c:lineChart>
      <c:lineChart>
        <c:grouping val="standard"/>
        <c:varyColors val="0"/>
        <c:ser>
          <c:idx val="3"/>
          <c:order val="2"/>
          <c:tx>
            <c:strRef>
              <c:f>'European Options BSM'!$AA$42</c:f>
              <c:strCache>
                <c:ptCount val="1"/>
                <c:pt idx="0">
                  <c:v>∆Call</c:v>
                </c:pt>
              </c:strCache>
            </c:strRef>
          </c:tx>
          <c:spPr>
            <a:ln w="254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'European Options BSM'!$C$43:$C$63</c:f>
              <c:numCache>
                <c:formatCode>0%</c:formatCode>
                <c:ptCount val="21"/>
                <c:pt idx="0">
                  <c:v>0.16999999999999998</c:v>
                </c:pt>
                <c:pt idx="1">
                  <c:v>0.19</c:v>
                </c:pt>
                <c:pt idx="2">
                  <c:v>0.21</c:v>
                </c:pt>
                <c:pt idx="3">
                  <c:v>0.22999999999999998</c:v>
                </c:pt>
                <c:pt idx="4">
                  <c:v>0.25</c:v>
                </c:pt>
                <c:pt idx="5">
                  <c:v>0.27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0.33</c:v>
                </c:pt>
                <c:pt idx="9">
                  <c:v>0.35</c:v>
                </c:pt>
                <c:pt idx="10">
                  <c:v>0.37</c:v>
                </c:pt>
                <c:pt idx="11">
                  <c:v>0.39</c:v>
                </c:pt>
                <c:pt idx="12">
                  <c:v>0.41</c:v>
                </c:pt>
                <c:pt idx="13">
                  <c:v>0.43</c:v>
                </c:pt>
                <c:pt idx="14">
                  <c:v>0.45</c:v>
                </c:pt>
                <c:pt idx="15">
                  <c:v>0.47</c:v>
                </c:pt>
                <c:pt idx="16">
                  <c:v>0.49</c:v>
                </c:pt>
                <c:pt idx="17">
                  <c:v>0.51</c:v>
                </c:pt>
                <c:pt idx="18">
                  <c:v>0.53</c:v>
                </c:pt>
                <c:pt idx="19">
                  <c:v>0.55000000000000004</c:v>
                </c:pt>
                <c:pt idx="20">
                  <c:v>0.57000000000000006</c:v>
                </c:pt>
              </c:numCache>
            </c:numRef>
          </c:cat>
          <c:val>
            <c:numRef>
              <c:f>'European Options BSM'!$AA$43:$AA$63</c:f>
              <c:numCache>
                <c:formatCode>0.00</c:formatCode>
                <c:ptCount val="21"/>
                <c:pt idx="0">
                  <c:v>0.3124084604612386</c:v>
                </c:pt>
                <c:pt idx="1">
                  <c:v>0.30898839780981258</c:v>
                </c:pt>
                <c:pt idx="2">
                  <c:v>0.30537479364622022</c:v>
                </c:pt>
                <c:pt idx="3">
                  <c:v>0.30154874828823663</c:v>
                </c:pt>
                <c:pt idx="4">
                  <c:v>0.29748868538820861</c:v>
                </c:pt>
                <c:pt idx="5">
                  <c:v>0.29316984685694775</c:v>
                </c:pt>
                <c:pt idx="6">
                  <c:v>0.28856366707824077</c:v>
                </c:pt>
                <c:pt idx="7">
                  <c:v>0.28363699110558016</c:v>
                </c:pt>
                <c:pt idx="8">
                  <c:v>0.27835108921178364</c:v>
                </c:pt>
                <c:pt idx="9">
                  <c:v>0.27266040282117954</c:v>
                </c:pt>
                <c:pt idx="10">
                  <c:v>0.26651093215456201</c:v>
                </c:pt>
                <c:pt idx="11">
                  <c:v>0.25983814030738223</c:v>
                </c:pt>
                <c:pt idx="12">
                  <c:v>0.2525641965245829</c:v>
                </c:pt>
                <c:pt idx="13">
                  <c:v>0.24459430477937333</c:v>
                </c:pt>
                <c:pt idx="14">
                  <c:v>0.23581174964784934</c:v>
                </c:pt>
                <c:pt idx="15">
                  <c:v>0.22607112086959119</c:v>
                </c:pt>
                <c:pt idx="16">
                  <c:v>0.21518892447357937</c:v>
                </c:pt>
                <c:pt idx="17">
                  <c:v>0.20293042274501433</c:v>
                </c:pt>
                <c:pt idx="18">
                  <c:v>0.18899106606089872</c:v>
                </c:pt>
                <c:pt idx="19">
                  <c:v>0.17297044675029002</c:v>
                </c:pt>
                <c:pt idx="20">
                  <c:v>0.1543371903022458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DD-4A33-921A-587DE1288912}"/>
            </c:ext>
          </c:extLst>
        </c:ser>
        <c:ser>
          <c:idx val="4"/>
          <c:order val="3"/>
          <c:tx>
            <c:strRef>
              <c:f>'European Options BSM'!$AB$42</c:f>
              <c:strCache>
                <c:ptCount val="1"/>
                <c:pt idx="0">
                  <c:v>–∆Put</c:v>
                </c:pt>
              </c:strCache>
            </c:strRef>
          </c:tx>
          <c:spPr>
            <a:ln w="25400" cap="rnd">
              <a:solidFill>
                <a:srgbClr val="FF9B9B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'European Options BSM'!$C$43:$C$63</c:f>
              <c:numCache>
                <c:formatCode>0%</c:formatCode>
                <c:ptCount val="21"/>
                <c:pt idx="0">
                  <c:v>0.16999999999999998</c:v>
                </c:pt>
                <c:pt idx="1">
                  <c:v>0.19</c:v>
                </c:pt>
                <c:pt idx="2">
                  <c:v>0.21</c:v>
                </c:pt>
                <c:pt idx="3">
                  <c:v>0.22999999999999998</c:v>
                </c:pt>
                <c:pt idx="4">
                  <c:v>0.25</c:v>
                </c:pt>
                <c:pt idx="5">
                  <c:v>0.27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0.33</c:v>
                </c:pt>
                <c:pt idx="9">
                  <c:v>0.35</c:v>
                </c:pt>
                <c:pt idx="10">
                  <c:v>0.37</c:v>
                </c:pt>
                <c:pt idx="11">
                  <c:v>0.39</c:v>
                </c:pt>
                <c:pt idx="12">
                  <c:v>0.41</c:v>
                </c:pt>
                <c:pt idx="13">
                  <c:v>0.43</c:v>
                </c:pt>
                <c:pt idx="14">
                  <c:v>0.45</c:v>
                </c:pt>
                <c:pt idx="15">
                  <c:v>0.47</c:v>
                </c:pt>
                <c:pt idx="16">
                  <c:v>0.49</c:v>
                </c:pt>
                <c:pt idx="17">
                  <c:v>0.51</c:v>
                </c:pt>
                <c:pt idx="18">
                  <c:v>0.53</c:v>
                </c:pt>
                <c:pt idx="19">
                  <c:v>0.55000000000000004</c:v>
                </c:pt>
                <c:pt idx="20">
                  <c:v>0.57000000000000006</c:v>
                </c:pt>
              </c:numCache>
            </c:numRef>
          </c:cat>
          <c:val>
            <c:numRef>
              <c:f>'European Options BSM'!$AB$43:$AB$63</c:f>
              <c:numCache>
                <c:formatCode>0.00</c:formatCode>
                <c:ptCount val="21"/>
                <c:pt idx="0">
                  <c:v>0.6875915395387614</c:v>
                </c:pt>
                <c:pt idx="1">
                  <c:v>0.69101160219018742</c:v>
                </c:pt>
                <c:pt idx="2">
                  <c:v>0.69462520635377978</c:v>
                </c:pt>
                <c:pt idx="3">
                  <c:v>0.69845125171176337</c:v>
                </c:pt>
                <c:pt idx="4">
                  <c:v>0.70251131461179139</c:v>
                </c:pt>
                <c:pt idx="5">
                  <c:v>0.70683015314305231</c:v>
                </c:pt>
                <c:pt idx="6">
                  <c:v>0.71143633292175923</c:v>
                </c:pt>
                <c:pt idx="7">
                  <c:v>0.71636300889441984</c:v>
                </c:pt>
                <c:pt idx="8">
                  <c:v>0.72164891078821636</c:v>
                </c:pt>
                <c:pt idx="9">
                  <c:v>0.72733959717882046</c:v>
                </c:pt>
                <c:pt idx="10">
                  <c:v>0.73348906784543799</c:v>
                </c:pt>
                <c:pt idx="11">
                  <c:v>0.74016185969261783</c:v>
                </c:pt>
                <c:pt idx="12">
                  <c:v>0.74743580347541716</c:v>
                </c:pt>
                <c:pt idx="13">
                  <c:v>0.75540569522062673</c:v>
                </c:pt>
                <c:pt idx="14">
                  <c:v>0.76418825035215066</c:v>
                </c:pt>
                <c:pt idx="15">
                  <c:v>0.77392887913040886</c:v>
                </c:pt>
                <c:pt idx="16">
                  <c:v>0.7848110755264206</c:v>
                </c:pt>
                <c:pt idx="17">
                  <c:v>0.79706957725498562</c:v>
                </c:pt>
                <c:pt idx="18">
                  <c:v>0.81100893393910134</c:v>
                </c:pt>
                <c:pt idx="19">
                  <c:v>0.82702955324970995</c:v>
                </c:pt>
                <c:pt idx="20">
                  <c:v>0.8456628096977542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DD-4A33-921A-587DE1288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88928"/>
        <c:axId val="83285056"/>
      </c:lineChart>
      <c:catAx>
        <c:axId val="8260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_-* #\ ##0_р_._-;\-* #\ ##0_р_._-;_-* &quot;-&quot;??_р_._-;_-@_-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284480"/>
        <c:crosses val="autoZero"/>
        <c:auto val="1"/>
        <c:lblAlgn val="ctr"/>
        <c:lblOffset val="100"/>
        <c:noMultiLvlLbl val="0"/>
      </c:catAx>
      <c:valAx>
        <c:axId val="832844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Price</a:t>
                </a:r>
                <a:endParaRPr lang="ru-RU" i="1"/>
              </a:p>
            </c:rich>
          </c:tx>
          <c:layout>
            <c:manualLayout>
              <c:xMode val="edge"/>
              <c:yMode val="edge"/>
              <c:x val="6.3190658859950205E-2"/>
              <c:y val="2.404937053681175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603520"/>
        <c:crosses val="autoZero"/>
        <c:crossBetween val="between"/>
      </c:valAx>
      <c:valAx>
        <c:axId val="83285056"/>
        <c:scaling>
          <c:orientation val="minMax"/>
        </c:scaling>
        <c:delete val="0"/>
        <c:axPos val="r"/>
        <c:minorGridlines>
          <c:spPr>
            <a:ln w="3175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Delta</a:t>
                </a:r>
                <a:endParaRPr lang="ru-RU" i="1"/>
              </a:p>
            </c:rich>
          </c:tx>
          <c:layout>
            <c:manualLayout>
              <c:xMode val="edge"/>
              <c:yMode val="edge"/>
              <c:x val="0.86888552392489393"/>
              <c:y val="4.6602627979426539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in"/>
        <c:tickLblPos val="high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588928"/>
        <c:crosses val="max"/>
        <c:crossBetween val="between"/>
      </c:valAx>
      <c:catAx>
        <c:axId val="110588928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83285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>
          <a:outerShdw dir="5400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8.3934589477128368E-2"/>
          <c:y val="0.94227794016760813"/>
          <c:w val="0.83213053652846236"/>
          <c:h val="5.1605853354077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showDLblsOverMax val="0"/>
  </c:chart>
  <c:spPr>
    <a:solidFill>
      <a:schemeClr val="tx1">
        <a:lumMod val="95000"/>
        <a:lumOff val="5000"/>
      </a:schemeClr>
    </a:solidFill>
    <a:ln w="6350" cap="flat" cmpd="sng" algn="ctr">
      <a:solidFill>
        <a:schemeClr val="tx1">
          <a:lumMod val="85000"/>
          <a:lumOff val="15000"/>
        </a:schemeClr>
      </a:solidFill>
      <a:prstDash val="dash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bg2">
                    <a:lumMod val="75000"/>
                  </a:schemeClr>
                </a:solidFill>
              </a:rPr>
              <a:t>Vega and Theta (on time)</a:t>
            </a:r>
            <a:endParaRPr lang="ru-RU" baseline="0">
              <a:solidFill>
                <a:schemeClr val="bg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3802062500563895"/>
          <c:y val="1.556420233463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461356165430779"/>
          <c:y val="0.11585005349832875"/>
          <c:w val="0.76641006039293635"/>
          <c:h val="0.6813180741071333"/>
        </c:manualLayout>
      </c:layout>
      <c:lineChart>
        <c:grouping val="standard"/>
        <c:varyColors val="0"/>
        <c:ser>
          <c:idx val="1"/>
          <c:order val="0"/>
          <c:tx>
            <c:strRef>
              <c:f>'European Options BSM'!$AC$42</c:f>
              <c:strCache>
                <c:ptCount val="1"/>
                <c:pt idx="0">
                  <c:v>Vega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'European Options BSM'!$W$43:$W$63</c:f>
              <c:numCache>
                <c:formatCode>_-* #\ ##0_р_._-;\-* #\ ##0_р_._-;_-* "-"??_р_._-;_-@_-</c:formatCode>
                <c:ptCount val="21"/>
                <c:pt idx="0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18</c:v>
                </c:pt>
                <c:pt idx="9">
                  <c:v>17</c:v>
                </c:pt>
                <c:pt idx="10">
                  <c:v>16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</c:numCache>
            </c:numRef>
          </c:cat>
          <c:val>
            <c:numRef>
              <c:f>'European Options BSM'!$AC$43:$AC$63</c:f>
              <c:numCache>
                <c:formatCode>0</c:formatCode>
                <c:ptCount val="21"/>
                <c:pt idx="0">
                  <c:v>90.572639502791347</c:v>
                </c:pt>
                <c:pt idx="1">
                  <c:v>88.339978294304984</c:v>
                </c:pt>
                <c:pt idx="2">
                  <c:v>86.054691623447539</c:v>
                </c:pt>
                <c:pt idx="3">
                  <c:v>83.713160784623881</c:v>
                </c:pt>
                <c:pt idx="4">
                  <c:v>81.311353747447114</c:v>
                </c:pt>
                <c:pt idx="5">
                  <c:v>78.844758914730633</c:v>
                </c:pt>
                <c:pt idx="6">
                  <c:v>76.308305183699687</c:v>
                </c:pt>
                <c:pt idx="7">
                  <c:v>73.696264852930412</c:v>
                </c:pt>
                <c:pt idx="8">
                  <c:v>71.002134901624117</c:v>
                </c:pt>
                <c:pt idx="9">
                  <c:v>68.218490824601986</c:v>
                </c:pt>
                <c:pt idx="10">
                  <c:v>65.336805433834172</c:v>
                </c:pt>
                <c:pt idx="11">
                  <c:v>62.347222717716953</c:v>
                </c:pt>
                <c:pt idx="12">
                  <c:v>59.238273875808005</c:v>
                </c:pt>
                <c:pt idx="13">
                  <c:v>55.99651900708308</c:v>
                </c:pt>
                <c:pt idx="14">
                  <c:v>52.606093941785439</c:v>
                </c:pt>
                <c:pt idx="15">
                  <c:v>49.048138654431661</c:v>
                </c:pt>
                <c:pt idx="16">
                  <c:v>45.300085543492379</c:v>
                </c:pt>
                <c:pt idx="17">
                  <c:v>41.334803977149846</c:v>
                </c:pt>
                <c:pt idx="18">
                  <c:v>37.119664119736214</c:v>
                </c:pt>
                <c:pt idx="19">
                  <c:v>32.615791738262516</c:v>
                </c:pt>
                <c:pt idx="20">
                  <c:v>27.778421160128641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D-4982-9F86-04A3085330B0}"/>
            </c:ext>
          </c:extLst>
        </c:ser>
        <c:ser>
          <c:idx val="3"/>
          <c:order val="1"/>
          <c:tx>
            <c:strRef>
              <c:f>'European Options BSM'!$AD$42</c:f>
              <c:strCache>
                <c:ptCount val="1"/>
                <c:pt idx="0">
                  <c:v>Theta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'European Options BSM'!$W$43:$W$63</c:f>
              <c:numCache>
                <c:formatCode>_-* #\ ##0_р_._-;\-* #\ ##0_р_._-;_-* "-"??_р_._-;_-@_-</c:formatCode>
                <c:ptCount val="21"/>
                <c:pt idx="0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18</c:v>
                </c:pt>
                <c:pt idx="9">
                  <c:v>17</c:v>
                </c:pt>
                <c:pt idx="10">
                  <c:v>16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</c:numCache>
            </c:numRef>
          </c:cat>
          <c:val>
            <c:numRef>
              <c:f>'European Options BSM'!$AD$43:$AD$63</c:f>
              <c:numCache>
                <c:formatCode>0</c:formatCode>
                <c:ptCount val="21"/>
                <c:pt idx="0">
                  <c:v>-64.445916569293843</c:v>
                </c:pt>
                <c:pt idx="1">
                  <c:v>-65.371583937785701</c:v>
                </c:pt>
                <c:pt idx="2">
                  <c:v>-66.333824793074143</c:v>
                </c:pt>
                <c:pt idx="3">
                  <c:v>-67.334498891980061</c:v>
                </c:pt>
                <c:pt idx="4">
                  <c:v>-68.375456560353257</c:v>
                </c:pt>
                <c:pt idx="5">
                  <c:v>-69.458478091548415</c:v>
                </c:pt>
                <c:pt idx="6">
                  <c:v>-70.58518229492222</c:v>
                </c:pt>
                <c:pt idx="7">
                  <c:v>-71.756889462063825</c:v>
                </c:pt>
                <c:pt idx="8">
                  <c:v>-72.974416426669222</c:v>
                </c:pt>
                <c:pt idx="9">
                  <c:v>-74.237769426772758</c:v>
                </c:pt>
                <c:pt idx="10">
                  <c:v>-75.545681282870774</c:v>
                </c:pt>
                <c:pt idx="11">
                  <c:v>-76.894908018517569</c:v>
                </c:pt>
                <c:pt idx="12">
                  <c:v>-78.279147621603428</c:v>
                </c:pt>
                <c:pt idx="13">
                  <c:v>-79.687353971618222</c:v>
                </c:pt>
                <c:pt idx="14">
                  <c:v>-81.101061493585874</c:v>
                </c:pt>
                <c:pt idx="15">
                  <c:v>-82.490051373362334</c:v>
                </c:pt>
                <c:pt idx="16">
                  <c:v>-83.805158255460896</c:v>
                </c:pt>
                <c:pt idx="17">
                  <c:v>-84.965985953030255</c:v>
                </c:pt>
                <c:pt idx="18">
                  <c:v>-85.839223276889996</c:v>
                </c:pt>
                <c:pt idx="19">
                  <c:v>-86.19887816540809</c:v>
                </c:pt>
                <c:pt idx="20">
                  <c:v>-85.650131910396652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D-4982-9F86-04A30853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02496"/>
        <c:axId val="83287360"/>
        <c:extLst/>
      </c:lineChart>
      <c:catAx>
        <c:axId val="8260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_-* #\ ##0_р_._-;\-* #\ ##0_р_._-;_-* &quot;-&quot;??_р_.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287360"/>
        <c:crosses val="autoZero"/>
        <c:auto val="1"/>
        <c:lblAlgn val="ctr"/>
        <c:lblOffset val="100"/>
        <c:noMultiLvlLbl val="0"/>
      </c:catAx>
      <c:valAx>
        <c:axId val="8328736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inorGridlines>
        <c:numFmt formatCode="0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602496"/>
        <c:crosses val="autoZero"/>
        <c:crossBetween val="between"/>
      </c:valAx>
      <c:spPr>
        <a:noFill/>
        <a:ln>
          <a:noFill/>
        </a:ln>
        <a:effectLst>
          <a:outerShdw dir="5400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.32727963384930536"/>
          <c:y val="0.86740157480314961"/>
          <c:w val="0.33851432348619792"/>
          <c:h val="9.1093754981032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showDLblsOverMax val="0"/>
  </c:chart>
  <c:spPr>
    <a:solidFill>
      <a:schemeClr val="tx1">
        <a:lumMod val="95000"/>
        <a:lumOff val="5000"/>
      </a:schemeClr>
    </a:solidFill>
    <a:ln w="6350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57149</xdr:rowOff>
    </xdr:from>
    <xdr:to>
      <xdr:col>17</xdr:col>
      <xdr:colOff>590550</xdr:colOff>
      <xdr:row>22</xdr:row>
      <xdr:rowOff>85724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9526</xdr:colOff>
      <xdr:row>22</xdr:row>
      <xdr:rowOff>114299</xdr:rowOff>
    </xdr:from>
    <xdr:to>
      <xdr:col>18</xdr:col>
      <xdr:colOff>0</xdr:colOff>
      <xdr:row>35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</xdr:colOff>
      <xdr:row>2</xdr:row>
      <xdr:rowOff>76200</xdr:rowOff>
    </xdr:from>
    <xdr:to>
      <xdr:col>25</xdr:col>
      <xdr:colOff>0</xdr:colOff>
      <xdr:row>22</xdr:row>
      <xdr:rowOff>171451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</xdr:colOff>
      <xdr:row>23</xdr:row>
      <xdr:rowOff>9525</xdr:rowOff>
    </xdr:from>
    <xdr:to>
      <xdr:col>25</xdr:col>
      <xdr:colOff>9525</xdr:colOff>
      <xdr:row>35</xdr:row>
      <xdr:rowOff>171450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2</xdr:row>
      <xdr:rowOff>95250</xdr:rowOff>
    </xdr:from>
    <xdr:to>
      <xdr:col>31</xdr:col>
      <xdr:colOff>466725</xdr:colOff>
      <xdr:row>23</xdr:row>
      <xdr:rowOff>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9525</xdr:colOff>
      <xdr:row>23</xdr:row>
      <xdr:rowOff>9525</xdr:rowOff>
    </xdr:from>
    <xdr:to>
      <xdr:col>32</xdr:col>
      <xdr:colOff>9524</xdr:colOff>
      <xdr:row>35</xdr:row>
      <xdr:rowOff>171450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isksi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G66"/>
  <sheetViews>
    <sheetView tabSelected="1" zoomScale="85" zoomScaleNormal="85" workbookViewId="0"/>
  </sheetViews>
  <sheetFormatPr defaultRowHeight="15"/>
  <cols>
    <col min="1" max="1" width="2.140625" customWidth="1"/>
    <col min="2" max="2" width="3.140625" customWidth="1"/>
    <col min="3" max="3" width="19.85546875" customWidth="1"/>
    <col min="4" max="4" width="8" customWidth="1"/>
    <col min="5" max="5" width="4.5703125" customWidth="1"/>
    <col min="6" max="6" width="5.5703125" customWidth="1"/>
    <col min="7" max="7" width="5.7109375" customWidth="1"/>
    <col min="8" max="9" width="9.42578125" customWidth="1"/>
    <col min="10" max="10" width="2.5703125" customWidth="1"/>
    <col min="11" max="11" width="1.7109375" style="10" customWidth="1"/>
    <col min="12" max="12" width="8" style="4" customWidth="1"/>
    <col min="13" max="18" width="9.140625" style="4"/>
    <col min="19" max="19" width="1.42578125" style="10" customWidth="1"/>
    <col min="20" max="23" width="9.140625" style="4"/>
    <col min="24" max="24" width="9.7109375" style="4" bestFit="1" customWidth="1"/>
    <col min="25" max="25" width="8.42578125" style="4" customWidth="1"/>
    <col min="26" max="26" width="1.85546875" customWidth="1"/>
    <col min="27" max="32" width="9.140625" style="4"/>
    <col min="33" max="33" width="2.140625" customWidth="1"/>
  </cols>
  <sheetData>
    <row r="1" spans="1:33" ht="8.25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</row>
    <row r="2" spans="1:33" ht="24.75" customHeight="1">
      <c r="A2" s="54"/>
      <c r="B2" s="4"/>
      <c r="C2" s="58"/>
      <c r="D2" s="58"/>
      <c r="E2" s="58"/>
      <c r="F2" s="58"/>
      <c r="G2" s="58"/>
      <c r="H2" s="58"/>
      <c r="I2" s="58"/>
      <c r="J2" s="4"/>
      <c r="K2" s="39"/>
      <c r="L2" s="53" t="s">
        <v>31</v>
      </c>
      <c r="M2" s="53"/>
      <c r="N2" s="53"/>
      <c r="O2" s="53"/>
      <c r="P2" s="53"/>
      <c r="Q2" s="53"/>
      <c r="S2" s="41"/>
      <c r="T2" s="53" t="s">
        <v>32</v>
      </c>
      <c r="U2" s="53"/>
      <c r="V2" s="53"/>
      <c r="W2" s="53"/>
      <c r="X2" s="53"/>
      <c r="Y2" s="53"/>
      <c r="Z2" s="39"/>
      <c r="AA2" s="53" t="s">
        <v>33</v>
      </c>
      <c r="AB2" s="53"/>
      <c r="AC2" s="53"/>
      <c r="AD2" s="53"/>
      <c r="AE2" s="53"/>
      <c r="AF2" s="53"/>
      <c r="AG2" s="39"/>
    </row>
    <row r="3" spans="1:33" ht="15" customHeight="1">
      <c r="A3" s="55"/>
      <c r="B3" s="4"/>
      <c r="C3" s="56" t="s">
        <v>8</v>
      </c>
      <c r="D3" s="56"/>
      <c r="E3" s="4"/>
      <c r="F3" s="59" t="s">
        <v>18</v>
      </c>
      <c r="G3" s="60"/>
      <c r="H3" s="6" t="s">
        <v>19</v>
      </c>
      <c r="I3" s="5" t="s">
        <v>20</v>
      </c>
      <c r="J3" s="4"/>
      <c r="K3" s="39"/>
      <c r="S3" s="41"/>
      <c r="Z3" s="39"/>
      <c r="AG3" s="39"/>
    </row>
    <row r="4" spans="1:33">
      <c r="A4" s="55"/>
      <c r="B4" s="4"/>
      <c r="C4" s="1" t="s">
        <v>10</v>
      </c>
      <c r="D4" s="3">
        <v>95000</v>
      </c>
      <c r="E4" s="4"/>
      <c r="F4" s="57" t="s">
        <v>21</v>
      </c>
      <c r="G4" s="57"/>
      <c r="H4" s="8">
        <f>BA*N_d1-Strike*N_d2*EXP(-riskrate*T)</f>
        <v>1181.3343559666464</v>
      </c>
      <c r="I4" s="33">
        <f>Strike*N__d2*EXP(-riskrate*T)-BA*N__d1</f>
        <v>6049.9139390163473</v>
      </c>
      <c r="J4" s="4"/>
      <c r="K4" s="39"/>
      <c r="S4" s="41"/>
      <c r="Z4" s="39"/>
      <c r="AG4" s="39"/>
    </row>
    <row r="5" spans="1:33">
      <c r="A5" s="55"/>
      <c r="B5" s="4"/>
      <c r="C5" s="2" t="s">
        <v>11</v>
      </c>
      <c r="D5" s="3">
        <v>100000</v>
      </c>
      <c r="E5" s="4"/>
      <c r="F5" s="48" t="s">
        <v>22</v>
      </c>
      <c r="G5" s="49"/>
      <c r="H5" s="44">
        <f>N_d1</f>
        <v>0.27211667221336588</v>
      </c>
      <c r="I5" s="45">
        <f>N_d1-1</f>
        <v>-0.72788332778663412</v>
      </c>
      <c r="J5" s="4"/>
      <c r="K5" s="39"/>
      <c r="S5" s="41"/>
      <c r="Z5" s="39"/>
      <c r="AG5" s="39"/>
    </row>
    <row r="6" spans="1:33">
      <c r="A6" s="55"/>
      <c r="B6" s="4"/>
      <c r="C6" s="1" t="s">
        <v>12</v>
      </c>
      <c r="D6" s="12">
        <v>0.37</v>
      </c>
      <c r="E6" s="4"/>
      <c r="F6" s="48" t="s">
        <v>23</v>
      </c>
      <c r="G6" s="49"/>
      <c r="H6" s="7">
        <f>N1_d1/(BA*Vola*T^0.5)</f>
        <v>4.5104025911883832E-5</v>
      </c>
      <c r="I6" s="34">
        <f>N1_d1/(BA*Vola*T^0.5)</f>
        <v>4.5104025911883832E-5</v>
      </c>
      <c r="J6" s="4"/>
      <c r="K6" s="39"/>
      <c r="S6" s="41"/>
      <c r="Z6" s="39"/>
      <c r="AG6" s="39"/>
    </row>
    <row r="7" spans="1:33">
      <c r="A7" s="55"/>
      <c r="B7" s="4"/>
      <c r="C7" s="1" t="s">
        <v>13</v>
      </c>
      <c r="D7" s="3">
        <v>16</v>
      </c>
      <c r="E7" s="4"/>
      <c r="F7" s="48" t="s">
        <v>24</v>
      </c>
      <c r="G7" s="49"/>
      <c r="H7" s="8">
        <f>(N1_d1*BA*T^0.5)/100</f>
        <v>66.022408121099431</v>
      </c>
      <c r="I7" s="33">
        <f>(N1_d1*BA*T^0.5)/100</f>
        <v>66.022408121099431</v>
      </c>
      <c r="J7" s="4"/>
      <c r="K7" s="39"/>
      <c r="S7" s="41"/>
      <c r="Z7" s="39"/>
      <c r="AG7" s="39"/>
    </row>
    <row r="8" spans="1:33">
      <c r="A8" s="55"/>
      <c r="B8" s="4"/>
      <c r="C8" s="1" t="s">
        <v>14</v>
      </c>
      <c r="D8" s="3">
        <v>365</v>
      </c>
      <c r="E8" s="4"/>
      <c r="F8" s="48" t="s">
        <v>25</v>
      </c>
      <c r="G8" s="49"/>
      <c r="H8" s="8">
        <f>(-BA*N1_d1*Vola/(2*T^0.5))/god</f>
        <v>-76.338409390021212</v>
      </c>
      <c r="I8" s="33">
        <f>(-BA*N1_d1*Vola/(2*T^0.5))/god</f>
        <v>-76.338409390021212</v>
      </c>
      <c r="J8" s="4"/>
      <c r="K8" s="39"/>
      <c r="S8" s="41"/>
      <c r="Z8" s="39"/>
      <c r="AG8" s="39"/>
    </row>
    <row r="9" spans="1:33">
      <c r="A9" s="55"/>
      <c r="B9" s="4"/>
      <c r="C9" s="1" t="s">
        <v>15</v>
      </c>
      <c r="D9" s="38">
        <v>0.03</v>
      </c>
      <c r="E9" s="4"/>
      <c r="F9" s="48" t="s">
        <v>26</v>
      </c>
      <c r="G9" s="49"/>
      <c r="H9" s="44">
        <f>Strike*T*EXP(-riskrate*T)*N_d2/10000</f>
        <v>0.10814136769009583</v>
      </c>
      <c r="I9" s="45">
        <f>-Strike*T*EXP(-riskrate*T)*N__d2/10000</f>
        <v>-0.32963870719450561</v>
      </c>
      <c r="J9" s="4"/>
      <c r="K9" s="39"/>
      <c r="S9" s="41"/>
      <c r="Z9" s="39"/>
      <c r="AG9" s="39"/>
    </row>
    <row r="10" spans="1:33">
      <c r="A10" s="55"/>
      <c r="B10" s="4"/>
      <c r="C10" s="15" t="s">
        <v>7</v>
      </c>
      <c r="D10" s="32">
        <f>IF(TT/god&gt;0,TT/god,10^(-10))</f>
        <v>4.3835616438356165E-2</v>
      </c>
      <c r="E10" s="4"/>
      <c r="F10" s="4"/>
      <c r="G10" s="15" t="s">
        <v>0</v>
      </c>
      <c r="H10" s="16">
        <f>(LN(BA/Strike)+(riskrate+0.5*Vola^2)*T)/(Vola*T^0.5)</f>
        <v>-0.60642383582545278</v>
      </c>
      <c r="I10" s="4"/>
      <c r="J10" s="4"/>
      <c r="K10" s="39"/>
      <c r="S10" s="41"/>
      <c r="Z10" s="39"/>
      <c r="AG10" s="39"/>
    </row>
    <row r="11" spans="1:33">
      <c r="A11" s="55"/>
      <c r="B11" s="4"/>
      <c r="C11" s="4"/>
      <c r="D11" s="4"/>
      <c r="E11" s="13"/>
      <c r="F11" s="13"/>
      <c r="G11" s="15" t="s">
        <v>1</v>
      </c>
      <c r="H11" s="16">
        <f>d_1-Vola*T^0.5</f>
        <v>-0.68389057636880435</v>
      </c>
      <c r="I11" s="4"/>
      <c r="J11" s="4"/>
      <c r="K11" s="39"/>
      <c r="S11" s="41"/>
      <c r="Z11" s="39"/>
      <c r="AG11" s="39"/>
    </row>
    <row r="12" spans="1:33">
      <c r="A12" s="55"/>
      <c r="B12" s="4"/>
      <c r="C12" s="56" t="s">
        <v>9</v>
      </c>
      <c r="D12" s="56"/>
      <c r="E12" s="4"/>
      <c r="F12" s="4"/>
      <c r="G12" s="15" t="s">
        <v>2</v>
      </c>
      <c r="H12" s="16">
        <f>NORMSDIST(d_1)</f>
        <v>0.27211667221336588</v>
      </c>
      <c r="I12" s="4"/>
      <c r="J12" s="4"/>
      <c r="K12" s="39"/>
      <c r="S12" s="41"/>
      <c r="Z12" s="39"/>
      <c r="AG12" s="39"/>
    </row>
    <row r="13" spans="1:33" ht="15" customHeight="1">
      <c r="A13" s="55"/>
      <c r="B13" s="4"/>
      <c r="C13" s="61" t="s">
        <v>27</v>
      </c>
      <c r="D13" s="63">
        <v>0.02</v>
      </c>
      <c r="E13" s="4"/>
      <c r="F13" s="4"/>
      <c r="G13" s="15" t="s">
        <v>3</v>
      </c>
      <c r="H13" s="16">
        <f>NORMSDIST(d_2)</f>
        <v>0.24702213255960048</v>
      </c>
      <c r="I13" s="4"/>
      <c r="J13" s="4"/>
      <c r="K13" s="39"/>
      <c r="S13" s="41"/>
      <c r="Z13" s="39"/>
      <c r="AG13" s="39"/>
    </row>
    <row r="14" spans="1:33">
      <c r="A14" s="55"/>
      <c r="B14" s="4"/>
      <c r="C14" s="62"/>
      <c r="D14" s="64"/>
      <c r="E14" s="4"/>
      <c r="F14" s="4"/>
      <c r="G14" s="15" t="s">
        <v>4</v>
      </c>
      <c r="H14" s="16">
        <f>1/(2*PI())^0.5*(EXP(-0.5*d_1^2))</f>
        <v>0.33193587791376877</v>
      </c>
      <c r="I14" s="4"/>
      <c r="J14" s="4"/>
      <c r="K14" s="39"/>
      <c r="S14" s="41"/>
      <c r="Z14" s="39"/>
      <c r="AG14" s="39"/>
    </row>
    <row r="15" spans="1:33" ht="17.25" customHeight="1">
      <c r="A15" s="55"/>
      <c r="B15" s="4"/>
      <c r="C15" s="37" t="s">
        <v>28</v>
      </c>
      <c r="D15" s="27">
        <v>0.02</v>
      </c>
      <c r="E15" s="4"/>
      <c r="F15" s="4"/>
      <c r="G15" s="15" t="s">
        <v>6</v>
      </c>
      <c r="H15" s="16">
        <f>NORMSDIST(-d_1)</f>
        <v>0.72788332778663412</v>
      </c>
      <c r="I15" s="4"/>
      <c r="J15" s="4"/>
      <c r="K15" s="39"/>
      <c r="S15" s="41"/>
      <c r="Z15" s="39"/>
      <c r="AG15" s="39"/>
    </row>
    <row r="16" spans="1:33" ht="17.25" customHeight="1">
      <c r="A16" s="55"/>
      <c r="B16" s="4"/>
      <c r="C16" s="37" t="s">
        <v>29</v>
      </c>
      <c r="D16" s="28">
        <v>1</v>
      </c>
      <c r="E16" s="4"/>
      <c r="F16" s="4"/>
      <c r="G16" s="15" t="s">
        <v>5</v>
      </c>
      <c r="H16" s="16">
        <f>NORMSDIST(-d_2)</f>
        <v>0.75297786744039952</v>
      </c>
      <c r="I16" s="4"/>
      <c r="J16" s="4"/>
      <c r="K16" s="39"/>
      <c r="S16" s="41"/>
      <c r="Z16" s="39"/>
      <c r="AG16" s="39"/>
    </row>
    <row r="17" spans="1:33">
      <c r="A17" s="55"/>
      <c r="B17" s="4"/>
      <c r="C17" s="4"/>
      <c r="D17" s="4"/>
      <c r="E17" s="4"/>
      <c r="F17" s="4"/>
      <c r="G17" s="4"/>
      <c r="H17" s="4"/>
      <c r="I17" s="4"/>
      <c r="J17" s="4"/>
      <c r="K17" s="39"/>
      <c r="S17" s="41"/>
      <c r="Z17" s="39"/>
      <c r="AG17" s="39"/>
    </row>
    <row r="18" spans="1:33" s="14" customFormat="1" ht="14.25" customHeight="1">
      <c r="A18" s="40"/>
      <c r="B18" s="11"/>
      <c r="C18" s="11"/>
      <c r="D18" s="11"/>
      <c r="E18" s="11"/>
      <c r="F18" s="11"/>
      <c r="G18" s="11"/>
      <c r="H18" s="11"/>
      <c r="I18" s="11"/>
      <c r="J18" s="11"/>
      <c r="K18" s="40"/>
      <c r="L18" s="11"/>
      <c r="M18" s="11"/>
      <c r="N18" s="11"/>
      <c r="O18" s="11"/>
      <c r="P18" s="11"/>
      <c r="Q18" s="11"/>
      <c r="R18" s="11"/>
      <c r="S18" s="41"/>
      <c r="T18" s="11"/>
      <c r="U18" s="11"/>
      <c r="V18" s="11"/>
      <c r="W18" s="11"/>
      <c r="X18" s="11"/>
      <c r="Y18" s="11"/>
      <c r="Z18" s="40"/>
      <c r="AA18" s="11"/>
      <c r="AB18" s="11"/>
      <c r="AC18" s="11"/>
      <c r="AD18" s="11"/>
      <c r="AE18" s="11"/>
      <c r="AF18" s="11"/>
      <c r="AG18" s="40"/>
    </row>
    <row r="19" spans="1:33">
      <c r="A19" s="39"/>
      <c r="B19" s="4"/>
      <c r="C19" s="4"/>
      <c r="D19" s="4"/>
      <c r="E19" s="4"/>
      <c r="F19" s="4"/>
      <c r="G19" s="4"/>
      <c r="H19" s="4"/>
      <c r="I19" s="4"/>
      <c r="J19" s="4"/>
      <c r="K19" s="39"/>
      <c r="S19" s="41"/>
      <c r="Z19" s="39"/>
      <c r="AG19" s="39"/>
    </row>
    <row r="20" spans="1:33">
      <c r="A20" s="39"/>
      <c r="B20" s="4"/>
      <c r="C20" s="4"/>
      <c r="D20" s="4"/>
      <c r="E20" s="4"/>
      <c r="F20" s="4"/>
      <c r="G20" s="4"/>
      <c r="H20" s="4"/>
      <c r="I20" s="4"/>
      <c r="J20" s="4"/>
      <c r="K20" s="39"/>
      <c r="S20" s="41"/>
      <c r="Z20" s="39"/>
      <c r="AG20" s="39"/>
    </row>
    <row r="21" spans="1:33">
      <c r="A21" s="39"/>
      <c r="B21" s="50" t="s">
        <v>30</v>
      </c>
      <c r="C21" s="50"/>
      <c r="D21" s="50"/>
      <c r="E21" s="50"/>
      <c r="F21" s="50"/>
      <c r="G21" s="50"/>
      <c r="H21" s="50"/>
      <c r="I21" s="50"/>
      <c r="J21" s="4"/>
      <c r="K21" s="39"/>
      <c r="S21" s="41"/>
      <c r="Z21" s="39"/>
      <c r="AG21" s="39"/>
    </row>
    <row r="22" spans="1:33">
      <c r="A22" s="39"/>
      <c r="B22" s="43"/>
      <c r="C22" s="46" t="s">
        <v>17</v>
      </c>
      <c r="D22" s="51" t="s">
        <v>16</v>
      </c>
      <c r="E22" s="52"/>
      <c r="F22" s="52"/>
      <c r="G22" s="52"/>
      <c r="H22" s="42"/>
      <c r="I22" s="42"/>
      <c r="J22" s="4"/>
      <c r="K22" s="39"/>
      <c r="S22" s="41"/>
      <c r="Z22" s="39"/>
      <c r="AG22" s="39"/>
    </row>
    <row r="23" spans="1:33">
      <c r="A23" s="39"/>
      <c r="B23" s="4"/>
      <c r="C23" s="66"/>
      <c r="D23" s="66"/>
      <c r="E23" s="66"/>
      <c r="F23" s="66"/>
      <c r="G23" s="66"/>
      <c r="H23" s="66"/>
      <c r="I23" s="66"/>
      <c r="J23" s="4"/>
      <c r="K23" s="39"/>
      <c r="S23" s="41"/>
      <c r="Z23" s="39"/>
      <c r="AG23" s="39"/>
    </row>
    <row r="24" spans="1:33">
      <c r="A24" s="39"/>
      <c r="B24" s="4"/>
      <c r="C24" s="36"/>
      <c r="D24" s="36"/>
      <c r="E24" s="36"/>
      <c r="F24" s="36"/>
      <c r="G24" s="36"/>
      <c r="H24" s="36"/>
      <c r="I24" s="36"/>
      <c r="J24" s="4"/>
      <c r="K24" s="39"/>
      <c r="S24" s="41"/>
      <c r="Z24" s="39"/>
      <c r="AG24" s="39"/>
    </row>
    <row r="25" spans="1:33">
      <c r="A25" s="39"/>
      <c r="B25" s="4"/>
      <c r="C25" s="65"/>
      <c r="D25" s="65"/>
      <c r="E25" s="65"/>
      <c r="F25" s="65"/>
      <c r="G25" s="65"/>
      <c r="H25" s="65"/>
      <c r="I25" s="65"/>
      <c r="J25" s="4"/>
      <c r="K25" s="39"/>
      <c r="S25" s="41"/>
      <c r="Z25" s="39"/>
      <c r="AG25" s="39"/>
    </row>
    <row r="26" spans="1:33">
      <c r="A26" s="39"/>
      <c r="B26" s="4"/>
      <c r="C26" s="65"/>
      <c r="D26" s="65"/>
      <c r="E26" s="65"/>
      <c r="F26" s="65"/>
      <c r="G26" s="65"/>
      <c r="H26" s="65"/>
      <c r="I26" s="65"/>
      <c r="J26" s="4"/>
      <c r="K26" s="39"/>
      <c r="S26" s="41"/>
      <c r="Z26" s="39"/>
      <c r="AG26" s="39"/>
    </row>
    <row r="27" spans="1:33">
      <c r="A27" s="39"/>
      <c r="B27" s="4"/>
      <c r="C27" s="35"/>
      <c r="D27" s="35"/>
      <c r="E27" s="35"/>
      <c r="F27" s="35"/>
      <c r="G27" s="35"/>
      <c r="H27" s="35"/>
      <c r="I27" s="35"/>
      <c r="J27" s="4"/>
      <c r="K27" s="39"/>
      <c r="S27" s="41"/>
      <c r="Z27" s="39"/>
      <c r="AG27" s="39"/>
    </row>
    <row r="28" spans="1:33">
      <c r="A28" s="39"/>
      <c r="B28" s="4"/>
      <c r="C28" s="35"/>
      <c r="D28" s="35"/>
      <c r="E28" s="35"/>
      <c r="F28" s="35"/>
      <c r="G28" s="35"/>
      <c r="H28" s="35"/>
      <c r="I28" s="35"/>
      <c r="J28" s="4"/>
      <c r="K28" s="39"/>
      <c r="S28" s="41"/>
      <c r="Z28" s="39"/>
      <c r="AG28" s="39"/>
    </row>
    <row r="29" spans="1:33">
      <c r="A29" s="39"/>
      <c r="B29" s="4"/>
      <c r="C29" s="4"/>
      <c r="D29" s="4"/>
      <c r="E29" s="4"/>
      <c r="F29" s="4"/>
      <c r="G29" s="4"/>
      <c r="H29" s="4"/>
      <c r="I29" s="4"/>
      <c r="J29" s="4"/>
      <c r="K29" s="39"/>
      <c r="S29" s="41"/>
      <c r="Z29" s="39"/>
      <c r="AG29" s="39"/>
    </row>
    <row r="30" spans="1:33">
      <c r="A30" s="39"/>
      <c r="B30" s="4"/>
      <c r="C30" s="4"/>
      <c r="D30" s="4"/>
      <c r="E30" s="4"/>
      <c r="F30" s="4"/>
      <c r="G30" s="4"/>
      <c r="H30" s="4"/>
      <c r="I30" s="4"/>
      <c r="J30" s="4"/>
      <c r="K30" s="39"/>
      <c r="S30" s="41"/>
      <c r="Z30" s="39"/>
      <c r="AG30" s="39"/>
    </row>
    <row r="31" spans="1:33">
      <c r="A31" s="39"/>
      <c r="B31" s="50"/>
      <c r="C31" s="50"/>
      <c r="D31" s="50"/>
      <c r="E31" s="50"/>
      <c r="F31" s="50"/>
      <c r="G31" s="50"/>
      <c r="H31" s="50"/>
      <c r="I31" s="50"/>
      <c r="J31" s="4"/>
      <c r="K31" s="39"/>
      <c r="S31" s="41"/>
      <c r="Z31" s="39"/>
      <c r="AG31" s="39"/>
    </row>
    <row r="32" spans="1:33">
      <c r="A32" s="39"/>
      <c r="B32" s="43"/>
      <c r="C32" s="46"/>
      <c r="D32" s="51"/>
      <c r="E32" s="52"/>
      <c r="F32" s="52"/>
      <c r="G32" s="52"/>
      <c r="H32" s="42"/>
      <c r="I32" s="42"/>
      <c r="J32" s="42"/>
      <c r="K32" s="39"/>
      <c r="S32" s="41"/>
      <c r="Z32" s="39"/>
      <c r="AG32" s="39"/>
    </row>
    <row r="33" spans="1:33">
      <c r="A33" s="39"/>
      <c r="B33" s="4"/>
      <c r="C33" s="4"/>
      <c r="D33" s="4"/>
      <c r="E33" s="4"/>
      <c r="F33" s="4"/>
      <c r="G33" s="4"/>
      <c r="H33" s="4"/>
      <c r="I33" s="4"/>
      <c r="J33" s="4"/>
      <c r="K33" s="39"/>
      <c r="S33" s="41"/>
      <c r="Z33" s="39"/>
      <c r="AG33" s="39"/>
    </row>
    <row r="34" spans="1:33">
      <c r="A34" s="39"/>
      <c r="B34" s="4"/>
      <c r="C34" s="4"/>
      <c r="D34" s="4"/>
      <c r="E34" s="4"/>
      <c r="F34" s="4"/>
      <c r="G34" s="4"/>
      <c r="H34" s="4"/>
      <c r="I34" s="4"/>
      <c r="J34" s="4"/>
      <c r="K34" s="39"/>
      <c r="S34" s="41"/>
      <c r="Z34" s="39"/>
      <c r="AG34" s="39"/>
    </row>
    <row r="35" spans="1:33">
      <c r="A35" s="39"/>
      <c r="B35" s="4"/>
      <c r="C35" s="4"/>
      <c r="D35" s="4"/>
      <c r="E35" s="4"/>
      <c r="F35" s="4"/>
      <c r="G35" s="4"/>
      <c r="H35" s="4"/>
      <c r="I35" s="4"/>
      <c r="J35" s="4"/>
      <c r="K35" s="39"/>
      <c r="S35" s="41"/>
      <c r="Z35" s="39"/>
      <c r="AG35" s="39"/>
    </row>
    <row r="36" spans="1:33">
      <c r="A36" s="39"/>
      <c r="B36" s="4"/>
      <c r="C36" s="4"/>
      <c r="D36" s="4"/>
      <c r="E36" s="4"/>
      <c r="F36" s="4"/>
      <c r="G36" s="4"/>
      <c r="H36" s="4"/>
      <c r="I36" s="4"/>
      <c r="J36" s="4"/>
      <c r="K36" s="39"/>
      <c r="S36" s="41"/>
      <c r="Z36" s="39"/>
      <c r="AG36" s="39"/>
    </row>
    <row r="37" spans="1:33" s="9" customFormat="1" ht="9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41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</row>
    <row r="38" spans="1:33" s="9" customFormat="1">
      <c r="S38" s="17"/>
    </row>
    <row r="39" spans="1:33" s="9" customFormat="1">
      <c r="S39" s="17"/>
    </row>
    <row r="40" spans="1:33" s="9" customFormat="1">
      <c r="S40" s="17"/>
    </row>
    <row r="41" spans="1:33" s="9" customFormat="1">
      <c r="S41" s="17"/>
    </row>
    <row r="42" spans="1:33" s="9" customFormat="1" ht="28.5" customHeight="1">
      <c r="A42" s="18"/>
      <c r="B42" s="18"/>
      <c r="C42" s="19" t="s">
        <v>34</v>
      </c>
      <c r="D42" s="20" t="s">
        <v>19</v>
      </c>
      <c r="E42" s="20" t="s">
        <v>20</v>
      </c>
      <c r="F42" s="20" t="s">
        <v>39</v>
      </c>
      <c r="G42" s="20" t="s">
        <v>40</v>
      </c>
      <c r="H42" s="20" t="s">
        <v>24</v>
      </c>
      <c r="I42" s="20" t="s">
        <v>25</v>
      </c>
      <c r="J42" s="20"/>
      <c r="L42" s="18"/>
      <c r="M42" s="18"/>
      <c r="N42" s="19" t="s">
        <v>35</v>
      </c>
      <c r="O42" s="20" t="s">
        <v>19</v>
      </c>
      <c r="P42" s="20" t="s">
        <v>20</v>
      </c>
      <c r="Q42" s="47" t="str">
        <f>F42</f>
        <v>∆Call</v>
      </c>
      <c r="R42" s="47" t="str">
        <f>G42</f>
        <v>–∆Put</v>
      </c>
      <c r="S42" s="20" t="s">
        <v>24</v>
      </c>
      <c r="T42" s="20" t="s">
        <v>25</v>
      </c>
      <c r="U42" s="20" t="s">
        <v>36</v>
      </c>
      <c r="V42" s="18"/>
      <c r="W42" s="19" t="s">
        <v>37</v>
      </c>
      <c r="X42" s="19" t="s">
        <v>38</v>
      </c>
      <c r="Y42" s="20" t="s">
        <v>19</v>
      </c>
      <c r="Z42" s="20" t="s">
        <v>20</v>
      </c>
      <c r="AA42" s="47" t="str">
        <f>F42</f>
        <v>∆Call</v>
      </c>
      <c r="AB42" s="47" t="str">
        <f>G42</f>
        <v>–∆Put</v>
      </c>
      <c r="AC42" s="20" t="s">
        <v>24</v>
      </c>
      <c r="AD42" s="20" t="s">
        <v>25</v>
      </c>
    </row>
    <row r="43" spans="1:33" s="9" customFormat="1">
      <c r="A43" s="21">
        <v>10</v>
      </c>
      <c r="C43" s="22">
        <f t="shared" ref="C43:C52" si="0">IF(C$53-$D$15*A43&gt;0,C$53-$D$15*A43,10^(-10))</f>
        <v>0.16999999999999998</v>
      </c>
      <c r="D43" s="21">
        <f t="shared" ref="D43:D63" si="1">BA*NORMSDIST((LN(BA/Strike)+0.5*(C43^2)*T)/(C43*T^0.5))-Strike*NORMSDIST((LN(BA/Strike)+0.5*(C43^2)*T)/(C43*T^0.5)-C43*T^0.5)</f>
        <v>116.10694357507327</v>
      </c>
      <c r="E43" s="21">
        <f t="shared" ref="E43:E63" si="2">D43+Strike-BA</f>
        <v>5116.1069435750687</v>
      </c>
      <c r="F43" s="23">
        <f t="shared" ref="F43:F63" si="3">NORMSDIST((LN(BA/Strike)+(riskrate+0.5*(C43^2))*T)/(C43*T^0.5))</f>
        <v>8.2817087389646923E-2</v>
      </c>
      <c r="G43" s="23">
        <f t="shared" ref="G43:G63" si="4">NORMSDIST(-(LN(BA/Strike)+(riskrate+0.5*(C43^2)*T))/(C43*T^0.5))</f>
        <v>0.71919452966360253</v>
      </c>
      <c r="H43" s="21">
        <f t="shared" ref="H43:H63" si="5">((1/(2*PI())^0.5*(EXP(-0.5*((LN(BA/Strike)+(riskrate+0.5*(C43^2))*T)/(C43*T^0.5))^2)))*BA*T^0.5)/100</f>
        <v>30.351904253124168</v>
      </c>
      <c r="I43" s="21">
        <f t="shared" ref="I43:I63" si="6">(-BA*(1/(2*PI())^0.5*(EXP(-0.5*((LN(BA/Strike)+(riskrate+0.5*(C43^2))*T)/(C43*T^0.5))^2)))*C43/(2*T^0.5))/god</f>
        <v>-16.124449134472215</v>
      </c>
      <c r="L43" s="21">
        <v>10</v>
      </c>
      <c r="N43" s="24">
        <f t="shared" ref="N43:N52" si="7">IF(N$53*(1-$D$13*L43)&gt;0,N$53*(1-$D$13*L43),10^(-10))</f>
        <v>80000</v>
      </c>
      <c r="O43" s="21">
        <f t="shared" ref="O43:O63" si="8">N43*NORMSDIST((LN(N43/Strike)+(riskrate+0.5*(Vola^2))*T)/(Vola*T^0.5))-Strike*NORMSDIST((LN(N43/Strike)+(riskrate+0.5*(Vola^2))*T)/(Vola*T^0.5)-Vola*T^0.5)</f>
        <v>4.004072920025294</v>
      </c>
      <c r="P43" s="21">
        <f t="shared" ref="P43:P63" si="9">O43+Strike*EXP(-riskrate*T)-N43</f>
        <v>19872.58365596972</v>
      </c>
      <c r="Q43" s="23">
        <f t="shared" ref="Q43:Q63" si="10">NORMSDIST((LN(N43/Strike)+0.5*(Vola^2)*T)/(Vola*T^0.5))</f>
        <v>2.2431609961079367E-3</v>
      </c>
      <c r="R43" s="23">
        <f t="shared" ref="R43:R63" si="11">NORMSDIST(-(LN(N43/Strike)+0.5*(Vola^2)*T)/(Vola*T^0.5))</f>
        <v>0.99775683900389212</v>
      </c>
      <c r="S43" s="21">
        <f t="shared" ref="S43:S63" si="12">((1/(2*PI())^0.5*(EXP(-0.5*((LN(N43/Strike)+0.5*(Vola^2)*T)/(Vola*T^0.5))^2)))*N43*T^0.5)/100</f>
        <v>1.1784239258503617</v>
      </c>
      <c r="T43" s="21">
        <f t="shared" ref="T43:T63" si="13">(-N43*(1/(2*PI())^0.5*(EXP(-0.5*((LN(N43/Strike)+0.5*(Vola^2)*T)/(Vola*T^0.5))^2)))*Vola/(2*T^0.5))/god</f>
        <v>-1.3625526642644807</v>
      </c>
      <c r="U43" s="9">
        <f t="shared" ref="U43:U63" si="14">N43*NORMSDIST((LN(N43/Strike)+0.5*(Vola^2)*(10^(-20)))/(Vola*(10^(-20))^0.5))-Strike*NORMSDIST((LN(N43/Strike)+0.5*(Vola^2)*(10^(-20)))/(Vola*(10^(-20))^0.5)-Vola*(10^(-20))^0.5)</f>
        <v>0</v>
      </c>
      <c r="V43" s="21">
        <v>10</v>
      </c>
      <c r="W43" s="29">
        <f t="shared" ref="W43:W52" si="15">W$53+$D$16*V43</f>
        <v>26</v>
      </c>
      <c r="X43" s="31">
        <f t="shared" ref="X43:X63" si="16">W43/god</f>
        <v>7.1232876712328766E-2</v>
      </c>
      <c r="Y43" s="21">
        <f t="shared" ref="Y43:Y63" si="17">BA*NORMSDIST((LN(BA/Strike)+0.5*(Vola^2)*X43)/(Vola*X43^0.5))-Strike*NORMSDIST((LN(BA/Strike)+0.5*(Vola^2)*X43)/(Vola*X43^0.5)-Vola*X43^0.5)</f>
        <v>1845.6103138914987</v>
      </c>
      <c r="Z43" s="21">
        <f t="shared" ref="Z43:Z63" si="18">Y43+Strike-BA</f>
        <v>6845.6103138914914</v>
      </c>
      <c r="AA43" s="23">
        <f t="shared" ref="AA43:AA63" si="19">NORMSDIST((LN(BA/Strike)+0.5*(Vola^2)*T)/(Vola*X43^0.5))</f>
        <v>0.3124084604612386</v>
      </c>
      <c r="AB43" s="23">
        <f t="shared" ref="AB43:AB63" si="20">NORMSDIST(-(LN(BA/Strike)+0.5*(Vola^2)*T)/(Vola*X43^0.5))</f>
        <v>0.6875915395387614</v>
      </c>
      <c r="AC43" s="21">
        <f t="shared" ref="AC43:AC63" si="21">((1/(2*PI())^0.5*(EXP(-0.5*((LN(BA/Strike)+0.5*(Vola^2)*X43)/(Vola*X43^0.5))^2)))*BA*X43^0.5)/100</f>
        <v>90.572639502791347</v>
      </c>
      <c r="AD43" s="21">
        <f t="shared" ref="AD43:AD63" si="22">(-BA*(1/(2*PI())^0.5*(EXP(-0.5*((LN(BA/Strike)+0.5*(Vola^2)*X43)/(Vola*X43^0.5))^2)))*Vola/(2*X43^0.5))/god</f>
        <v>-64.445916569293843</v>
      </c>
    </row>
    <row r="44" spans="1:33" s="9" customFormat="1">
      <c r="A44" s="21">
        <v>9</v>
      </c>
      <c r="C44" s="22">
        <f t="shared" si="0"/>
        <v>0.19</v>
      </c>
      <c r="D44" s="21">
        <f t="shared" si="1"/>
        <v>180.51015333585019</v>
      </c>
      <c r="E44" s="21">
        <f t="shared" si="2"/>
        <v>5180.5101533358538</v>
      </c>
      <c r="F44" s="23">
        <f t="shared" si="3"/>
        <v>0.10814220395368415</v>
      </c>
      <c r="G44" s="23">
        <f t="shared" si="4"/>
        <v>0.69685741253231226</v>
      </c>
      <c r="H44" s="21">
        <f t="shared" si="5"/>
        <v>36.945422690878694</v>
      </c>
      <c r="I44" s="21">
        <f t="shared" si="6"/>
        <v>-21.936344722709229</v>
      </c>
      <c r="L44" s="21">
        <v>9</v>
      </c>
      <c r="N44" s="24">
        <f t="shared" si="7"/>
        <v>82000</v>
      </c>
      <c r="O44" s="21">
        <f t="shared" si="8"/>
        <v>11.568642078723713</v>
      </c>
      <c r="P44" s="21">
        <f t="shared" si="9"/>
        <v>17880.148225128418</v>
      </c>
      <c r="Q44" s="23">
        <f t="shared" si="10"/>
        <v>5.8175347013459987E-3</v>
      </c>
      <c r="R44" s="23">
        <f t="shared" si="11"/>
        <v>0.99418246529865395</v>
      </c>
      <c r="S44" s="21">
        <f t="shared" si="12"/>
        <v>2.8402390590108997</v>
      </c>
      <c r="T44" s="21">
        <f t="shared" si="13"/>
        <v>-3.2840264119813534</v>
      </c>
      <c r="U44" s="9">
        <f t="shared" si="14"/>
        <v>0</v>
      </c>
      <c r="V44" s="21">
        <v>9</v>
      </c>
      <c r="W44" s="29">
        <f t="shared" si="15"/>
        <v>25</v>
      </c>
      <c r="X44" s="31">
        <f t="shared" si="16"/>
        <v>6.8493150684931503E-2</v>
      </c>
      <c r="Y44" s="21">
        <f t="shared" si="17"/>
        <v>1780.7045345048209</v>
      </c>
      <c r="Z44" s="21">
        <f t="shared" si="18"/>
        <v>6780.7045345048246</v>
      </c>
      <c r="AA44" s="23">
        <f t="shared" si="19"/>
        <v>0.30898839780981258</v>
      </c>
      <c r="AB44" s="23">
        <f t="shared" si="20"/>
        <v>0.69101160219018742</v>
      </c>
      <c r="AC44" s="21">
        <f t="shared" si="21"/>
        <v>88.339978294304984</v>
      </c>
      <c r="AD44" s="21">
        <f t="shared" si="22"/>
        <v>-65.371583937785701</v>
      </c>
    </row>
    <row r="45" spans="1:33" s="9" customFormat="1">
      <c r="A45" s="21">
        <v>8</v>
      </c>
      <c r="C45" s="22">
        <f t="shared" si="0"/>
        <v>0.21</v>
      </c>
      <c r="D45" s="21">
        <f t="shared" si="1"/>
        <v>257.31437785216076</v>
      </c>
      <c r="E45" s="21">
        <f t="shared" si="2"/>
        <v>5257.3143778521626</v>
      </c>
      <c r="F45" s="23">
        <f t="shared" si="3"/>
        <v>0.13248483903839339</v>
      </c>
      <c r="G45" s="23">
        <f t="shared" si="4"/>
        <v>0.67807092149423975</v>
      </c>
      <c r="H45" s="21">
        <f t="shared" si="5"/>
        <v>42.630367312781182</v>
      </c>
      <c r="I45" s="21">
        <f t="shared" si="6"/>
        <v>-27.976178549012648</v>
      </c>
      <c r="L45" s="21">
        <v>8</v>
      </c>
      <c r="N45" s="24">
        <f t="shared" si="7"/>
        <v>84000</v>
      </c>
      <c r="O45" s="21">
        <f t="shared" si="8"/>
        <v>29.954285471965022</v>
      </c>
      <c r="P45" s="21">
        <f t="shared" si="9"/>
        <v>15898.533868521656</v>
      </c>
      <c r="Q45" s="23">
        <f t="shared" si="10"/>
        <v>1.3484933974380317E-2</v>
      </c>
      <c r="R45" s="23">
        <f t="shared" si="11"/>
        <v>0.98651506602561967</v>
      </c>
      <c r="S45" s="21">
        <f t="shared" si="12"/>
        <v>6.0765650449848074</v>
      </c>
      <c r="T45" s="21">
        <f t="shared" si="13"/>
        <v>-7.0260283332636835</v>
      </c>
      <c r="U45" s="9">
        <f t="shared" si="14"/>
        <v>0</v>
      </c>
      <c r="V45" s="21">
        <v>8</v>
      </c>
      <c r="W45" s="29">
        <f t="shared" si="15"/>
        <v>24</v>
      </c>
      <c r="X45" s="31">
        <f t="shared" si="16"/>
        <v>6.575342465753424E-2</v>
      </c>
      <c r="Y45" s="21">
        <f t="shared" si="17"/>
        <v>1714.8549552073673</v>
      </c>
      <c r="Z45" s="21">
        <f t="shared" si="18"/>
        <v>6714.8549552073673</v>
      </c>
      <c r="AA45" s="23">
        <f t="shared" si="19"/>
        <v>0.30537479364622022</v>
      </c>
      <c r="AB45" s="23">
        <f t="shared" si="20"/>
        <v>0.69462520635377978</v>
      </c>
      <c r="AC45" s="21">
        <f t="shared" si="21"/>
        <v>86.054691623447539</v>
      </c>
      <c r="AD45" s="21">
        <f t="shared" si="22"/>
        <v>-66.333824793074143</v>
      </c>
    </row>
    <row r="46" spans="1:33" s="9" customFormat="1">
      <c r="A46" s="21">
        <v>7</v>
      </c>
      <c r="C46" s="22">
        <f t="shared" si="0"/>
        <v>0.22999999999999998</v>
      </c>
      <c r="D46" s="21">
        <f t="shared" si="1"/>
        <v>344.81160081013149</v>
      </c>
      <c r="E46" s="21">
        <f t="shared" si="2"/>
        <v>5344.8116008101351</v>
      </c>
      <c r="F46" s="23">
        <f t="shared" si="3"/>
        <v>0.15534289384579431</v>
      </c>
      <c r="G46" s="23">
        <f t="shared" si="4"/>
        <v>0.66206479256451445</v>
      </c>
      <c r="H46" s="21">
        <f t="shared" si="5"/>
        <v>47.464878765573857</v>
      </c>
      <c r="I46" s="21">
        <f t="shared" si="6"/>
        <v>-34.11538161275621</v>
      </c>
      <c r="L46" s="21">
        <v>7</v>
      </c>
      <c r="N46" s="24">
        <f t="shared" si="7"/>
        <v>86000</v>
      </c>
      <c r="O46" s="21">
        <f t="shared" si="8"/>
        <v>70.130570722883931</v>
      </c>
      <c r="P46" s="21">
        <f t="shared" si="9"/>
        <v>13938.710153772583</v>
      </c>
      <c r="Q46" s="23">
        <f t="shared" si="10"/>
        <v>2.8182429409244536E-2</v>
      </c>
      <c r="R46" s="23">
        <f t="shared" si="11"/>
        <v>0.97181757059075546</v>
      </c>
      <c r="S46" s="21">
        <f t="shared" si="12"/>
        <v>11.631516414970106</v>
      </c>
      <c r="T46" s="21">
        <f t="shared" si="13"/>
        <v>-13.448940854809186</v>
      </c>
      <c r="U46" s="9">
        <f t="shared" si="14"/>
        <v>0</v>
      </c>
      <c r="V46" s="21">
        <v>7</v>
      </c>
      <c r="W46" s="29">
        <f t="shared" si="15"/>
        <v>23</v>
      </c>
      <c r="X46" s="31">
        <f t="shared" si="16"/>
        <v>6.3013698630136991E-2</v>
      </c>
      <c r="Y46" s="21">
        <f t="shared" si="17"/>
        <v>1648.0240737598397</v>
      </c>
      <c r="Z46" s="21">
        <f t="shared" si="18"/>
        <v>6648.024073759836</v>
      </c>
      <c r="AA46" s="23">
        <f t="shared" si="19"/>
        <v>0.30154874828823663</v>
      </c>
      <c r="AB46" s="23">
        <f t="shared" si="20"/>
        <v>0.69845125171176337</v>
      </c>
      <c r="AC46" s="21">
        <f t="shared" si="21"/>
        <v>83.713160784623881</v>
      </c>
      <c r="AD46" s="21">
        <f t="shared" si="22"/>
        <v>-67.334498891980061</v>
      </c>
    </row>
    <row r="47" spans="1:33" s="9" customFormat="1">
      <c r="A47" s="21">
        <v>6</v>
      </c>
      <c r="C47" s="22">
        <f t="shared" si="0"/>
        <v>0.25</v>
      </c>
      <c r="D47" s="21">
        <f t="shared" si="1"/>
        <v>441.42830207908446</v>
      </c>
      <c r="E47" s="21">
        <f t="shared" si="2"/>
        <v>5441.4283020790899</v>
      </c>
      <c r="F47" s="23">
        <f t="shared" si="3"/>
        <v>0.17653227757540321</v>
      </c>
      <c r="G47" s="23">
        <f t="shared" si="4"/>
        <v>0.64826354853350932</v>
      </c>
      <c r="H47" s="21">
        <f t="shared" si="5"/>
        <v>51.55571532255771</v>
      </c>
      <c r="I47" s="21">
        <f t="shared" si="6"/>
        <v>-40.277902595748209</v>
      </c>
      <c r="L47" s="21">
        <v>6</v>
      </c>
      <c r="N47" s="24">
        <f t="shared" si="7"/>
        <v>88000</v>
      </c>
      <c r="O47" s="21">
        <f t="shared" si="8"/>
        <v>149.71546172101262</v>
      </c>
      <c r="P47" s="21">
        <f t="shared" si="9"/>
        <v>12018.295044770712</v>
      </c>
      <c r="Q47" s="23">
        <f t="shared" si="10"/>
        <v>5.3542181595403832E-2</v>
      </c>
      <c r="R47" s="23">
        <f t="shared" si="11"/>
        <v>0.9464578184045962</v>
      </c>
      <c r="S47" s="21">
        <f t="shared" si="12"/>
        <v>20.064726703828612</v>
      </c>
      <c r="T47" s="21">
        <f t="shared" si="13"/>
        <v>-23.199840251301833</v>
      </c>
      <c r="U47" s="9">
        <f t="shared" si="14"/>
        <v>0</v>
      </c>
      <c r="V47" s="21">
        <v>6</v>
      </c>
      <c r="W47" s="29">
        <f t="shared" si="15"/>
        <v>22</v>
      </c>
      <c r="X47" s="31">
        <f t="shared" si="16"/>
        <v>6.0273972602739728E-2</v>
      </c>
      <c r="Y47" s="21">
        <f t="shared" si="17"/>
        <v>1580.1725288286325</v>
      </c>
      <c r="Z47" s="21">
        <f t="shared" si="18"/>
        <v>6580.1725288286398</v>
      </c>
      <c r="AA47" s="23">
        <f t="shared" si="19"/>
        <v>0.29748868538820861</v>
      </c>
      <c r="AB47" s="23">
        <f t="shared" si="20"/>
        <v>0.70251131461179139</v>
      </c>
      <c r="AC47" s="21">
        <f t="shared" si="21"/>
        <v>81.311353747447114</v>
      </c>
      <c r="AD47" s="21">
        <f t="shared" si="22"/>
        <v>-68.375456560353257</v>
      </c>
    </row>
    <row r="48" spans="1:33" s="9" customFormat="1">
      <c r="A48" s="21">
        <v>5</v>
      </c>
      <c r="C48" s="22">
        <f t="shared" si="0"/>
        <v>0.27</v>
      </c>
      <c r="D48" s="21">
        <f t="shared" si="1"/>
        <v>545.79352763826682</v>
      </c>
      <c r="E48" s="21">
        <f t="shared" si="2"/>
        <v>5545.7935276382632</v>
      </c>
      <c r="F48" s="23">
        <f t="shared" si="3"/>
        <v>0.19604330159506053</v>
      </c>
      <c r="G48" s="23">
        <f t="shared" si="4"/>
        <v>0.63623348296501037</v>
      </c>
      <c r="H48" s="21">
        <f t="shared" si="5"/>
        <v>55.016798879042398</v>
      </c>
      <c r="I48" s="21">
        <f t="shared" si="6"/>
        <v>-46.420424054192033</v>
      </c>
      <c r="L48" s="21">
        <v>5</v>
      </c>
      <c r="N48" s="24">
        <f t="shared" si="7"/>
        <v>90000</v>
      </c>
      <c r="O48" s="21">
        <f t="shared" si="8"/>
        <v>293.74378512477233</v>
      </c>
      <c r="P48" s="21">
        <f t="shared" si="9"/>
        <v>10162.32336817446</v>
      </c>
      <c r="Q48" s="23">
        <f t="shared" si="10"/>
        <v>9.3193871829811994E-2</v>
      </c>
      <c r="R48" s="23">
        <f t="shared" si="11"/>
        <v>0.90680612817018802</v>
      </c>
      <c r="S48" s="21">
        <f t="shared" si="12"/>
        <v>31.400729087531971</v>
      </c>
      <c r="T48" s="21">
        <f t="shared" si="13"/>
        <v>-36.307093007458839</v>
      </c>
      <c r="U48" s="9">
        <f t="shared" si="14"/>
        <v>0</v>
      </c>
      <c r="V48" s="21">
        <v>5</v>
      </c>
      <c r="W48" s="29">
        <f t="shared" si="15"/>
        <v>21</v>
      </c>
      <c r="X48" s="31">
        <f t="shared" si="16"/>
        <v>5.7534246575342465E-2</v>
      </c>
      <c r="Y48" s="21">
        <f t="shared" si="17"/>
        <v>1511.2591376160781</v>
      </c>
      <c r="Z48" s="21">
        <f t="shared" si="18"/>
        <v>6511.2591376160854</v>
      </c>
      <c r="AA48" s="23">
        <f t="shared" si="19"/>
        <v>0.29316984685694775</v>
      </c>
      <c r="AB48" s="23">
        <f t="shared" si="20"/>
        <v>0.70683015314305231</v>
      </c>
      <c r="AC48" s="21">
        <f t="shared" si="21"/>
        <v>78.844758914730633</v>
      </c>
      <c r="AD48" s="21">
        <f t="shared" si="22"/>
        <v>-69.458478091548415</v>
      </c>
    </row>
    <row r="49" spans="1:30" s="9" customFormat="1">
      <c r="A49" s="21">
        <v>4</v>
      </c>
      <c r="C49" s="22">
        <f t="shared" si="0"/>
        <v>0.28999999999999998</v>
      </c>
      <c r="D49" s="21">
        <f t="shared" si="1"/>
        <v>656.74469270553163</v>
      </c>
      <c r="E49" s="21">
        <f t="shared" si="2"/>
        <v>5656.744692705528</v>
      </c>
      <c r="F49" s="23">
        <f t="shared" si="3"/>
        <v>0.21395503908788194</v>
      </c>
      <c r="G49" s="23">
        <f t="shared" si="4"/>
        <v>0.62564386710940911</v>
      </c>
      <c r="H49" s="21">
        <f t="shared" si="5"/>
        <v>57.952551890213037</v>
      </c>
      <c r="I49" s="21">
        <f t="shared" si="6"/>
        <v>-52.519500150505564</v>
      </c>
      <c r="L49" s="21">
        <v>4</v>
      </c>
      <c r="N49" s="24">
        <f t="shared" si="7"/>
        <v>92000</v>
      </c>
      <c r="O49" s="21">
        <f t="shared" si="8"/>
        <v>533.65743016543092</v>
      </c>
      <c r="P49" s="21">
        <f t="shared" si="9"/>
        <v>8402.2370132151264</v>
      </c>
      <c r="Q49" s="23">
        <f t="shared" si="10"/>
        <v>0.149723436326541</v>
      </c>
      <c r="R49" s="23">
        <f t="shared" si="11"/>
        <v>0.85027656367345905</v>
      </c>
      <c r="S49" s="21">
        <f t="shared" si="12"/>
        <v>44.855799936960665</v>
      </c>
      <c r="T49" s="21">
        <f t="shared" si="13"/>
        <v>-51.864518677110773</v>
      </c>
      <c r="U49" s="9">
        <f t="shared" si="14"/>
        <v>0</v>
      </c>
      <c r="V49" s="21">
        <v>4</v>
      </c>
      <c r="W49" s="29">
        <f t="shared" si="15"/>
        <v>20</v>
      </c>
      <c r="X49" s="31">
        <f t="shared" si="16"/>
        <v>5.4794520547945202E-2</v>
      </c>
      <c r="Y49" s="21">
        <f t="shared" si="17"/>
        <v>1441.2410085254342</v>
      </c>
      <c r="Z49" s="21">
        <f t="shared" si="18"/>
        <v>6441.2410085254378</v>
      </c>
      <c r="AA49" s="23">
        <f t="shared" si="19"/>
        <v>0.28856366707824077</v>
      </c>
      <c r="AB49" s="23">
        <f t="shared" si="20"/>
        <v>0.71143633292175923</v>
      </c>
      <c r="AC49" s="21">
        <f t="shared" si="21"/>
        <v>76.308305183699687</v>
      </c>
      <c r="AD49" s="21">
        <f t="shared" si="22"/>
        <v>-70.58518229492222</v>
      </c>
    </row>
    <row r="50" spans="1:30" s="9" customFormat="1">
      <c r="A50" s="21">
        <v>3</v>
      </c>
      <c r="C50" s="22">
        <f t="shared" si="0"/>
        <v>0.31</v>
      </c>
      <c r="D50" s="21">
        <f t="shared" si="1"/>
        <v>773.30841804546071</v>
      </c>
      <c r="E50" s="21">
        <f t="shared" si="2"/>
        <v>5773.3084180454607</v>
      </c>
      <c r="F50" s="23">
        <f t="shared" si="3"/>
        <v>0.23038666180576503</v>
      </c>
      <c r="G50" s="23">
        <f t="shared" si="4"/>
        <v>0.61623929253463305</v>
      </c>
      <c r="H50" s="21">
        <f t="shared" si="5"/>
        <v>60.452708945460351</v>
      </c>
      <c r="I50" s="21">
        <f t="shared" si="6"/>
        <v>-58.563561790914719</v>
      </c>
      <c r="L50" s="21">
        <v>3</v>
      </c>
      <c r="N50" s="24">
        <f t="shared" si="7"/>
        <v>94000</v>
      </c>
      <c r="O50" s="21">
        <f t="shared" si="8"/>
        <v>904.13584516002811</v>
      </c>
      <c r="P50" s="21">
        <f t="shared" si="9"/>
        <v>6772.7154282097181</v>
      </c>
      <c r="Q50" s="23">
        <f t="shared" si="10"/>
        <v>0.2236267794686867</v>
      </c>
      <c r="R50" s="23">
        <f t="shared" si="11"/>
        <v>0.7763732205313133</v>
      </c>
      <c r="S50" s="21">
        <f t="shared" si="12"/>
        <v>58.820222859740014</v>
      </c>
      <c r="T50" s="21">
        <f t="shared" si="13"/>
        <v>-68.010882681574401</v>
      </c>
      <c r="U50" s="9">
        <f t="shared" si="14"/>
        <v>0</v>
      </c>
      <c r="V50" s="21">
        <v>3</v>
      </c>
      <c r="W50" s="29">
        <f t="shared" si="15"/>
        <v>19</v>
      </c>
      <c r="X50" s="31">
        <f t="shared" si="16"/>
        <v>5.2054794520547946E-2</v>
      </c>
      <c r="Y50" s="21">
        <f t="shared" si="17"/>
        <v>1370.073766575777</v>
      </c>
      <c r="Z50" s="21">
        <f t="shared" si="18"/>
        <v>6370.073766575777</v>
      </c>
      <c r="AA50" s="23">
        <f t="shared" si="19"/>
        <v>0.28363699110558016</v>
      </c>
      <c r="AB50" s="23">
        <f t="shared" si="20"/>
        <v>0.71636300889441984</v>
      </c>
      <c r="AC50" s="21">
        <f t="shared" si="21"/>
        <v>73.696264852930412</v>
      </c>
      <c r="AD50" s="21">
        <f t="shared" si="22"/>
        <v>-71.756889462063825</v>
      </c>
    </row>
    <row r="51" spans="1:30" s="9" customFormat="1">
      <c r="A51" s="21">
        <v>2</v>
      </c>
      <c r="C51" s="22">
        <f t="shared" si="0"/>
        <v>0.33</v>
      </c>
      <c r="D51" s="21">
        <f t="shared" si="1"/>
        <v>894.67383298356071</v>
      </c>
      <c r="E51" s="21">
        <f t="shared" si="2"/>
        <v>5894.6738329835644</v>
      </c>
      <c r="F51" s="23">
        <f t="shared" si="3"/>
        <v>0.24547075985730071</v>
      </c>
      <c r="G51" s="23">
        <f t="shared" si="4"/>
        <v>0.60782003150932318</v>
      </c>
      <c r="H51" s="21">
        <f t="shared" si="5"/>
        <v>62.592037948901435</v>
      </c>
      <c r="I51" s="21">
        <f t="shared" si="6"/>
        <v>-64.548039134804611</v>
      </c>
      <c r="L51" s="21">
        <v>2</v>
      </c>
      <c r="N51" s="24">
        <f t="shared" si="7"/>
        <v>96000</v>
      </c>
      <c r="O51" s="21">
        <f t="shared" si="8"/>
        <v>1438.1937124268625</v>
      </c>
      <c r="P51" s="21">
        <f t="shared" si="9"/>
        <v>5306.7732954765524</v>
      </c>
      <c r="Q51" s="23">
        <f t="shared" si="10"/>
        <v>0.31269410934368608</v>
      </c>
      <c r="R51" s="23">
        <f t="shared" si="11"/>
        <v>0.68730589065631387</v>
      </c>
      <c r="S51" s="21">
        <f t="shared" si="12"/>
        <v>71.176097478829433</v>
      </c>
      <c r="T51" s="21">
        <f t="shared" si="13"/>
        <v>-82.297362709896532</v>
      </c>
      <c r="U51" s="9">
        <f t="shared" si="14"/>
        <v>0</v>
      </c>
      <c r="V51" s="21">
        <v>2</v>
      </c>
      <c r="W51" s="29">
        <f t="shared" si="15"/>
        <v>18</v>
      </c>
      <c r="X51" s="31">
        <f t="shared" si="16"/>
        <v>4.9315068493150684E-2</v>
      </c>
      <c r="Y51" s="21">
        <f t="shared" si="17"/>
        <v>1297.7119475287291</v>
      </c>
      <c r="Z51" s="21">
        <f t="shared" si="18"/>
        <v>6297.7119475287327</v>
      </c>
      <c r="AA51" s="23">
        <f t="shared" si="19"/>
        <v>0.27835108921178364</v>
      </c>
      <c r="AB51" s="23">
        <f t="shared" si="20"/>
        <v>0.72164891078821636</v>
      </c>
      <c r="AC51" s="21">
        <f t="shared" si="21"/>
        <v>71.002134901624117</v>
      </c>
      <c r="AD51" s="21">
        <f t="shared" si="22"/>
        <v>-72.974416426669222</v>
      </c>
    </row>
    <row r="52" spans="1:30" s="9" customFormat="1">
      <c r="A52" s="21">
        <v>1</v>
      </c>
      <c r="C52" s="22">
        <f t="shared" si="0"/>
        <v>0.35</v>
      </c>
      <c r="D52" s="21">
        <f t="shared" si="1"/>
        <v>1020.1658862988224</v>
      </c>
      <c r="E52" s="21">
        <f t="shared" si="2"/>
        <v>6020.1658862988261</v>
      </c>
      <c r="F52" s="23">
        <f t="shared" si="3"/>
        <v>0.25933929563299551</v>
      </c>
      <c r="G52" s="23">
        <f t="shared" si="4"/>
        <v>0.60022801589739816</v>
      </c>
      <c r="H52" s="21">
        <f t="shared" si="5"/>
        <v>64.431916165952728</v>
      </c>
      <c r="I52" s="21">
        <f t="shared" si="6"/>
        <v>-70.472408306510815</v>
      </c>
      <c r="L52" s="21">
        <v>1</v>
      </c>
      <c r="N52" s="24">
        <f t="shared" si="7"/>
        <v>98000</v>
      </c>
      <c r="O52" s="21">
        <f t="shared" si="8"/>
        <v>2161.7560124716183</v>
      </c>
      <c r="P52" s="21">
        <f t="shared" si="9"/>
        <v>4030.3355955213192</v>
      </c>
      <c r="Q52" s="23">
        <f t="shared" si="10"/>
        <v>0.41213411565052671</v>
      </c>
      <c r="R52" s="23">
        <f t="shared" si="11"/>
        <v>0.58786588434947329</v>
      </c>
      <c r="S52" s="21">
        <f t="shared" si="12"/>
        <v>79.862363925414527</v>
      </c>
      <c r="T52" s="21">
        <f t="shared" si="13"/>
        <v>-92.340858288760558</v>
      </c>
      <c r="U52" s="9">
        <f t="shared" si="14"/>
        <v>0</v>
      </c>
      <c r="V52" s="21">
        <v>1</v>
      </c>
      <c r="W52" s="29">
        <f t="shared" si="15"/>
        <v>17</v>
      </c>
      <c r="X52" s="31">
        <f t="shared" si="16"/>
        <v>4.6575342465753428E-2</v>
      </c>
      <c r="Y52" s="21">
        <f t="shared" si="17"/>
        <v>1224.1096445362928</v>
      </c>
      <c r="Z52" s="21">
        <f t="shared" si="18"/>
        <v>6224.1096445362928</v>
      </c>
      <c r="AA52" s="23">
        <f t="shared" si="19"/>
        <v>0.27266040282117954</v>
      </c>
      <c r="AB52" s="23">
        <f t="shared" si="20"/>
        <v>0.72733959717882046</v>
      </c>
      <c r="AC52" s="21">
        <f t="shared" si="21"/>
        <v>68.218490824601986</v>
      </c>
      <c r="AD52" s="21">
        <f t="shared" si="22"/>
        <v>-74.237769426772758</v>
      </c>
    </row>
    <row r="53" spans="1:30" s="9" customFormat="1">
      <c r="A53" s="21">
        <v>0</v>
      </c>
      <c r="C53" s="25">
        <f>Vola</f>
        <v>0.37</v>
      </c>
      <c r="D53" s="21">
        <f t="shared" si="1"/>
        <v>1149.2215342413838</v>
      </c>
      <c r="E53" s="21">
        <f t="shared" si="2"/>
        <v>6149.2215342413838</v>
      </c>
      <c r="F53" s="23">
        <f t="shared" si="3"/>
        <v>0.27211667221336588</v>
      </c>
      <c r="G53" s="23">
        <f t="shared" si="4"/>
        <v>0.59333673161886247</v>
      </c>
      <c r="H53" s="21">
        <f t="shared" si="5"/>
        <v>66.022408121099431</v>
      </c>
      <c r="I53" s="21">
        <f t="shared" si="6"/>
        <v>-76.338409390021212</v>
      </c>
      <c r="L53" s="21">
        <v>0</v>
      </c>
      <c r="N53" s="26">
        <f>Strike</f>
        <v>100000</v>
      </c>
      <c r="O53" s="21">
        <f t="shared" si="8"/>
        <v>3089.2582834606219</v>
      </c>
      <c r="P53" s="21">
        <f t="shared" si="9"/>
        <v>2957.8378665103228</v>
      </c>
      <c r="Q53" s="23">
        <f t="shared" si="10"/>
        <v>0.51544851613281994</v>
      </c>
      <c r="R53" s="23">
        <f t="shared" si="11"/>
        <v>0.48455148386718006</v>
      </c>
      <c r="S53" s="21">
        <f t="shared" si="12"/>
        <v>83.463740590463445</v>
      </c>
      <c r="T53" s="21">
        <f t="shared" si="13"/>
        <v>-96.504950057723377</v>
      </c>
      <c r="U53" s="9">
        <f t="shared" si="14"/>
        <v>1.47608807310462E-6</v>
      </c>
      <c r="V53" s="21">
        <v>0</v>
      </c>
      <c r="W53" s="30">
        <f>TT</f>
        <v>16</v>
      </c>
      <c r="X53" s="31">
        <f t="shared" si="16"/>
        <v>4.3835616438356165E-2</v>
      </c>
      <c r="Y53" s="21">
        <f t="shared" si="17"/>
        <v>1149.2215342413838</v>
      </c>
      <c r="Z53" s="21">
        <f t="shared" si="18"/>
        <v>6149.2215342413838</v>
      </c>
      <c r="AA53" s="23">
        <f t="shared" si="19"/>
        <v>0.26651093215456201</v>
      </c>
      <c r="AB53" s="23">
        <f t="shared" si="20"/>
        <v>0.73348906784543799</v>
      </c>
      <c r="AC53" s="21">
        <f t="shared" si="21"/>
        <v>65.336805433834172</v>
      </c>
      <c r="AD53" s="21">
        <f t="shared" si="22"/>
        <v>-75.545681282870774</v>
      </c>
    </row>
    <row r="54" spans="1:30" s="9" customFormat="1">
      <c r="A54" s="21">
        <v>1</v>
      </c>
      <c r="C54" s="22">
        <f t="shared" ref="C54:C63" si="23">C$53+$D$15*A54</f>
        <v>0.39</v>
      </c>
      <c r="D54" s="21">
        <f t="shared" si="1"/>
        <v>1281.3695715243593</v>
      </c>
      <c r="E54" s="21">
        <f t="shared" si="2"/>
        <v>6281.3695715243521</v>
      </c>
      <c r="F54" s="23">
        <f t="shared" si="3"/>
        <v>0.28391673656345273</v>
      </c>
      <c r="G54" s="23">
        <f t="shared" si="4"/>
        <v>0.58704385281706606</v>
      </c>
      <c r="H54" s="21">
        <f t="shared" si="5"/>
        <v>67.404287054464731</v>
      </c>
      <c r="I54" s="21">
        <f t="shared" si="6"/>
        <v>-82.148974847628907</v>
      </c>
      <c r="L54" s="21">
        <v>1</v>
      </c>
      <c r="N54" s="24">
        <f t="shared" ref="N54:N63" si="24">N$53*(1+$D$13*L54)</f>
        <v>102000</v>
      </c>
      <c r="O54" s="21">
        <f t="shared" si="8"/>
        <v>4221.5185923431709</v>
      </c>
      <c r="P54" s="21">
        <f t="shared" si="9"/>
        <v>2090.0981753928645</v>
      </c>
      <c r="Q54" s="23">
        <f t="shared" si="10"/>
        <v>0.61575890852128323</v>
      </c>
      <c r="R54" s="23">
        <f t="shared" si="11"/>
        <v>0.38424109147871677</v>
      </c>
      <c r="S54" s="21">
        <f t="shared" si="12"/>
        <v>81.584631415241731</v>
      </c>
      <c r="T54" s="21">
        <f t="shared" si="13"/>
        <v>-94.332230073873262</v>
      </c>
      <c r="U54" s="9">
        <f t="shared" si="14"/>
        <v>2000</v>
      </c>
      <c r="V54" s="21">
        <v>1</v>
      </c>
      <c r="W54" s="29">
        <f t="shared" ref="W54:W63" si="25">IF(W$53-$D$16*V54&gt;0,W$53-$D$16*V54,10^(-10))</f>
        <v>15</v>
      </c>
      <c r="X54" s="31">
        <f t="shared" si="16"/>
        <v>4.1095890410958902E-2</v>
      </c>
      <c r="Y54" s="21">
        <f t="shared" si="17"/>
        <v>1073.0044771358698</v>
      </c>
      <c r="Z54" s="21">
        <f t="shared" si="18"/>
        <v>6073.0044771358662</v>
      </c>
      <c r="AA54" s="23">
        <f t="shared" si="19"/>
        <v>0.25983814030738223</v>
      </c>
      <c r="AB54" s="23">
        <f t="shared" si="20"/>
        <v>0.74016185969261783</v>
      </c>
      <c r="AC54" s="21">
        <f t="shared" si="21"/>
        <v>62.347222717716953</v>
      </c>
      <c r="AD54" s="21">
        <f t="shared" si="22"/>
        <v>-76.894908018517569</v>
      </c>
    </row>
    <row r="55" spans="1:30" s="9" customFormat="1">
      <c r="A55" s="21">
        <v>2</v>
      </c>
      <c r="C55" s="22">
        <f t="shared" si="23"/>
        <v>0.41</v>
      </c>
      <c r="D55" s="21">
        <f t="shared" si="1"/>
        <v>1416.2139885022771</v>
      </c>
      <c r="E55" s="21">
        <f t="shared" si="2"/>
        <v>6416.2139885022771</v>
      </c>
      <c r="F55" s="23">
        <f t="shared" si="3"/>
        <v>0.29484190822057771</v>
      </c>
      <c r="G55" s="23">
        <f t="shared" si="4"/>
        <v>0.58126580921038884</v>
      </c>
      <c r="H55" s="21">
        <f t="shared" si="5"/>
        <v>68.61080136097371</v>
      </c>
      <c r="I55" s="21">
        <f t="shared" si="6"/>
        <v>-87.907589243747566</v>
      </c>
      <c r="L55" s="21">
        <v>2</v>
      </c>
      <c r="N55" s="24">
        <f t="shared" si="24"/>
        <v>104000</v>
      </c>
      <c r="O55" s="21">
        <f t="shared" si="8"/>
        <v>5546.3403017525707</v>
      </c>
      <c r="P55" s="21">
        <f t="shared" si="9"/>
        <v>1414.9198848022643</v>
      </c>
      <c r="Q55" s="23">
        <f t="shared" si="10"/>
        <v>0.70713161998298901</v>
      </c>
      <c r="R55" s="23">
        <f t="shared" si="11"/>
        <v>0.29286838001701099</v>
      </c>
      <c r="S55" s="21">
        <f t="shared" si="12"/>
        <v>74.877793445514584</v>
      </c>
      <c r="T55" s="21">
        <f t="shared" si="13"/>
        <v>-86.57744867137626</v>
      </c>
      <c r="U55" s="9">
        <f t="shared" si="14"/>
        <v>4000</v>
      </c>
      <c r="V55" s="21">
        <v>2</v>
      </c>
      <c r="W55" s="29">
        <f t="shared" si="25"/>
        <v>14</v>
      </c>
      <c r="X55" s="31">
        <f t="shared" si="16"/>
        <v>3.8356164383561646E-2</v>
      </c>
      <c r="Y55" s="21">
        <f t="shared" si="17"/>
        <v>995.41999579083495</v>
      </c>
      <c r="Z55" s="21">
        <f t="shared" si="18"/>
        <v>5995.4199957908422</v>
      </c>
      <c r="AA55" s="23">
        <f t="shared" si="19"/>
        <v>0.2525641965245829</v>
      </c>
      <c r="AB55" s="23">
        <f t="shared" si="20"/>
        <v>0.74743580347541716</v>
      </c>
      <c r="AC55" s="21">
        <f t="shared" si="21"/>
        <v>59.238273875808005</v>
      </c>
      <c r="AD55" s="21">
        <f t="shared" si="22"/>
        <v>-78.279147621603428</v>
      </c>
    </row>
    <row r="56" spans="1:30" s="9" customFormat="1">
      <c r="A56" s="21">
        <v>3</v>
      </c>
      <c r="C56" s="22">
        <f t="shared" si="23"/>
        <v>0.43</v>
      </c>
      <c r="D56" s="21">
        <f t="shared" si="1"/>
        <v>1553.4204181032073</v>
      </c>
      <c r="E56" s="21">
        <f t="shared" si="2"/>
        <v>6553.420418103211</v>
      </c>
      <c r="F56" s="23">
        <f t="shared" si="3"/>
        <v>0.30498341238166138</v>
      </c>
      <c r="G56" s="23">
        <f t="shared" si="4"/>
        <v>0.57593373185953933</v>
      </c>
      <c r="H56" s="21">
        <f t="shared" si="5"/>
        <v>69.669143394397096</v>
      </c>
      <c r="I56" s="21">
        <f t="shared" si="6"/>
        <v>-93.617911436221121</v>
      </c>
      <c r="L56" s="21">
        <v>3</v>
      </c>
      <c r="N56" s="24">
        <f t="shared" si="24"/>
        <v>106000</v>
      </c>
      <c r="O56" s="21">
        <f t="shared" si="8"/>
        <v>7041.4181514243101</v>
      </c>
      <c r="P56" s="21">
        <f t="shared" si="9"/>
        <v>909.99773447400366</v>
      </c>
      <c r="Q56" s="23">
        <f t="shared" si="10"/>
        <v>0.78550263384007268</v>
      </c>
      <c r="R56" s="23">
        <f t="shared" si="11"/>
        <v>0.21449736615992729</v>
      </c>
      <c r="S56" s="21">
        <f t="shared" si="12"/>
        <v>64.75815324979753</v>
      </c>
      <c r="T56" s="21">
        <f t="shared" si="13"/>
        <v>-74.876614695078416</v>
      </c>
      <c r="U56" s="9">
        <f t="shared" si="14"/>
        <v>6000</v>
      </c>
      <c r="V56" s="21">
        <v>3</v>
      </c>
      <c r="W56" s="29">
        <f t="shared" si="25"/>
        <v>13</v>
      </c>
      <c r="X56" s="31">
        <f t="shared" si="16"/>
        <v>3.5616438356164383E-2</v>
      </c>
      <c r="Y56" s="21">
        <f t="shared" si="17"/>
        <v>916.4381126323533</v>
      </c>
      <c r="Z56" s="21">
        <f t="shared" si="18"/>
        <v>5916.4381126323569</v>
      </c>
      <c r="AA56" s="23">
        <f t="shared" si="19"/>
        <v>0.24459430477937333</v>
      </c>
      <c r="AB56" s="23">
        <f t="shared" si="20"/>
        <v>0.75540569522062673</v>
      </c>
      <c r="AC56" s="21">
        <f t="shared" si="21"/>
        <v>55.99651900708308</v>
      </c>
      <c r="AD56" s="21">
        <f t="shared" si="22"/>
        <v>-79.687353971618222</v>
      </c>
    </row>
    <row r="57" spans="1:30" s="9" customFormat="1">
      <c r="A57" s="21">
        <v>4</v>
      </c>
      <c r="C57" s="22">
        <f t="shared" si="23"/>
        <v>0.45</v>
      </c>
      <c r="D57" s="21">
        <f t="shared" si="1"/>
        <v>1692.705165452433</v>
      </c>
      <c r="E57" s="21">
        <f t="shared" si="2"/>
        <v>6692.7051654524403</v>
      </c>
      <c r="F57" s="23">
        <f t="shared" si="3"/>
        <v>0.31442204631176857</v>
      </c>
      <c r="G57" s="23">
        <f t="shared" si="4"/>
        <v>0.57099039289988196</v>
      </c>
      <c r="H57" s="21">
        <f t="shared" si="5"/>
        <v>70.601640377553011</v>
      </c>
      <c r="I57" s="21">
        <f t="shared" si="6"/>
        <v>-99.283556780933935</v>
      </c>
      <c r="L57" s="21">
        <v>4</v>
      </c>
      <c r="N57" s="24">
        <f t="shared" si="24"/>
        <v>108000</v>
      </c>
      <c r="O57" s="21">
        <f t="shared" si="8"/>
        <v>8678.5156655281608</v>
      </c>
      <c r="P57" s="21">
        <f t="shared" si="9"/>
        <v>547.09524857785436</v>
      </c>
      <c r="Q57" s="23">
        <f t="shared" si="10"/>
        <v>0.84901205059266704</v>
      </c>
      <c r="R57" s="23">
        <f t="shared" si="11"/>
        <v>0.15098794940733296</v>
      </c>
      <c r="S57" s="21">
        <f t="shared" si="12"/>
        <v>52.952721153621475</v>
      </c>
      <c r="T57" s="21">
        <f t="shared" si="13"/>
        <v>-61.226583833874841</v>
      </c>
      <c r="U57" s="9">
        <f t="shared" si="14"/>
        <v>8000</v>
      </c>
      <c r="V57" s="21">
        <v>4</v>
      </c>
      <c r="W57" s="29">
        <f t="shared" si="25"/>
        <v>12</v>
      </c>
      <c r="X57" s="31">
        <f t="shared" si="16"/>
        <v>3.287671232876712E-2</v>
      </c>
      <c r="Y57" s="21">
        <f t="shared" si="17"/>
        <v>836.043327122552</v>
      </c>
      <c r="Z57" s="21">
        <f t="shared" si="18"/>
        <v>5836.0433271225484</v>
      </c>
      <c r="AA57" s="23">
        <f t="shared" si="19"/>
        <v>0.23581174964784934</v>
      </c>
      <c r="AB57" s="23">
        <f t="shared" si="20"/>
        <v>0.76418825035215066</v>
      </c>
      <c r="AC57" s="21">
        <f t="shared" si="21"/>
        <v>52.606093941785439</v>
      </c>
      <c r="AD57" s="21">
        <f t="shared" si="22"/>
        <v>-81.101061493585874</v>
      </c>
    </row>
    <row r="58" spans="1:30" s="9" customFormat="1">
      <c r="A58" s="21">
        <v>5</v>
      </c>
      <c r="C58" s="22">
        <f t="shared" si="23"/>
        <v>0.47</v>
      </c>
      <c r="D58" s="21">
        <f t="shared" si="1"/>
        <v>1833.8263444182885</v>
      </c>
      <c r="E58" s="21">
        <f t="shared" si="2"/>
        <v>6833.8263444182812</v>
      </c>
      <c r="F58" s="23">
        <f t="shared" si="3"/>
        <v>0.3232291641572077</v>
      </c>
      <c r="G58" s="23">
        <f t="shared" si="4"/>
        <v>0.566387870229484</v>
      </c>
      <c r="H58" s="21">
        <f t="shared" si="5"/>
        <v>71.426707654033578</v>
      </c>
      <c r="I58" s="21">
        <f t="shared" si="6"/>
        <v>-104.9079768668618</v>
      </c>
      <c r="L58" s="21">
        <v>5</v>
      </c>
      <c r="N58" s="24">
        <f t="shared" si="24"/>
        <v>110000.00000000001</v>
      </c>
      <c r="O58" s="21">
        <f t="shared" si="8"/>
        <v>10427.740973347536</v>
      </c>
      <c r="P58" s="21">
        <f t="shared" si="9"/>
        <v>296.32055639721511</v>
      </c>
      <c r="Q58" s="23">
        <f t="shared" si="10"/>
        <v>0.89779197659893317</v>
      </c>
      <c r="R58" s="23">
        <f t="shared" si="11"/>
        <v>0.10220802340106681</v>
      </c>
      <c r="S58" s="21">
        <f t="shared" si="12"/>
        <v>41.066926596879668</v>
      </c>
      <c r="T58" s="21">
        <f t="shared" si="13"/>
        <v>-47.483633877642113</v>
      </c>
      <c r="U58" s="9">
        <f t="shared" si="14"/>
        <v>10000.000000000015</v>
      </c>
      <c r="V58" s="21">
        <v>5</v>
      </c>
      <c r="W58" s="29">
        <f t="shared" si="25"/>
        <v>11</v>
      </c>
      <c r="X58" s="31">
        <f t="shared" si="16"/>
        <v>3.0136986301369864E-2</v>
      </c>
      <c r="Y58" s="21">
        <f t="shared" si="17"/>
        <v>754.24402469318375</v>
      </c>
      <c r="Z58" s="21">
        <f t="shared" si="18"/>
        <v>5754.2440246931801</v>
      </c>
      <c r="AA58" s="23">
        <f t="shared" si="19"/>
        <v>0.22607112086959119</v>
      </c>
      <c r="AB58" s="23">
        <f t="shared" si="20"/>
        <v>0.77392887913040886</v>
      </c>
      <c r="AC58" s="21">
        <f t="shared" si="21"/>
        <v>49.048138654431661</v>
      </c>
      <c r="AD58" s="21">
        <f t="shared" si="22"/>
        <v>-82.490051373362334</v>
      </c>
    </row>
    <row r="59" spans="1:30" s="9" customFormat="1">
      <c r="A59" s="21">
        <v>6</v>
      </c>
      <c r="C59" s="22">
        <f t="shared" si="23"/>
        <v>0.49</v>
      </c>
      <c r="D59" s="21">
        <f t="shared" si="1"/>
        <v>1976.5767113392139</v>
      </c>
      <c r="E59" s="21">
        <f t="shared" si="2"/>
        <v>6976.5767113392067</v>
      </c>
      <c r="F59" s="23">
        <f t="shared" si="3"/>
        <v>0.33146771073335146</v>
      </c>
      <c r="G59" s="23">
        <f t="shared" si="4"/>
        <v>0.56208574690452751</v>
      </c>
      <c r="H59" s="21">
        <f t="shared" si="5"/>
        <v>72.159607166519166</v>
      </c>
      <c r="I59" s="21">
        <f t="shared" si="6"/>
        <v>-110.49439847373249</v>
      </c>
      <c r="L59" s="21">
        <v>6</v>
      </c>
      <c r="N59" s="24">
        <f t="shared" si="24"/>
        <v>112000.00000000001</v>
      </c>
      <c r="O59" s="21">
        <f t="shared" si="8"/>
        <v>12261.011329519009</v>
      </c>
      <c r="P59" s="21">
        <f t="shared" si="9"/>
        <v>129.59091256868851</v>
      </c>
      <c r="Q59" s="23">
        <f t="shared" si="10"/>
        <v>0.93340841037076983</v>
      </c>
      <c r="R59" s="23">
        <f t="shared" si="11"/>
        <v>6.6591589629230202E-2</v>
      </c>
      <c r="S59" s="21">
        <f t="shared" si="12"/>
        <v>30.295206823519688</v>
      </c>
      <c r="T59" s="21">
        <f t="shared" si="13"/>
        <v>-35.028832889694641</v>
      </c>
      <c r="U59" s="9">
        <f t="shared" si="14"/>
        <v>12000.000000000015</v>
      </c>
      <c r="V59" s="21">
        <v>6</v>
      </c>
      <c r="W59" s="29">
        <f t="shared" si="25"/>
        <v>10</v>
      </c>
      <c r="X59" s="31">
        <f t="shared" si="16"/>
        <v>2.7397260273972601E-2</v>
      </c>
      <c r="Y59" s="21">
        <f t="shared" si="17"/>
        <v>671.08751666895478</v>
      </c>
      <c r="Z59" s="21">
        <f t="shared" si="18"/>
        <v>5671.0875166689511</v>
      </c>
      <c r="AA59" s="23">
        <f t="shared" si="19"/>
        <v>0.21518892447357937</v>
      </c>
      <c r="AB59" s="23">
        <f t="shared" si="20"/>
        <v>0.7848110755264206</v>
      </c>
      <c r="AC59" s="21">
        <f t="shared" si="21"/>
        <v>45.300085543492379</v>
      </c>
      <c r="AD59" s="21">
        <f t="shared" si="22"/>
        <v>-83.805158255460896</v>
      </c>
    </row>
    <row r="60" spans="1:30" s="9" customFormat="1">
      <c r="A60" s="21">
        <v>7</v>
      </c>
      <c r="C60" s="22">
        <f t="shared" si="23"/>
        <v>0.51</v>
      </c>
      <c r="D60" s="21">
        <f t="shared" si="1"/>
        <v>2120.777857622008</v>
      </c>
      <c r="E60" s="21">
        <f t="shared" si="2"/>
        <v>7120.7778576220153</v>
      </c>
      <c r="F60" s="23">
        <f t="shared" si="3"/>
        <v>0.33919321714992834</v>
      </c>
      <c r="G60" s="23">
        <f t="shared" si="4"/>
        <v>0.55804970921109409</v>
      </c>
      <c r="H60" s="21">
        <f t="shared" si="5"/>
        <v>72.813049825231516</v>
      </c>
      <c r="I60" s="21">
        <f t="shared" si="6"/>
        <v>-116.04579815896274</v>
      </c>
      <c r="L60" s="21">
        <v>7</v>
      </c>
      <c r="N60" s="24">
        <f t="shared" si="24"/>
        <v>114000.00000000001</v>
      </c>
      <c r="O60" s="21">
        <f t="shared" si="8"/>
        <v>14154.257373758359</v>
      </c>
      <c r="P60" s="21">
        <f t="shared" si="9"/>
        <v>22.836956808037939</v>
      </c>
      <c r="Q60" s="23">
        <f t="shared" si="10"/>
        <v>0.95819794834259575</v>
      </c>
      <c r="R60" s="23">
        <f t="shared" si="11"/>
        <v>4.1802051657404249E-2</v>
      </c>
      <c r="S60" s="21">
        <f t="shared" si="12"/>
        <v>21.316623819407205</v>
      </c>
      <c r="T60" s="21">
        <f t="shared" si="13"/>
        <v>-24.647346291189582</v>
      </c>
      <c r="U60" s="9">
        <f t="shared" si="14"/>
        <v>14000.000000000015</v>
      </c>
      <c r="V60" s="21">
        <v>7</v>
      </c>
      <c r="W60" s="29">
        <f t="shared" si="25"/>
        <v>9</v>
      </c>
      <c r="X60" s="31">
        <f t="shared" si="16"/>
        <v>2.4657534246575342E-2</v>
      </c>
      <c r="Y60" s="21">
        <f t="shared" si="17"/>
        <v>586.68456881603197</v>
      </c>
      <c r="Z60" s="21">
        <f t="shared" si="18"/>
        <v>5586.6845688160392</v>
      </c>
      <c r="AA60" s="23">
        <f t="shared" si="19"/>
        <v>0.20293042274501433</v>
      </c>
      <c r="AB60" s="23">
        <f t="shared" si="20"/>
        <v>0.79706957725498562</v>
      </c>
      <c r="AC60" s="21">
        <f t="shared" si="21"/>
        <v>41.334803977149846</v>
      </c>
      <c r="AD60" s="21">
        <f t="shared" si="22"/>
        <v>-84.965985953030255</v>
      </c>
    </row>
    <row r="61" spans="1:30" s="9" customFormat="1">
      <c r="A61" s="21">
        <v>8</v>
      </c>
      <c r="C61" s="22">
        <f t="shared" si="23"/>
        <v>0.53</v>
      </c>
      <c r="D61" s="21">
        <f t="shared" si="1"/>
        <v>2266.2754880572465</v>
      </c>
      <c r="E61" s="21">
        <f t="shared" si="2"/>
        <v>7266.2754880572465</v>
      </c>
      <c r="F61" s="23">
        <f t="shared" si="3"/>
        <v>0.34645471729379651</v>
      </c>
      <c r="G61" s="23">
        <f t="shared" si="4"/>
        <v>0.55425044508189414</v>
      </c>
      <c r="H61" s="21">
        <f t="shared" si="5"/>
        <v>73.397674203418447</v>
      </c>
      <c r="I61" s="21">
        <f t="shared" si="6"/>
        <v>-121.56489789941183</v>
      </c>
      <c r="L61" s="21">
        <v>8</v>
      </c>
      <c r="N61" s="24">
        <f t="shared" si="24"/>
        <v>115999.99999999999</v>
      </c>
      <c r="O61" s="21">
        <f t="shared" si="8"/>
        <v>16088.359298259864</v>
      </c>
      <c r="P61" s="21">
        <f t="shared" si="9"/>
        <v>-43.061118690427975</v>
      </c>
      <c r="Q61" s="23">
        <f t="shared" si="10"/>
        <v>0.97468794611000054</v>
      </c>
      <c r="R61" s="23">
        <f t="shared" si="11"/>
        <v>2.5312053889999502E-2</v>
      </c>
      <c r="S61" s="21">
        <f t="shared" si="12"/>
        <v>14.342818495608206</v>
      </c>
      <c r="T61" s="21">
        <f t="shared" si="13"/>
        <v>-16.583883885546989</v>
      </c>
      <c r="U61" s="9">
        <f t="shared" si="14"/>
        <v>15999.999999999985</v>
      </c>
      <c r="V61" s="21">
        <v>8</v>
      </c>
      <c r="W61" s="29">
        <f t="shared" si="25"/>
        <v>8</v>
      </c>
      <c r="X61" s="31">
        <f t="shared" si="16"/>
        <v>2.1917808219178082E-2</v>
      </c>
      <c r="Y61" s="21">
        <f t="shared" si="17"/>
        <v>501.25042262334318</v>
      </c>
      <c r="Z61" s="21">
        <f t="shared" si="18"/>
        <v>5501.2504226233432</v>
      </c>
      <c r="AA61" s="23">
        <f t="shared" si="19"/>
        <v>0.18899106606089872</v>
      </c>
      <c r="AB61" s="23">
        <f t="shared" si="20"/>
        <v>0.81100893393910134</v>
      </c>
      <c r="AC61" s="21">
        <f t="shared" si="21"/>
        <v>37.119664119736214</v>
      </c>
      <c r="AD61" s="21">
        <f t="shared" si="22"/>
        <v>-85.839223276889996</v>
      </c>
    </row>
    <row r="62" spans="1:30" s="9" customFormat="1">
      <c r="A62" s="21">
        <v>9</v>
      </c>
      <c r="C62" s="22">
        <f t="shared" si="23"/>
        <v>0.55000000000000004</v>
      </c>
      <c r="D62" s="21">
        <f t="shared" si="1"/>
        <v>2412.9355669201832</v>
      </c>
      <c r="E62" s="21">
        <f t="shared" si="2"/>
        <v>7412.9355669201759</v>
      </c>
      <c r="F62" s="23">
        <f t="shared" si="3"/>
        <v>0.35329556966513442</v>
      </c>
      <c r="G62" s="23">
        <f t="shared" si="4"/>
        <v>0.55066277101758554</v>
      </c>
      <c r="H62" s="21">
        <f t="shared" si="5"/>
        <v>73.922427798656557</v>
      </c>
      <c r="I62" s="21">
        <f t="shared" si="6"/>
        <v>-127.05417277894098</v>
      </c>
      <c r="L62" s="21">
        <v>9</v>
      </c>
      <c r="N62" s="24">
        <f t="shared" si="24"/>
        <v>118000</v>
      </c>
      <c r="O62" s="21">
        <f t="shared" si="8"/>
        <v>18049.094820625731</v>
      </c>
      <c r="P62" s="21">
        <f t="shared" si="9"/>
        <v>-82.325596324575599</v>
      </c>
      <c r="Q62" s="23">
        <f t="shared" si="10"/>
        <v>0.98519694518534184</v>
      </c>
      <c r="R62" s="23">
        <f t="shared" si="11"/>
        <v>1.480305481465811E-2</v>
      </c>
      <c r="S62" s="21">
        <f t="shared" si="12"/>
        <v>9.2504046424298814</v>
      </c>
      <c r="T62" s="21">
        <f t="shared" si="13"/>
        <v>-10.695780367809551</v>
      </c>
      <c r="U62" s="9">
        <f t="shared" si="14"/>
        <v>18000</v>
      </c>
      <c r="V62" s="21">
        <v>9</v>
      </c>
      <c r="W62" s="29">
        <f t="shared" si="25"/>
        <v>7</v>
      </c>
      <c r="X62" s="31">
        <f t="shared" si="16"/>
        <v>1.9178082191780823E-2</v>
      </c>
      <c r="Y62" s="21">
        <f t="shared" si="17"/>
        <v>415.17553275558203</v>
      </c>
      <c r="Z62" s="21">
        <f t="shared" si="18"/>
        <v>5415.1755327555875</v>
      </c>
      <c r="AA62" s="23">
        <f t="shared" si="19"/>
        <v>0.17297044675029002</v>
      </c>
      <c r="AB62" s="23">
        <f t="shared" si="20"/>
        <v>0.82702955324970995</v>
      </c>
      <c r="AC62" s="21">
        <f t="shared" si="21"/>
        <v>32.615791738262516</v>
      </c>
      <c r="AD62" s="21">
        <f t="shared" si="22"/>
        <v>-86.19887816540809</v>
      </c>
    </row>
    <row r="63" spans="1:30" s="9" customFormat="1">
      <c r="A63" s="21">
        <v>10</v>
      </c>
      <c r="C63" s="22">
        <f t="shared" si="23"/>
        <v>0.57000000000000006</v>
      </c>
      <c r="D63" s="21">
        <f t="shared" si="1"/>
        <v>2560.6411590061325</v>
      </c>
      <c r="E63" s="21">
        <f t="shared" si="2"/>
        <v>7560.6411590061325</v>
      </c>
      <c r="F63" s="23">
        <f t="shared" si="3"/>
        <v>0.35975418271593629</v>
      </c>
      <c r="G63" s="23">
        <f t="shared" si="4"/>
        <v>0.54726493448511748</v>
      </c>
      <c r="H63" s="21">
        <f t="shared" si="5"/>
        <v>74.394871673156885</v>
      </c>
      <c r="I63" s="21">
        <f t="shared" si="6"/>
        <v>-132.51586516781072</v>
      </c>
      <c r="L63" s="21">
        <v>10</v>
      </c>
      <c r="N63" s="24">
        <f t="shared" si="24"/>
        <v>120000</v>
      </c>
      <c r="O63" s="21">
        <f t="shared" si="8"/>
        <v>20026.484164563371</v>
      </c>
      <c r="P63" s="21">
        <f t="shared" si="9"/>
        <v>-104.93625238693494</v>
      </c>
      <c r="Q63" s="23">
        <f t="shared" si="10"/>
        <v>0.99162795985490415</v>
      </c>
      <c r="R63" s="23">
        <f t="shared" si="11"/>
        <v>8.3720401450958579E-3</v>
      </c>
      <c r="S63" s="21">
        <f t="shared" si="12"/>
        <v>5.7315333391595846</v>
      </c>
      <c r="T63" s="21">
        <f t="shared" si="13"/>
        <v>-6.6270854234032699</v>
      </c>
      <c r="U63" s="9">
        <f t="shared" si="14"/>
        <v>20000</v>
      </c>
      <c r="V63" s="21">
        <v>10</v>
      </c>
      <c r="W63" s="29">
        <f t="shared" si="25"/>
        <v>6</v>
      </c>
      <c r="X63" s="31">
        <f t="shared" si="16"/>
        <v>1.643835616438356E-2</v>
      </c>
      <c r="Y63" s="21">
        <f t="shared" si="17"/>
        <v>329.15209415498612</v>
      </c>
      <c r="Z63" s="21">
        <f t="shared" si="18"/>
        <v>5329.1520941549825</v>
      </c>
      <c r="AA63" s="23">
        <f t="shared" si="19"/>
        <v>0.1543371903022458</v>
      </c>
      <c r="AB63" s="23">
        <f t="shared" si="20"/>
        <v>0.8456628096977542</v>
      </c>
      <c r="AC63" s="21">
        <f t="shared" si="21"/>
        <v>27.778421160128641</v>
      </c>
      <c r="AD63" s="21">
        <f t="shared" si="22"/>
        <v>-85.650131910396652</v>
      </c>
    </row>
    <row r="64" spans="1:30" s="9" customFormat="1"/>
    <row r="65" s="9" customFormat="1"/>
    <row r="66" s="9" customFormat="1"/>
  </sheetData>
  <mergeCells count="22">
    <mergeCell ref="C25:I26"/>
    <mergeCell ref="C23:I23"/>
    <mergeCell ref="B31:I31"/>
    <mergeCell ref="D32:G32"/>
    <mergeCell ref="A2:A17"/>
    <mergeCell ref="C12:D12"/>
    <mergeCell ref="F4:G4"/>
    <mergeCell ref="F5:G5"/>
    <mergeCell ref="F6:G6"/>
    <mergeCell ref="F7:G7"/>
    <mergeCell ref="F8:G8"/>
    <mergeCell ref="C3:D3"/>
    <mergeCell ref="C2:I2"/>
    <mergeCell ref="F3:G3"/>
    <mergeCell ref="C13:C14"/>
    <mergeCell ref="D13:D14"/>
    <mergeCell ref="F9:G9"/>
    <mergeCell ref="B21:I21"/>
    <mergeCell ref="D22:G22"/>
    <mergeCell ref="AA2:AF2"/>
    <mergeCell ref="L2:Q2"/>
    <mergeCell ref="T2:Y2"/>
  </mergeCells>
  <hyperlinks>
    <hyperlink ref="D22" r:id="rId1" xr:uid="{14C21EF3-8272-49AF-B4F2-72235BF35E33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European Options BSM</vt:lpstr>
      <vt:lpstr>BA</vt:lpstr>
      <vt:lpstr>BaseAsset</vt:lpstr>
      <vt:lpstr>d_1</vt:lpstr>
      <vt:lpstr>d_2</vt:lpstr>
      <vt:lpstr>god</vt:lpstr>
      <vt:lpstr>N__d1</vt:lpstr>
      <vt:lpstr>N__d2</vt:lpstr>
      <vt:lpstr>N_d1</vt:lpstr>
      <vt:lpstr>N_d2</vt:lpstr>
      <vt:lpstr>N1_d1</vt:lpstr>
      <vt:lpstr>riskrate</vt:lpstr>
      <vt:lpstr>Strike</vt:lpstr>
      <vt:lpstr>T</vt:lpstr>
      <vt:lpstr>TT</vt:lpstr>
      <vt:lpstr>TTday</vt:lpstr>
      <vt:lpstr>Vola</vt:lpstr>
    </vt:vector>
  </TitlesOfParts>
  <Company>mit.su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ivan@samkov.com</dc:creator>
  <cp:lastModifiedBy>Finam</cp:lastModifiedBy>
  <dcterms:created xsi:type="dcterms:W3CDTF">2014-11-26T09:08:04Z</dcterms:created>
  <dcterms:modified xsi:type="dcterms:W3CDTF">2022-06-23T03:13:22Z</dcterms:modified>
</cp:coreProperties>
</file>